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Unwin\Documents\junwin.github.io\"/>
    </mc:Choice>
  </mc:AlternateContent>
  <xr:revisionPtr revIDLastSave="0" documentId="13_ncr:1_{6FE2A254-9822-4721-8FE1-6E9974345935}" xr6:coauthVersionLast="45" xr6:coauthVersionMax="45" xr10:uidLastSave="{00000000-0000-0000-0000-000000000000}"/>
  <bookViews>
    <workbookView xWindow="2340" yWindow="2340" windowWidth="34815" windowHeight="15315" xr2:uid="{00000000-000D-0000-FFFF-FFFF00000000}"/>
  </bookViews>
  <sheets>
    <sheet name="HouseData2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95" i="1" l="1"/>
  <c r="D2095" i="1"/>
  <c r="A2095" i="1"/>
  <c r="J2110" i="1"/>
  <c r="D2110" i="1"/>
  <c r="A2110" i="1"/>
  <c r="J2862" i="1"/>
  <c r="D2862" i="1"/>
  <c r="A2862" i="1"/>
  <c r="J2152" i="1"/>
  <c r="D2152" i="1"/>
  <c r="A2152" i="1"/>
  <c r="J2861" i="1"/>
  <c r="D2861" i="1"/>
  <c r="A2861" i="1"/>
  <c r="J2860" i="1"/>
  <c r="D2860" i="1"/>
  <c r="A2860" i="1"/>
  <c r="J2859" i="1"/>
  <c r="D2859" i="1"/>
  <c r="A2859" i="1"/>
  <c r="J2858" i="1"/>
  <c r="D2858" i="1"/>
  <c r="A2858" i="1"/>
  <c r="J2857" i="1"/>
  <c r="D2857" i="1"/>
  <c r="A2857" i="1"/>
  <c r="J2856" i="1"/>
  <c r="D2856" i="1"/>
  <c r="A2856" i="1"/>
  <c r="J2855" i="1"/>
  <c r="D2855" i="1"/>
  <c r="A2855" i="1"/>
  <c r="J2854" i="1"/>
  <c r="D2854" i="1"/>
  <c r="A2854" i="1"/>
  <c r="J2853" i="1"/>
  <c r="D2853" i="1"/>
  <c r="A2853" i="1"/>
  <c r="J2852" i="1"/>
  <c r="D2852" i="1"/>
  <c r="A2852" i="1"/>
  <c r="J2851" i="1"/>
  <c r="D2851" i="1"/>
  <c r="A2851" i="1"/>
  <c r="J2094" i="1"/>
  <c r="D2094" i="1"/>
  <c r="A2094" i="1"/>
  <c r="J2023" i="1"/>
  <c r="D2023" i="1"/>
  <c r="A2023" i="1"/>
  <c r="J2850" i="1"/>
  <c r="D2850" i="1"/>
  <c r="A2850" i="1"/>
  <c r="J2849" i="1"/>
  <c r="D2849" i="1"/>
  <c r="A2849" i="1"/>
  <c r="J2848" i="1"/>
  <c r="D2848" i="1"/>
  <c r="A2848" i="1"/>
  <c r="J2847" i="1"/>
  <c r="D2847" i="1"/>
  <c r="A2847" i="1"/>
  <c r="J2846" i="1"/>
  <c r="D2846" i="1"/>
  <c r="A2846" i="1"/>
  <c r="J2845" i="1"/>
  <c r="D2845" i="1"/>
  <c r="A2845" i="1"/>
  <c r="J2844" i="1"/>
  <c r="D2844" i="1"/>
  <c r="A2844" i="1"/>
  <c r="J2843" i="1"/>
  <c r="D2843" i="1"/>
  <c r="A2843" i="1"/>
  <c r="J2842" i="1"/>
  <c r="D2842" i="1"/>
  <c r="A2842" i="1"/>
  <c r="J2841" i="1"/>
  <c r="D2841" i="1"/>
  <c r="A2841" i="1"/>
  <c r="J2093" i="1"/>
  <c r="D2093" i="1"/>
  <c r="A2093" i="1"/>
  <c r="J2840" i="1"/>
  <c r="D2840" i="1"/>
  <c r="A2840" i="1"/>
  <c r="J2839" i="1"/>
  <c r="D2839" i="1"/>
  <c r="A2839" i="1"/>
  <c r="J2838" i="1"/>
  <c r="D2838" i="1"/>
  <c r="A2838" i="1"/>
  <c r="J2837" i="1"/>
  <c r="D2837" i="1"/>
  <c r="A2837" i="1"/>
  <c r="J2836" i="1"/>
  <c r="D2836" i="1"/>
  <c r="A2836" i="1"/>
  <c r="J2835" i="1"/>
  <c r="D2835" i="1"/>
  <c r="A2835" i="1"/>
  <c r="J2834" i="1"/>
  <c r="D2834" i="1"/>
  <c r="A2834" i="1"/>
  <c r="J2833" i="1"/>
  <c r="D2833" i="1"/>
  <c r="A2833" i="1"/>
  <c r="J2832" i="1"/>
  <c r="D2832" i="1"/>
  <c r="A2832" i="1"/>
  <c r="J2831" i="1"/>
  <c r="D2831" i="1"/>
  <c r="A2831" i="1"/>
  <c r="J2830" i="1"/>
  <c r="D2830" i="1"/>
  <c r="A2830" i="1"/>
  <c r="J2829" i="1"/>
  <c r="D2829" i="1"/>
  <c r="A2829" i="1"/>
  <c r="J2828" i="1"/>
  <c r="D2828" i="1"/>
  <c r="A2828" i="1"/>
  <c r="J2022" i="1"/>
  <c r="D2022" i="1"/>
  <c r="A2022" i="1"/>
  <c r="J2827" i="1"/>
  <c r="D2827" i="1"/>
  <c r="A2827" i="1"/>
  <c r="J2826" i="1"/>
  <c r="D2826" i="1"/>
  <c r="A2826" i="1"/>
  <c r="J2825" i="1"/>
  <c r="D2825" i="1"/>
  <c r="A2825" i="1"/>
  <c r="J2824" i="1"/>
  <c r="D2824" i="1"/>
  <c r="A2824" i="1"/>
  <c r="J2823" i="1"/>
  <c r="D2823" i="1"/>
  <c r="A2823" i="1"/>
  <c r="J2822" i="1"/>
  <c r="D2822" i="1"/>
  <c r="A2822" i="1"/>
  <c r="J2821" i="1"/>
  <c r="D2821" i="1"/>
  <c r="A2821" i="1"/>
  <c r="J2820" i="1"/>
  <c r="D2820" i="1"/>
  <c r="A2820" i="1"/>
  <c r="J2819" i="1"/>
  <c r="D2819" i="1"/>
  <c r="A2819" i="1"/>
  <c r="J2818" i="1"/>
  <c r="D2818" i="1"/>
  <c r="A2818" i="1"/>
  <c r="J2817" i="1"/>
  <c r="D2817" i="1"/>
  <c r="A2817" i="1"/>
  <c r="J2816" i="1"/>
  <c r="D2816" i="1"/>
  <c r="A2816" i="1"/>
  <c r="J2815" i="1"/>
  <c r="D2815" i="1"/>
  <c r="A2815" i="1"/>
  <c r="J2814" i="1"/>
  <c r="D2814" i="1"/>
  <c r="A2814" i="1"/>
  <c r="J2154" i="1"/>
  <c r="D2154" i="1"/>
  <c r="A2154" i="1"/>
  <c r="J2813" i="1"/>
  <c r="D2813" i="1"/>
  <c r="A2813" i="1"/>
  <c r="J2812" i="1"/>
  <c r="D2812" i="1"/>
  <c r="A2812" i="1"/>
  <c r="J2811" i="1"/>
  <c r="D2811" i="1"/>
  <c r="A2811" i="1"/>
  <c r="J2810" i="1"/>
  <c r="D2810" i="1"/>
  <c r="A2810" i="1"/>
  <c r="J2134" i="1"/>
  <c r="D2134" i="1"/>
  <c r="A2134" i="1"/>
  <c r="J2809" i="1"/>
  <c r="D2809" i="1"/>
  <c r="A2809" i="1"/>
  <c r="J2808" i="1"/>
  <c r="D2808" i="1"/>
  <c r="A2808" i="1"/>
  <c r="J2807" i="1"/>
  <c r="D2807" i="1"/>
  <c r="A2807" i="1"/>
  <c r="J2806" i="1"/>
  <c r="D2806" i="1"/>
  <c r="A2806" i="1"/>
  <c r="J2805" i="1"/>
  <c r="D2805" i="1"/>
  <c r="A2805" i="1"/>
  <c r="J2804" i="1"/>
  <c r="D2804" i="1"/>
  <c r="A2804" i="1"/>
  <c r="J2803" i="1"/>
  <c r="D2803" i="1"/>
  <c r="A2803" i="1"/>
  <c r="J2802" i="1"/>
  <c r="D2802" i="1"/>
  <c r="A2802" i="1"/>
  <c r="J2021" i="1"/>
  <c r="D2021" i="1"/>
  <c r="A2021" i="1"/>
  <c r="J2147" i="1"/>
  <c r="D2147" i="1"/>
  <c r="A2147" i="1"/>
  <c r="J2801" i="1"/>
  <c r="D2801" i="1"/>
  <c r="A2801" i="1"/>
  <c r="J2092" i="1"/>
  <c r="D2092" i="1"/>
  <c r="A2092" i="1"/>
  <c r="J2800" i="1"/>
  <c r="D2800" i="1"/>
  <c r="A2800" i="1"/>
  <c r="J2799" i="1"/>
  <c r="D2799" i="1"/>
  <c r="A2799" i="1"/>
  <c r="J2091" i="1"/>
  <c r="D2091" i="1"/>
  <c r="A2091" i="1"/>
  <c r="J2798" i="1"/>
  <c r="D2798" i="1"/>
  <c r="A2798" i="1"/>
  <c r="J2797" i="1"/>
  <c r="D2797" i="1"/>
  <c r="A2797" i="1"/>
  <c r="J2796" i="1"/>
  <c r="D2796" i="1"/>
  <c r="A2796" i="1"/>
  <c r="J2133" i="1"/>
  <c r="D2133" i="1"/>
  <c r="A2133" i="1"/>
  <c r="J2795" i="1"/>
  <c r="D2795" i="1"/>
  <c r="A2795" i="1"/>
  <c r="J2794" i="1"/>
  <c r="D2794" i="1"/>
  <c r="A2794" i="1"/>
  <c r="J2090" i="1"/>
  <c r="D2090" i="1"/>
  <c r="A2090" i="1"/>
  <c r="J2793" i="1"/>
  <c r="D2793" i="1"/>
  <c r="A2793" i="1"/>
  <c r="J2792" i="1"/>
  <c r="D2792" i="1"/>
  <c r="A2792" i="1"/>
  <c r="J2791" i="1"/>
  <c r="D2791" i="1"/>
  <c r="A2791" i="1"/>
  <c r="J2790" i="1"/>
  <c r="D2790" i="1"/>
  <c r="A2790" i="1"/>
  <c r="J2089" i="1"/>
  <c r="D2089" i="1"/>
  <c r="A2089" i="1"/>
  <c r="J2789" i="1"/>
  <c r="D2789" i="1"/>
  <c r="A2789" i="1"/>
  <c r="J2788" i="1"/>
  <c r="D2788" i="1"/>
  <c r="A2788" i="1"/>
  <c r="J2787" i="1"/>
  <c r="D2787" i="1"/>
  <c r="A2787" i="1"/>
  <c r="J2786" i="1"/>
  <c r="D2786" i="1"/>
  <c r="A2786" i="1"/>
  <c r="J2785" i="1"/>
  <c r="D2785" i="1"/>
  <c r="A2785" i="1"/>
  <c r="J2784" i="1"/>
  <c r="D2784" i="1"/>
  <c r="A2784" i="1"/>
  <c r="J2088" i="1"/>
  <c r="D2088" i="1"/>
  <c r="A2088" i="1"/>
  <c r="J2783" i="1"/>
  <c r="D2783" i="1"/>
  <c r="A2783" i="1"/>
  <c r="J2782" i="1"/>
  <c r="D2782" i="1"/>
  <c r="A2782" i="1"/>
  <c r="J2781" i="1"/>
  <c r="D2781" i="1"/>
  <c r="A2781" i="1"/>
  <c r="J2780" i="1"/>
  <c r="D2780" i="1"/>
  <c r="A2780" i="1"/>
  <c r="J2779" i="1"/>
  <c r="D2779" i="1"/>
  <c r="A2779" i="1"/>
  <c r="J2778" i="1"/>
  <c r="D2778" i="1"/>
  <c r="A2778" i="1"/>
  <c r="J2777" i="1"/>
  <c r="D2777" i="1"/>
  <c r="A2777" i="1"/>
  <c r="J2776" i="1"/>
  <c r="D2776" i="1"/>
  <c r="A2776" i="1"/>
  <c r="J2775" i="1"/>
  <c r="D2775" i="1"/>
  <c r="A2775" i="1"/>
  <c r="J2774" i="1"/>
  <c r="D2774" i="1"/>
  <c r="A2774" i="1"/>
  <c r="J2109" i="1"/>
  <c r="D2109" i="1"/>
  <c r="A2109" i="1"/>
  <c r="J2773" i="1"/>
  <c r="D2773" i="1"/>
  <c r="A2773" i="1"/>
  <c r="J2772" i="1"/>
  <c r="D2772" i="1"/>
  <c r="A2772" i="1"/>
  <c r="J2771" i="1"/>
  <c r="D2771" i="1"/>
  <c r="A2771" i="1"/>
  <c r="J2770" i="1"/>
  <c r="D2770" i="1"/>
  <c r="A2770" i="1"/>
  <c r="J2769" i="1"/>
  <c r="D2769" i="1"/>
  <c r="A2769" i="1"/>
  <c r="J2768" i="1"/>
  <c r="D2768" i="1"/>
  <c r="A2768" i="1"/>
  <c r="J2767" i="1"/>
  <c r="D2767" i="1"/>
  <c r="A2767" i="1"/>
  <c r="J2766" i="1"/>
  <c r="D2766" i="1"/>
  <c r="A2766" i="1"/>
  <c r="J2765" i="1"/>
  <c r="D2765" i="1"/>
  <c r="A2765" i="1"/>
  <c r="J2764" i="1"/>
  <c r="D2764" i="1"/>
  <c r="A2764" i="1"/>
  <c r="J2132" i="1"/>
  <c r="D2132" i="1"/>
  <c r="A2132" i="1"/>
  <c r="J2763" i="1"/>
  <c r="D2763" i="1"/>
  <c r="A2763" i="1"/>
  <c r="J2020" i="1"/>
  <c r="D2020" i="1"/>
  <c r="A2020" i="1"/>
  <c r="J2762" i="1"/>
  <c r="D2762" i="1"/>
  <c r="A2762" i="1"/>
  <c r="J2761" i="1"/>
  <c r="D2761" i="1"/>
  <c r="A2761" i="1"/>
  <c r="J2760" i="1"/>
  <c r="D2760" i="1"/>
  <c r="A2760" i="1"/>
  <c r="J2151" i="1"/>
  <c r="D2151" i="1"/>
  <c r="A2151" i="1"/>
  <c r="J2759" i="1"/>
  <c r="D2759" i="1"/>
  <c r="A2759" i="1"/>
  <c r="J2758" i="1"/>
  <c r="D2758" i="1"/>
  <c r="A2758" i="1"/>
  <c r="J2757" i="1"/>
  <c r="D2757" i="1"/>
  <c r="A2757" i="1"/>
  <c r="J2756" i="1"/>
  <c r="D2756" i="1"/>
  <c r="A2756" i="1"/>
  <c r="J2755" i="1"/>
  <c r="D2755" i="1"/>
  <c r="A2755" i="1"/>
  <c r="J2754" i="1"/>
  <c r="D2754" i="1"/>
  <c r="A2754" i="1"/>
  <c r="J2087" i="1"/>
  <c r="D2087" i="1"/>
  <c r="A2087" i="1"/>
  <c r="J2753" i="1"/>
  <c r="D2753" i="1"/>
  <c r="A2753" i="1"/>
  <c r="J2752" i="1"/>
  <c r="D2752" i="1"/>
  <c r="A2752" i="1"/>
  <c r="J2751" i="1"/>
  <c r="D2751" i="1"/>
  <c r="A2751" i="1"/>
  <c r="J2750" i="1"/>
  <c r="D2750" i="1"/>
  <c r="A2750" i="1"/>
  <c r="J2749" i="1"/>
  <c r="D2749" i="1"/>
  <c r="A2749" i="1"/>
  <c r="J2748" i="1"/>
  <c r="D2748" i="1"/>
  <c r="A2748" i="1"/>
  <c r="J2747" i="1"/>
  <c r="D2747" i="1"/>
  <c r="A2747" i="1"/>
  <c r="J2746" i="1"/>
  <c r="D2746" i="1"/>
  <c r="A2746" i="1"/>
  <c r="J2745" i="1"/>
  <c r="D2745" i="1"/>
  <c r="A2745" i="1"/>
  <c r="J2744" i="1"/>
  <c r="D2744" i="1"/>
  <c r="A2744" i="1"/>
  <c r="J2743" i="1"/>
  <c r="D2743" i="1"/>
  <c r="A2743" i="1"/>
  <c r="D2742" i="1"/>
  <c r="J2741" i="1"/>
  <c r="D2741" i="1"/>
  <c r="A2741" i="1"/>
  <c r="J2740" i="1"/>
  <c r="D2740" i="1"/>
  <c r="A2740" i="1"/>
  <c r="J2739" i="1"/>
  <c r="D2739" i="1"/>
  <c r="A2739" i="1"/>
  <c r="D2738" i="1"/>
  <c r="J2737" i="1"/>
  <c r="D2737" i="1"/>
  <c r="A2737" i="1"/>
  <c r="J2736" i="1"/>
  <c r="D2736" i="1"/>
  <c r="A2736" i="1"/>
  <c r="J2735" i="1"/>
  <c r="D2735" i="1"/>
  <c r="A2735" i="1"/>
  <c r="J2734" i="1"/>
  <c r="D2734" i="1"/>
  <c r="A2734" i="1"/>
  <c r="J2733" i="1"/>
  <c r="D2733" i="1"/>
  <c r="A2733" i="1"/>
  <c r="J2732" i="1"/>
  <c r="D2732" i="1"/>
  <c r="A2732" i="1"/>
  <c r="J2731" i="1"/>
  <c r="D2731" i="1"/>
  <c r="A2731" i="1"/>
  <c r="J2730" i="1"/>
  <c r="D2730" i="1"/>
  <c r="A2730" i="1"/>
  <c r="J2729" i="1"/>
  <c r="D2729" i="1"/>
  <c r="A2729" i="1"/>
  <c r="J2728" i="1"/>
  <c r="D2728" i="1"/>
  <c r="A2728" i="1"/>
  <c r="J2727" i="1"/>
  <c r="D2727" i="1"/>
  <c r="A2727" i="1"/>
  <c r="J2726" i="1"/>
  <c r="D2726" i="1"/>
  <c r="A2726" i="1"/>
  <c r="J2725" i="1"/>
  <c r="D2725" i="1"/>
  <c r="A2725" i="1"/>
  <c r="J2724" i="1"/>
  <c r="D2724" i="1"/>
  <c r="A2724" i="1"/>
  <c r="J2723" i="1"/>
  <c r="D2723" i="1"/>
  <c r="A2723" i="1"/>
  <c r="J2131" i="1"/>
  <c r="D2131" i="1"/>
  <c r="A2131" i="1"/>
  <c r="J2722" i="1"/>
  <c r="D2722" i="1"/>
  <c r="A2722" i="1"/>
  <c r="J2721" i="1"/>
  <c r="D2721" i="1"/>
  <c r="A2721" i="1"/>
  <c r="J2720" i="1"/>
  <c r="D2720" i="1"/>
  <c r="A2720" i="1"/>
  <c r="J2719" i="1"/>
  <c r="D2719" i="1"/>
  <c r="A2719" i="1"/>
  <c r="J2718" i="1"/>
  <c r="D2718" i="1"/>
  <c r="A2718" i="1"/>
  <c r="J2717" i="1"/>
  <c r="D2717" i="1"/>
  <c r="A2717" i="1"/>
  <c r="J2716" i="1"/>
  <c r="D2716" i="1"/>
  <c r="A2716" i="1"/>
  <c r="J2086" i="1"/>
  <c r="D2086" i="1"/>
  <c r="A2086" i="1"/>
  <c r="J2715" i="1"/>
  <c r="D2715" i="1"/>
  <c r="A2715" i="1"/>
  <c r="J2714" i="1"/>
  <c r="D2714" i="1"/>
  <c r="A2714" i="1"/>
  <c r="J2085" i="1"/>
  <c r="D2085" i="1"/>
  <c r="A2085" i="1"/>
  <c r="J2713" i="1"/>
  <c r="D2713" i="1"/>
  <c r="A2713" i="1"/>
  <c r="J2712" i="1"/>
  <c r="D2712" i="1"/>
  <c r="A2712" i="1"/>
  <c r="J2711" i="1"/>
  <c r="D2711" i="1"/>
  <c r="A2711" i="1"/>
  <c r="J2710" i="1"/>
  <c r="D2710" i="1"/>
  <c r="A2710" i="1"/>
  <c r="J2709" i="1"/>
  <c r="D2709" i="1"/>
  <c r="A2709" i="1"/>
  <c r="J2708" i="1"/>
  <c r="D2708" i="1"/>
  <c r="A2708" i="1"/>
  <c r="J2707" i="1"/>
  <c r="D2707" i="1"/>
  <c r="A2707" i="1"/>
  <c r="J2706" i="1"/>
  <c r="D2706" i="1"/>
  <c r="A2706" i="1"/>
  <c r="J2705" i="1"/>
  <c r="D2705" i="1"/>
  <c r="A2705" i="1"/>
  <c r="J2704" i="1"/>
  <c r="D2704" i="1"/>
  <c r="A2704" i="1"/>
  <c r="J2703" i="1"/>
  <c r="D2703" i="1"/>
  <c r="A2703" i="1"/>
  <c r="J2702" i="1"/>
  <c r="D2702" i="1"/>
  <c r="A2702" i="1"/>
  <c r="J2701" i="1"/>
  <c r="D2701" i="1"/>
  <c r="A2701" i="1"/>
  <c r="J2700" i="1"/>
  <c r="D2700" i="1"/>
  <c r="A2700" i="1"/>
  <c r="J2699" i="1"/>
  <c r="D2699" i="1"/>
  <c r="A2699" i="1"/>
  <c r="J2698" i="1"/>
  <c r="D2698" i="1"/>
  <c r="A2698" i="1"/>
  <c r="J2697" i="1"/>
  <c r="D2697" i="1"/>
  <c r="A2697" i="1"/>
  <c r="J2696" i="1"/>
  <c r="D2696" i="1"/>
  <c r="A2696" i="1"/>
  <c r="J2695" i="1"/>
  <c r="D2695" i="1"/>
  <c r="A2695" i="1"/>
  <c r="D1978" i="1"/>
  <c r="J2694" i="1"/>
  <c r="D2694" i="1"/>
  <c r="A2694" i="1"/>
  <c r="J2693" i="1"/>
  <c r="D2693" i="1"/>
  <c r="A2693" i="1"/>
  <c r="J2692" i="1"/>
  <c r="D2692" i="1"/>
  <c r="A2692" i="1"/>
  <c r="J2084" i="1"/>
  <c r="D2084" i="1"/>
  <c r="A2084" i="1"/>
  <c r="J2691" i="1"/>
  <c r="D2691" i="1"/>
  <c r="A2691" i="1"/>
  <c r="J2690" i="1"/>
  <c r="D2690" i="1"/>
  <c r="A2690" i="1"/>
  <c r="J2689" i="1"/>
  <c r="D2689" i="1"/>
  <c r="A2689" i="1"/>
  <c r="J2688" i="1"/>
  <c r="D2688" i="1"/>
  <c r="A2688" i="1"/>
  <c r="J2687" i="1"/>
  <c r="D2687" i="1"/>
  <c r="A2687" i="1"/>
  <c r="J2686" i="1"/>
  <c r="D2686" i="1"/>
  <c r="A2686" i="1"/>
  <c r="J2685" i="1"/>
  <c r="D2685" i="1"/>
  <c r="A2685" i="1"/>
  <c r="J2684" i="1"/>
  <c r="D2684" i="1"/>
  <c r="A2684" i="1"/>
  <c r="J2683" i="1"/>
  <c r="D2683" i="1"/>
  <c r="A2683" i="1"/>
  <c r="J2682" i="1"/>
  <c r="D2682" i="1"/>
  <c r="A2682" i="1"/>
  <c r="J2681" i="1"/>
  <c r="D2681" i="1"/>
  <c r="A2681" i="1"/>
  <c r="J2680" i="1"/>
  <c r="D2680" i="1"/>
  <c r="A2680" i="1"/>
  <c r="J2679" i="1"/>
  <c r="D2679" i="1"/>
  <c r="A2679" i="1"/>
  <c r="J2678" i="1"/>
  <c r="D2678" i="1"/>
  <c r="A2678" i="1"/>
  <c r="J2677" i="1"/>
  <c r="D2677" i="1"/>
  <c r="A2677" i="1"/>
  <c r="J2676" i="1"/>
  <c r="D2676" i="1"/>
  <c r="A2676" i="1"/>
  <c r="J2675" i="1"/>
  <c r="D2675" i="1"/>
  <c r="A2675" i="1"/>
  <c r="J2674" i="1"/>
  <c r="D2674" i="1"/>
  <c r="A2674" i="1"/>
  <c r="J2673" i="1"/>
  <c r="D2673" i="1"/>
  <c r="A2673" i="1"/>
  <c r="J2672" i="1"/>
  <c r="D2672" i="1"/>
  <c r="A2672" i="1"/>
  <c r="J2671" i="1"/>
  <c r="D2671" i="1"/>
  <c r="A2671" i="1"/>
  <c r="J2670" i="1"/>
  <c r="D2670" i="1"/>
  <c r="A2670" i="1"/>
  <c r="J2669" i="1"/>
  <c r="D2669" i="1"/>
  <c r="A2669" i="1"/>
  <c r="J2668" i="1"/>
  <c r="D2668" i="1"/>
  <c r="A2668" i="1"/>
  <c r="J2667" i="1"/>
  <c r="D2667" i="1"/>
  <c r="A2667" i="1"/>
  <c r="J2666" i="1"/>
  <c r="D2666" i="1"/>
  <c r="A2666" i="1"/>
  <c r="J2665" i="1"/>
  <c r="D2665" i="1"/>
  <c r="A2665" i="1"/>
  <c r="J1977" i="1"/>
  <c r="D1977" i="1"/>
  <c r="A1977" i="1"/>
  <c r="J2153" i="1"/>
  <c r="D2153" i="1"/>
  <c r="A2153" i="1"/>
  <c r="J2664" i="1"/>
  <c r="D2664" i="1"/>
  <c r="A2664" i="1"/>
  <c r="J2663" i="1"/>
  <c r="D2663" i="1"/>
  <c r="A2663" i="1"/>
  <c r="J2662" i="1"/>
  <c r="D2662" i="1"/>
  <c r="A2662" i="1"/>
  <c r="J2661" i="1"/>
  <c r="D2661" i="1"/>
  <c r="A2661" i="1"/>
  <c r="J2660" i="1"/>
  <c r="D2660" i="1"/>
  <c r="A2660" i="1"/>
  <c r="J2659" i="1"/>
  <c r="D2659" i="1"/>
  <c r="A2659" i="1"/>
  <c r="J2658" i="1"/>
  <c r="D2658" i="1"/>
  <c r="A2658" i="1"/>
  <c r="D2657" i="1"/>
  <c r="J2656" i="1"/>
  <c r="D2656" i="1"/>
  <c r="A2656" i="1"/>
  <c r="J2655" i="1"/>
  <c r="D2655" i="1"/>
  <c r="A2655" i="1"/>
  <c r="J2654" i="1"/>
  <c r="D2654" i="1"/>
  <c r="A2654" i="1"/>
  <c r="J2653" i="1"/>
  <c r="D2653" i="1"/>
  <c r="A2653" i="1"/>
  <c r="J2652" i="1"/>
  <c r="D2652" i="1"/>
  <c r="A2652" i="1"/>
  <c r="J2651" i="1"/>
  <c r="D2651" i="1"/>
  <c r="A2651" i="1"/>
  <c r="J2650" i="1"/>
  <c r="D2650" i="1"/>
  <c r="A2650" i="1"/>
  <c r="J2649" i="1"/>
  <c r="D2649" i="1"/>
  <c r="A2649" i="1"/>
  <c r="J2648" i="1"/>
  <c r="D2648" i="1"/>
  <c r="A2648" i="1"/>
  <c r="J2647" i="1"/>
  <c r="D2647" i="1"/>
  <c r="A2647" i="1"/>
  <c r="J2646" i="1"/>
  <c r="D2646" i="1"/>
  <c r="A2646" i="1"/>
  <c r="J2645" i="1"/>
  <c r="D2645" i="1"/>
  <c r="A2645" i="1"/>
  <c r="D2644" i="1"/>
  <c r="J2643" i="1"/>
  <c r="D2643" i="1"/>
  <c r="A2643" i="1"/>
  <c r="J2642" i="1"/>
  <c r="D2642" i="1"/>
  <c r="A2642" i="1"/>
  <c r="J2641" i="1"/>
  <c r="D2641" i="1"/>
  <c r="A2641" i="1"/>
  <c r="J2640" i="1"/>
  <c r="D2640" i="1"/>
  <c r="A2640" i="1"/>
  <c r="J2639" i="1"/>
  <c r="D2639" i="1"/>
  <c r="A2639" i="1"/>
  <c r="J2638" i="1"/>
  <c r="D2638" i="1"/>
  <c r="A2638" i="1"/>
  <c r="J2637" i="1"/>
  <c r="D2637" i="1"/>
  <c r="A2637" i="1"/>
  <c r="J2636" i="1"/>
  <c r="D2636" i="1"/>
  <c r="A2636" i="1"/>
  <c r="J2635" i="1"/>
  <c r="D2635" i="1"/>
  <c r="A2635" i="1"/>
  <c r="J2130" i="1"/>
  <c r="D2130" i="1"/>
  <c r="A2130" i="1"/>
  <c r="J2634" i="1"/>
  <c r="D2634" i="1"/>
  <c r="A2634" i="1"/>
  <c r="J2633" i="1"/>
  <c r="D2633" i="1"/>
  <c r="A2633" i="1"/>
  <c r="J2632" i="1"/>
  <c r="D2632" i="1"/>
  <c r="A2632" i="1"/>
  <c r="J2631" i="1"/>
  <c r="D2631" i="1"/>
  <c r="A2631" i="1"/>
  <c r="J2630" i="1"/>
  <c r="D2630" i="1"/>
  <c r="A2630" i="1"/>
  <c r="J2629" i="1"/>
  <c r="D2629" i="1"/>
  <c r="A2629" i="1"/>
  <c r="J2628" i="1"/>
  <c r="D2628" i="1"/>
  <c r="A2628" i="1"/>
  <c r="J2627" i="1"/>
  <c r="D2627" i="1"/>
  <c r="A2627" i="1"/>
  <c r="J2626" i="1"/>
  <c r="D2626" i="1"/>
  <c r="A2626" i="1"/>
  <c r="J2625" i="1"/>
  <c r="D2625" i="1"/>
  <c r="A2625" i="1"/>
  <c r="J2624" i="1"/>
  <c r="D2624" i="1"/>
  <c r="A2624" i="1"/>
  <c r="J2623" i="1"/>
  <c r="D2623" i="1"/>
  <c r="A2623" i="1"/>
  <c r="J2622" i="1"/>
  <c r="D2622" i="1"/>
  <c r="A2622" i="1"/>
  <c r="J2621" i="1"/>
  <c r="D2621" i="1"/>
  <c r="A2621" i="1"/>
  <c r="J2620" i="1"/>
  <c r="D2620" i="1"/>
  <c r="A2620" i="1"/>
  <c r="J2137" i="1"/>
  <c r="D2137" i="1"/>
  <c r="A2137" i="1"/>
  <c r="J2619" i="1"/>
  <c r="D2619" i="1"/>
  <c r="A2619" i="1"/>
  <c r="J2618" i="1"/>
  <c r="D2618" i="1"/>
  <c r="A2618" i="1"/>
  <c r="J2617" i="1"/>
  <c r="D2617" i="1"/>
  <c r="A2617" i="1"/>
  <c r="J2616" i="1"/>
  <c r="D2616" i="1"/>
  <c r="A2616" i="1"/>
  <c r="J2083" i="1"/>
  <c r="D2083" i="1"/>
  <c r="A2083" i="1"/>
  <c r="J2615" i="1"/>
  <c r="D2615" i="1"/>
  <c r="A2615" i="1"/>
  <c r="J1852" i="1"/>
  <c r="D1852" i="1"/>
  <c r="A1852" i="1"/>
  <c r="J2614" i="1"/>
  <c r="D2614" i="1"/>
  <c r="A2614" i="1"/>
  <c r="J2613" i="1"/>
  <c r="D2613" i="1"/>
  <c r="A2613" i="1"/>
  <c r="J2612" i="1"/>
  <c r="D2612" i="1"/>
  <c r="A2612" i="1"/>
  <c r="J2611" i="1"/>
  <c r="D2611" i="1"/>
  <c r="A2611" i="1"/>
  <c r="J2610" i="1"/>
  <c r="D2610" i="1"/>
  <c r="A2610" i="1"/>
  <c r="J2609" i="1"/>
  <c r="D2609" i="1"/>
  <c r="A2609" i="1"/>
  <c r="J2608" i="1"/>
  <c r="D2608" i="1"/>
  <c r="A2608" i="1"/>
  <c r="J2607" i="1"/>
  <c r="D2607" i="1"/>
  <c r="A2607" i="1"/>
  <c r="J2019" i="1"/>
  <c r="D2019" i="1"/>
  <c r="A2019" i="1"/>
  <c r="J2606" i="1"/>
  <c r="D2606" i="1"/>
  <c r="A2606" i="1"/>
  <c r="J2605" i="1"/>
  <c r="D2605" i="1"/>
  <c r="A2605" i="1"/>
  <c r="J2604" i="1"/>
  <c r="D2604" i="1"/>
  <c r="A2604" i="1"/>
  <c r="J2603" i="1"/>
  <c r="D2603" i="1"/>
  <c r="A2603" i="1"/>
  <c r="J2602" i="1"/>
  <c r="D2602" i="1"/>
  <c r="A2602" i="1"/>
  <c r="J2601" i="1"/>
  <c r="D2601" i="1"/>
  <c r="A2601" i="1"/>
  <c r="J2600" i="1"/>
  <c r="D2600" i="1"/>
  <c r="A2600" i="1"/>
  <c r="J2599" i="1"/>
  <c r="D2599" i="1"/>
  <c r="A2599" i="1"/>
  <c r="J2598" i="1"/>
  <c r="D2598" i="1"/>
  <c r="A2598" i="1"/>
  <c r="J2597" i="1"/>
  <c r="D2597" i="1"/>
  <c r="A2597" i="1"/>
  <c r="J2596" i="1"/>
  <c r="D2596" i="1"/>
  <c r="A2596" i="1"/>
  <c r="J2595" i="1"/>
  <c r="D2595" i="1"/>
  <c r="A2595" i="1"/>
  <c r="J2594" i="1"/>
  <c r="D2594" i="1"/>
  <c r="A2594" i="1"/>
  <c r="J2593" i="1"/>
  <c r="D2593" i="1"/>
  <c r="A2593" i="1"/>
  <c r="J2592" i="1"/>
  <c r="D2592" i="1"/>
  <c r="A2592" i="1"/>
  <c r="D2591" i="1"/>
  <c r="D2590" i="1"/>
  <c r="J2589" i="1"/>
  <c r="D2589" i="1"/>
  <c r="A2589" i="1"/>
  <c r="J2588" i="1"/>
  <c r="D2588" i="1"/>
  <c r="A2588" i="1"/>
  <c r="J2587" i="1"/>
  <c r="D2587" i="1"/>
  <c r="A2587" i="1"/>
  <c r="J2586" i="1"/>
  <c r="D2586" i="1"/>
  <c r="A2586" i="1"/>
  <c r="J2585" i="1"/>
  <c r="D2585" i="1"/>
  <c r="A2585" i="1"/>
  <c r="J1976" i="1"/>
  <c r="D1976" i="1"/>
  <c r="A1976" i="1"/>
  <c r="J2584" i="1"/>
  <c r="D2584" i="1"/>
  <c r="A2584" i="1"/>
  <c r="J2583" i="1"/>
  <c r="D2583" i="1"/>
  <c r="A2583" i="1"/>
  <c r="J2582" i="1"/>
  <c r="D2582" i="1"/>
  <c r="A2582" i="1"/>
  <c r="J2581" i="1"/>
  <c r="D2581" i="1"/>
  <c r="A2581" i="1"/>
  <c r="J2580" i="1"/>
  <c r="D2580" i="1"/>
  <c r="A2580" i="1"/>
  <c r="J1975" i="1"/>
  <c r="D1975" i="1"/>
  <c r="A1975" i="1"/>
  <c r="J2579" i="1"/>
  <c r="D2579" i="1"/>
  <c r="A2579" i="1"/>
  <c r="J2578" i="1"/>
  <c r="D2578" i="1"/>
  <c r="A2578" i="1"/>
  <c r="J2577" i="1"/>
  <c r="D2577" i="1"/>
  <c r="A2577" i="1"/>
  <c r="J2576" i="1"/>
  <c r="D2576" i="1"/>
  <c r="A2576" i="1"/>
  <c r="J2575" i="1"/>
  <c r="D2575" i="1"/>
  <c r="A2575" i="1"/>
  <c r="J2574" i="1"/>
  <c r="D2574" i="1"/>
  <c r="A2574" i="1"/>
  <c r="J2573" i="1"/>
  <c r="D2573" i="1"/>
  <c r="A2573" i="1"/>
  <c r="J2572" i="1"/>
  <c r="D2572" i="1"/>
  <c r="A2572" i="1"/>
  <c r="J2571" i="1"/>
  <c r="D2571" i="1"/>
  <c r="A2571" i="1"/>
  <c r="J2570" i="1"/>
  <c r="D2570" i="1"/>
  <c r="A2570" i="1"/>
  <c r="J2082" i="1"/>
  <c r="D2082" i="1"/>
  <c r="A2082" i="1"/>
  <c r="J2129" i="1"/>
  <c r="D2129" i="1"/>
  <c r="A2129" i="1"/>
  <c r="J2569" i="1"/>
  <c r="D2569" i="1"/>
  <c r="A2569" i="1"/>
  <c r="J2568" i="1"/>
  <c r="D2568" i="1"/>
  <c r="A2568" i="1"/>
  <c r="J2567" i="1"/>
  <c r="D2567" i="1"/>
  <c r="A2567" i="1"/>
  <c r="J2566" i="1"/>
  <c r="D2566" i="1"/>
  <c r="A2566" i="1"/>
  <c r="J2128" i="1"/>
  <c r="D2128" i="1"/>
  <c r="A2128" i="1"/>
  <c r="J2127" i="1"/>
  <c r="D2127" i="1"/>
  <c r="A2127" i="1"/>
  <c r="J2565" i="1"/>
  <c r="D2565" i="1"/>
  <c r="A2565" i="1"/>
  <c r="J2564" i="1"/>
  <c r="D2564" i="1"/>
  <c r="A2564" i="1"/>
  <c r="J2563" i="1"/>
  <c r="D2563" i="1"/>
  <c r="A2563" i="1"/>
  <c r="J2562" i="1"/>
  <c r="D2562" i="1"/>
  <c r="A2562" i="1"/>
  <c r="J2561" i="1"/>
  <c r="D2561" i="1"/>
  <c r="A2561" i="1"/>
  <c r="J2126" i="1"/>
  <c r="D2126" i="1"/>
  <c r="A2126" i="1"/>
  <c r="J2560" i="1"/>
  <c r="D2560" i="1"/>
  <c r="A2560" i="1"/>
  <c r="J2559" i="1"/>
  <c r="D2559" i="1"/>
  <c r="A2559" i="1"/>
  <c r="J2558" i="1"/>
  <c r="D2558" i="1"/>
  <c r="A2558" i="1"/>
  <c r="J2557" i="1"/>
  <c r="D2557" i="1"/>
  <c r="A2557" i="1"/>
  <c r="J2556" i="1"/>
  <c r="D2556" i="1"/>
  <c r="A2556" i="1"/>
  <c r="J2555" i="1"/>
  <c r="D2555" i="1"/>
  <c r="A2555" i="1"/>
  <c r="J2554" i="1"/>
  <c r="D2554" i="1"/>
  <c r="A2554" i="1"/>
  <c r="J2553" i="1"/>
  <c r="D2553" i="1"/>
  <c r="A2553" i="1"/>
  <c r="J2552" i="1"/>
  <c r="D2552" i="1"/>
  <c r="A2552" i="1"/>
  <c r="J2551" i="1"/>
  <c r="D2551" i="1"/>
  <c r="A2551" i="1"/>
  <c r="J2550" i="1"/>
  <c r="D2550" i="1"/>
  <c r="A2550" i="1"/>
  <c r="J2549" i="1"/>
  <c r="D2549" i="1"/>
  <c r="A2549" i="1"/>
  <c r="J2548" i="1"/>
  <c r="D2548" i="1"/>
  <c r="A2548" i="1"/>
  <c r="J2108" i="1"/>
  <c r="D2108" i="1"/>
  <c r="A2108" i="1"/>
  <c r="J2547" i="1"/>
  <c r="D2547" i="1"/>
  <c r="A2547" i="1"/>
  <c r="J2546" i="1"/>
  <c r="D2546" i="1"/>
  <c r="A2546" i="1"/>
  <c r="J2545" i="1"/>
  <c r="D2545" i="1"/>
  <c r="A2545" i="1"/>
  <c r="J2150" i="1"/>
  <c r="D2150" i="1"/>
  <c r="A2150" i="1"/>
  <c r="J2544" i="1"/>
  <c r="D2544" i="1"/>
  <c r="A2544" i="1"/>
  <c r="J2149" i="1"/>
  <c r="D2149" i="1"/>
  <c r="A2149" i="1"/>
  <c r="J2543" i="1"/>
  <c r="D2543" i="1"/>
  <c r="A2543" i="1"/>
  <c r="J2081" i="1"/>
  <c r="D2081" i="1"/>
  <c r="A2081" i="1"/>
  <c r="J2542" i="1"/>
  <c r="D2542" i="1"/>
  <c r="A2542" i="1"/>
  <c r="J2541" i="1"/>
  <c r="D2541" i="1"/>
  <c r="A2541" i="1"/>
  <c r="J1974" i="1"/>
  <c r="D1974" i="1"/>
  <c r="A1974" i="1"/>
  <c r="J2540" i="1"/>
  <c r="D2540" i="1"/>
  <c r="A2540" i="1"/>
  <c r="J2539" i="1"/>
  <c r="D2539" i="1"/>
  <c r="A2539" i="1"/>
  <c r="J2538" i="1"/>
  <c r="D2538" i="1"/>
  <c r="A2538" i="1"/>
  <c r="J2537" i="1"/>
  <c r="D2537" i="1"/>
  <c r="A2537" i="1"/>
  <c r="J2107" i="1"/>
  <c r="D2107" i="1"/>
  <c r="A2107" i="1"/>
  <c r="J2536" i="1"/>
  <c r="D2536" i="1"/>
  <c r="A2536" i="1"/>
  <c r="J2535" i="1"/>
  <c r="D2535" i="1"/>
  <c r="A2535" i="1"/>
  <c r="J1973" i="1"/>
  <c r="D1973" i="1"/>
  <c r="A1973" i="1"/>
  <c r="J2534" i="1"/>
  <c r="D2534" i="1"/>
  <c r="A2534" i="1"/>
  <c r="J2533" i="1"/>
  <c r="D2533" i="1"/>
  <c r="A2533" i="1"/>
  <c r="J2532" i="1"/>
  <c r="D2532" i="1"/>
  <c r="A2532" i="1"/>
  <c r="J2080" i="1"/>
  <c r="D2080" i="1"/>
  <c r="A2080" i="1"/>
  <c r="J2531" i="1"/>
  <c r="D2531" i="1"/>
  <c r="A2531" i="1"/>
  <c r="J2530" i="1"/>
  <c r="D2530" i="1"/>
  <c r="A2530" i="1"/>
  <c r="D2529" i="1"/>
  <c r="J2528" i="1"/>
  <c r="D2528" i="1"/>
  <c r="A2528" i="1"/>
  <c r="J2527" i="1"/>
  <c r="D2527" i="1"/>
  <c r="A2527" i="1"/>
  <c r="J2526" i="1"/>
  <c r="D2526" i="1"/>
  <c r="A2526" i="1"/>
  <c r="J2525" i="1"/>
  <c r="D2525" i="1"/>
  <c r="A2525" i="1"/>
  <c r="J2524" i="1"/>
  <c r="D2524" i="1"/>
  <c r="A2524" i="1"/>
  <c r="J2523" i="1"/>
  <c r="D2523" i="1"/>
  <c r="A2523" i="1"/>
  <c r="J2522" i="1"/>
  <c r="D2522" i="1"/>
  <c r="A2522" i="1"/>
  <c r="J2521" i="1"/>
  <c r="D2521" i="1"/>
  <c r="A2521" i="1"/>
  <c r="J1972" i="1"/>
  <c r="D1972" i="1"/>
  <c r="A1972" i="1"/>
  <c r="J2145" i="1"/>
  <c r="D2145" i="1"/>
  <c r="A2145" i="1"/>
  <c r="J2144" i="1"/>
  <c r="D2144" i="1"/>
  <c r="A2144" i="1"/>
  <c r="J2520" i="1"/>
  <c r="D2520" i="1"/>
  <c r="A2520" i="1"/>
  <c r="J2519" i="1"/>
  <c r="D2519" i="1"/>
  <c r="A2519" i="1"/>
  <c r="J2518" i="1"/>
  <c r="D2518" i="1"/>
  <c r="A2518" i="1"/>
  <c r="J2517" i="1"/>
  <c r="D2517" i="1"/>
  <c r="A2517" i="1"/>
  <c r="J2079" i="1"/>
  <c r="D2079" i="1"/>
  <c r="A2079" i="1"/>
  <c r="D2516" i="1"/>
  <c r="J2125" i="1"/>
  <c r="D2125" i="1"/>
  <c r="A2125" i="1"/>
  <c r="J2515" i="1"/>
  <c r="D2515" i="1"/>
  <c r="A2515" i="1"/>
  <c r="J2514" i="1"/>
  <c r="D2514" i="1"/>
  <c r="A2514" i="1"/>
  <c r="J2513" i="1"/>
  <c r="D2513" i="1"/>
  <c r="A2513" i="1"/>
  <c r="J2512" i="1"/>
  <c r="D2512" i="1"/>
  <c r="A2512" i="1"/>
  <c r="J2511" i="1"/>
  <c r="D2511" i="1"/>
  <c r="A2511" i="1"/>
  <c r="J2510" i="1"/>
  <c r="D2510" i="1"/>
  <c r="A2510" i="1"/>
  <c r="J2509" i="1"/>
  <c r="D2509" i="1"/>
  <c r="A2509" i="1"/>
  <c r="J2136" i="1"/>
  <c r="D2136" i="1"/>
  <c r="A2136" i="1"/>
  <c r="J2508" i="1"/>
  <c r="D2508" i="1"/>
  <c r="A2508" i="1"/>
  <c r="J2507" i="1"/>
  <c r="D2507" i="1"/>
  <c r="A2507" i="1"/>
  <c r="J2506" i="1"/>
  <c r="D2506" i="1"/>
  <c r="A2506" i="1"/>
  <c r="J2505" i="1"/>
  <c r="D2505" i="1"/>
  <c r="A2505" i="1"/>
  <c r="J2504" i="1"/>
  <c r="D2504" i="1"/>
  <c r="A2504" i="1"/>
  <c r="J2503" i="1"/>
  <c r="D2503" i="1"/>
  <c r="A2503" i="1"/>
  <c r="J2502" i="1"/>
  <c r="D2502" i="1"/>
  <c r="A2502" i="1"/>
  <c r="J2501" i="1"/>
  <c r="D2501" i="1"/>
  <c r="A2501" i="1"/>
  <c r="J2500" i="1"/>
  <c r="D2500" i="1"/>
  <c r="A2500" i="1"/>
  <c r="J2499" i="1"/>
  <c r="D2499" i="1"/>
  <c r="A2499" i="1"/>
  <c r="J2498" i="1"/>
  <c r="D2498" i="1"/>
  <c r="A2498" i="1"/>
  <c r="J2497" i="1"/>
  <c r="D2497" i="1"/>
  <c r="A2497" i="1"/>
  <c r="J2496" i="1"/>
  <c r="D2496" i="1"/>
  <c r="A2496" i="1"/>
  <c r="J2495" i="1"/>
  <c r="D2495" i="1"/>
  <c r="A2495" i="1"/>
  <c r="J2494" i="1"/>
  <c r="D2494" i="1"/>
  <c r="A2494" i="1"/>
  <c r="J2493" i="1"/>
  <c r="D2493" i="1"/>
  <c r="A2493" i="1"/>
  <c r="J2106" i="1"/>
  <c r="D2106" i="1"/>
  <c r="A2106" i="1"/>
  <c r="J2492" i="1"/>
  <c r="D2492" i="1"/>
  <c r="A2492" i="1"/>
  <c r="J2491" i="1"/>
  <c r="D2491" i="1"/>
  <c r="A2491" i="1"/>
  <c r="J2490" i="1"/>
  <c r="D2490" i="1"/>
  <c r="A2490" i="1"/>
  <c r="J2489" i="1"/>
  <c r="D2489" i="1"/>
  <c r="A2489" i="1"/>
  <c r="J2488" i="1"/>
  <c r="D2488" i="1"/>
  <c r="A2488" i="1"/>
  <c r="J2487" i="1"/>
  <c r="D2487" i="1"/>
  <c r="A2487" i="1"/>
  <c r="J2486" i="1"/>
  <c r="D2486" i="1"/>
  <c r="A2486" i="1"/>
  <c r="J2485" i="1"/>
  <c r="D2485" i="1"/>
  <c r="A2485" i="1"/>
  <c r="J2484" i="1"/>
  <c r="D2484" i="1"/>
  <c r="A2484" i="1"/>
  <c r="J2483" i="1"/>
  <c r="D2483" i="1"/>
  <c r="A2483" i="1"/>
  <c r="J2482" i="1"/>
  <c r="D2482" i="1"/>
  <c r="A2482" i="1"/>
  <c r="J1971" i="1"/>
  <c r="D1971" i="1"/>
  <c r="A1971" i="1"/>
  <c r="J2481" i="1"/>
  <c r="D2481" i="1"/>
  <c r="A2481" i="1"/>
  <c r="J2480" i="1"/>
  <c r="D2480" i="1"/>
  <c r="A2480" i="1"/>
  <c r="J2479" i="1"/>
  <c r="D2479" i="1"/>
  <c r="A2479" i="1"/>
  <c r="J2478" i="1"/>
  <c r="D2478" i="1"/>
  <c r="A2478" i="1"/>
  <c r="J2477" i="1"/>
  <c r="D2477" i="1"/>
  <c r="A2477" i="1"/>
  <c r="J2124" i="1"/>
  <c r="D2124" i="1"/>
  <c r="A2124" i="1"/>
  <c r="D1970" i="1"/>
  <c r="J2476" i="1"/>
  <c r="D2476" i="1"/>
  <c r="A2476" i="1"/>
  <c r="J2475" i="1"/>
  <c r="D2475" i="1"/>
  <c r="A2475" i="1"/>
  <c r="J2474" i="1"/>
  <c r="D2474" i="1"/>
  <c r="A2474" i="1"/>
  <c r="J2473" i="1"/>
  <c r="D2473" i="1"/>
  <c r="A2473" i="1"/>
  <c r="J2472" i="1"/>
  <c r="D2472" i="1"/>
  <c r="A2472" i="1"/>
  <c r="J2078" i="1"/>
  <c r="D2078" i="1"/>
  <c r="A2078" i="1"/>
  <c r="J2471" i="1"/>
  <c r="D2471" i="1"/>
  <c r="A2471" i="1"/>
  <c r="J2470" i="1"/>
  <c r="D2470" i="1"/>
  <c r="A2470" i="1"/>
  <c r="J2469" i="1"/>
  <c r="D2469" i="1"/>
  <c r="A2469" i="1"/>
  <c r="J1969" i="1"/>
  <c r="D1969" i="1"/>
  <c r="A1969" i="1"/>
  <c r="J2468" i="1"/>
  <c r="D2468" i="1"/>
  <c r="A2468" i="1"/>
  <c r="J2467" i="1"/>
  <c r="D2467" i="1"/>
  <c r="A2467" i="1"/>
  <c r="J2466" i="1"/>
  <c r="D2466" i="1"/>
  <c r="A2466" i="1"/>
  <c r="J2465" i="1"/>
  <c r="D2465" i="1"/>
  <c r="A2465" i="1"/>
  <c r="J2464" i="1"/>
  <c r="D2464" i="1"/>
  <c r="A2464" i="1"/>
  <c r="J2463" i="1"/>
  <c r="D2463" i="1"/>
  <c r="A2463" i="1"/>
  <c r="D1968" i="1"/>
  <c r="J2462" i="1"/>
  <c r="D2462" i="1"/>
  <c r="A2462" i="1"/>
  <c r="J2461" i="1"/>
  <c r="D2461" i="1"/>
  <c r="A2461" i="1"/>
  <c r="J2460" i="1"/>
  <c r="D2460" i="1"/>
  <c r="A2460" i="1"/>
  <c r="D2459" i="1"/>
  <c r="J2458" i="1"/>
  <c r="D2458" i="1"/>
  <c r="A2458" i="1"/>
  <c r="J2457" i="1"/>
  <c r="D2457" i="1"/>
  <c r="A2457" i="1"/>
  <c r="J2456" i="1"/>
  <c r="D2456" i="1"/>
  <c r="A2456" i="1"/>
  <c r="J2455" i="1"/>
  <c r="D2455" i="1"/>
  <c r="A2455" i="1"/>
  <c r="J2454" i="1"/>
  <c r="D2454" i="1"/>
  <c r="A2454" i="1"/>
  <c r="J2453" i="1"/>
  <c r="D2453" i="1"/>
  <c r="A2453" i="1"/>
  <c r="J2452" i="1"/>
  <c r="D2452" i="1"/>
  <c r="A2452" i="1"/>
  <c r="J2451" i="1"/>
  <c r="D2451" i="1"/>
  <c r="A2451" i="1"/>
  <c r="J2077" i="1"/>
  <c r="D2077" i="1"/>
  <c r="A2077" i="1"/>
  <c r="J2450" i="1"/>
  <c r="D2450" i="1"/>
  <c r="A2450" i="1"/>
  <c r="J2449" i="1"/>
  <c r="D2449" i="1"/>
  <c r="A2449" i="1"/>
  <c r="J2448" i="1"/>
  <c r="D2448" i="1"/>
  <c r="A2448" i="1"/>
  <c r="J2447" i="1"/>
  <c r="D2447" i="1"/>
  <c r="A2447" i="1"/>
  <c r="J2446" i="1"/>
  <c r="D2446" i="1"/>
  <c r="A2446" i="1"/>
  <c r="J2076" i="1"/>
  <c r="D2076" i="1"/>
  <c r="A2076" i="1"/>
  <c r="J2445" i="1"/>
  <c r="D2445" i="1"/>
  <c r="A2445" i="1"/>
  <c r="J2444" i="1"/>
  <c r="D2444" i="1"/>
  <c r="A2444" i="1"/>
  <c r="J2123" i="1"/>
  <c r="D2123" i="1"/>
  <c r="A2123" i="1"/>
  <c r="J2443" i="1"/>
  <c r="D2443" i="1"/>
  <c r="A2443" i="1"/>
  <c r="J2442" i="1"/>
  <c r="D2442" i="1"/>
  <c r="A2442" i="1"/>
  <c r="J2441" i="1"/>
  <c r="D2441" i="1"/>
  <c r="A2441" i="1"/>
  <c r="J2440" i="1"/>
  <c r="D2440" i="1"/>
  <c r="A2440" i="1"/>
  <c r="J2018" i="1"/>
  <c r="D2018" i="1"/>
  <c r="A2018" i="1"/>
  <c r="J2439" i="1"/>
  <c r="D2439" i="1"/>
  <c r="A2439" i="1"/>
  <c r="J2075" i="1"/>
  <c r="D2075" i="1"/>
  <c r="A2075" i="1"/>
  <c r="J2438" i="1"/>
  <c r="D2438" i="1"/>
  <c r="A2438" i="1"/>
  <c r="J2437" i="1"/>
  <c r="D2437" i="1"/>
  <c r="A2437" i="1"/>
  <c r="J2436" i="1"/>
  <c r="D2436" i="1"/>
  <c r="A2436" i="1"/>
  <c r="J2435" i="1"/>
  <c r="D2435" i="1"/>
  <c r="A2435" i="1"/>
  <c r="J2434" i="1"/>
  <c r="D2434" i="1"/>
  <c r="A2434" i="1"/>
  <c r="J2105" i="1"/>
  <c r="D2105" i="1"/>
  <c r="A2105" i="1"/>
  <c r="J2433" i="1"/>
  <c r="D2433" i="1"/>
  <c r="A2433" i="1"/>
  <c r="J2432" i="1"/>
  <c r="D2432" i="1"/>
  <c r="A2432" i="1"/>
  <c r="J2431" i="1"/>
  <c r="D2431" i="1"/>
  <c r="A2431" i="1"/>
  <c r="J2430" i="1"/>
  <c r="D2430" i="1"/>
  <c r="A2430" i="1"/>
  <c r="J2429" i="1"/>
  <c r="D2429" i="1"/>
  <c r="A2429" i="1"/>
  <c r="D1967" i="1"/>
  <c r="J2074" i="1"/>
  <c r="D2074" i="1"/>
  <c r="A2074" i="1"/>
  <c r="J2428" i="1"/>
  <c r="D2428" i="1"/>
  <c r="A2428" i="1"/>
  <c r="J2427" i="1"/>
  <c r="D2427" i="1"/>
  <c r="A2427" i="1"/>
  <c r="J2426" i="1"/>
  <c r="D2426" i="1"/>
  <c r="A2426" i="1"/>
  <c r="J2425" i="1"/>
  <c r="D2425" i="1"/>
  <c r="A2425" i="1"/>
  <c r="D2424" i="1"/>
  <c r="J2423" i="1"/>
  <c r="D2423" i="1"/>
  <c r="A2423" i="1"/>
  <c r="J2422" i="1"/>
  <c r="D2422" i="1"/>
  <c r="A2422" i="1"/>
  <c r="J2421" i="1"/>
  <c r="D2421" i="1"/>
  <c r="A2421" i="1"/>
  <c r="J2420" i="1"/>
  <c r="D2420" i="1"/>
  <c r="A2420" i="1"/>
  <c r="J2419" i="1"/>
  <c r="D2419" i="1"/>
  <c r="A2419" i="1"/>
  <c r="D2418" i="1"/>
  <c r="J2417" i="1"/>
  <c r="D2417" i="1"/>
  <c r="A2417" i="1"/>
  <c r="J2416" i="1"/>
  <c r="D2416" i="1"/>
  <c r="A2416" i="1"/>
  <c r="J2122" i="1"/>
  <c r="D2122" i="1"/>
  <c r="A2122" i="1"/>
  <c r="J2415" i="1"/>
  <c r="D2415" i="1"/>
  <c r="A2415" i="1"/>
  <c r="J2414" i="1"/>
  <c r="D2414" i="1"/>
  <c r="A2414" i="1"/>
  <c r="J1966" i="1"/>
  <c r="D1966" i="1"/>
  <c r="A1966" i="1"/>
  <c r="J2104" i="1"/>
  <c r="D2104" i="1"/>
  <c r="A2104" i="1"/>
  <c r="J2413" i="1"/>
  <c r="D2413" i="1"/>
  <c r="A2413" i="1"/>
  <c r="J2412" i="1"/>
  <c r="D2412" i="1"/>
  <c r="A2412" i="1"/>
  <c r="J1965" i="1"/>
  <c r="D1965" i="1"/>
  <c r="A1965" i="1"/>
  <c r="J2411" i="1"/>
  <c r="D2411" i="1"/>
  <c r="A2411" i="1"/>
  <c r="J2410" i="1"/>
  <c r="D2410" i="1"/>
  <c r="A2410" i="1"/>
  <c r="J2409" i="1"/>
  <c r="D2409" i="1"/>
  <c r="A2409" i="1"/>
  <c r="J2408" i="1"/>
  <c r="D2408" i="1"/>
  <c r="A2408" i="1"/>
  <c r="J2407" i="1"/>
  <c r="D2407" i="1"/>
  <c r="A2407" i="1"/>
  <c r="J2406" i="1"/>
  <c r="D2406" i="1"/>
  <c r="A2406" i="1"/>
  <c r="J2073" i="1"/>
  <c r="D2073" i="1"/>
  <c r="A2073" i="1"/>
  <c r="J2405" i="1"/>
  <c r="D2405" i="1"/>
  <c r="A2405" i="1"/>
  <c r="J2404" i="1"/>
  <c r="D2404" i="1"/>
  <c r="A2404" i="1"/>
  <c r="J2072" i="1"/>
  <c r="D2072" i="1"/>
  <c r="A2072" i="1"/>
  <c r="J2403" i="1"/>
  <c r="D2403" i="1"/>
  <c r="A2403" i="1"/>
  <c r="J2402" i="1"/>
  <c r="D2402" i="1"/>
  <c r="A2402" i="1"/>
  <c r="J2401" i="1"/>
  <c r="D2401" i="1"/>
  <c r="A2401" i="1"/>
  <c r="J2400" i="1"/>
  <c r="D2400" i="1"/>
  <c r="A2400" i="1"/>
  <c r="D2399" i="1"/>
  <c r="J2143" i="1"/>
  <c r="D2143" i="1"/>
  <c r="A2143" i="1"/>
  <c r="J2398" i="1"/>
  <c r="D2398" i="1"/>
  <c r="A2398" i="1"/>
  <c r="J2142" i="1"/>
  <c r="D2142" i="1"/>
  <c r="A2142" i="1"/>
  <c r="J2397" i="1"/>
  <c r="D2397" i="1"/>
  <c r="A2397" i="1"/>
  <c r="J2396" i="1"/>
  <c r="D2396" i="1"/>
  <c r="A2396" i="1"/>
  <c r="J2071" i="1"/>
  <c r="D2071" i="1"/>
  <c r="A2071" i="1"/>
  <c r="J2395" i="1"/>
  <c r="D2395" i="1"/>
  <c r="A2395" i="1"/>
  <c r="J2394" i="1"/>
  <c r="D2394" i="1"/>
  <c r="A2394" i="1"/>
  <c r="J2393" i="1"/>
  <c r="D2393" i="1"/>
  <c r="A2393" i="1"/>
  <c r="J2070" i="1"/>
  <c r="D2070" i="1"/>
  <c r="A2070" i="1"/>
  <c r="J2392" i="1"/>
  <c r="D2392" i="1"/>
  <c r="A2392" i="1"/>
  <c r="J2391" i="1"/>
  <c r="D2391" i="1"/>
  <c r="A2391" i="1"/>
  <c r="J2390" i="1"/>
  <c r="D2390" i="1"/>
  <c r="A2390" i="1"/>
  <c r="J2389" i="1"/>
  <c r="D2389" i="1"/>
  <c r="A2389" i="1"/>
  <c r="J2388" i="1"/>
  <c r="D2388" i="1"/>
  <c r="A2388" i="1"/>
  <c r="J2387" i="1"/>
  <c r="D2387" i="1"/>
  <c r="A2387" i="1"/>
  <c r="J2386" i="1"/>
  <c r="D2386" i="1"/>
  <c r="A2386" i="1"/>
  <c r="J2385" i="1"/>
  <c r="D2385" i="1"/>
  <c r="A2385" i="1"/>
  <c r="J2384" i="1"/>
  <c r="D2384" i="1"/>
  <c r="A2384" i="1"/>
  <c r="J2383" i="1"/>
  <c r="D2383" i="1"/>
  <c r="A2383" i="1"/>
  <c r="J2382" i="1"/>
  <c r="D2382" i="1"/>
  <c r="A2382" i="1"/>
  <c r="J2381" i="1"/>
  <c r="D2381" i="1"/>
  <c r="A2381" i="1"/>
  <c r="J2380" i="1"/>
  <c r="D2380" i="1"/>
  <c r="A2380" i="1"/>
  <c r="J2379" i="1"/>
  <c r="D2379" i="1"/>
  <c r="A2379" i="1"/>
  <c r="J2103" i="1"/>
  <c r="D2103" i="1"/>
  <c r="A2103" i="1"/>
  <c r="J2378" i="1"/>
  <c r="D2378" i="1"/>
  <c r="A2378" i="1"/>
  <c r="D2377" i="1"/>
  <c r="J2376" i="1"/>
  <c r="D2376" i="1"/>
  <c r="A2376" i="1"/>
  <c r="J2375" i="1"/>
  <c r="D2375" i="1"/>
  <c r="A2375" i="1"/>
  <c r="J2374" i="1"/>
  <c r="D2374" i="1"/>
  <c r="A2374" i="1"/>
  <c r="J2373" i="1"/>
  <c r="D2373" i="1"/>
  <c r="A2373" i="1"/>
  <c r="J2372" i="1"/>
  <c r="D2372" i="1"/>
  <c r="A2372" i="1"/>
  <c r="J1964" i="1"/>
  <c r="D1964" i="1"/>
  <c r="A1964" i="1"/>
  <c r="D2371" i="1"/>
  <c r="J2370" i="1"/>
  <c r="D2370" i="1"/>
  <c r="A2370" i="1"/>
  <c r="J2017" i="1"/>
  <c r="D2017" i="1"/>
  <c r="A2017" i="1"/>
  <c r="J2369" i="1"/>
  <c r="D2369" i="1"/>
  <c r="A2369" i="1"/>
  <c r="J2368" i="1"/>
  <c r="D2368" i="1"/>
  <c r="A2368" i="1"/>
  <c r="J2069" i="1"/>
  <c r="D2069" i="1"/>
  <c r="A2069" i="1"/>
  <c r="J2068" i="1"/>
  <c r="D2068" i="1"/>
  <c r="A2068" i="1"/>
  <c r="J2367" i="1"/>
  <c r="D2367" i="1"/>
  <c r="A2367" i="1"/>
  <c r="J2366" i="1"/>
  <c r="D2366" i="1"/>
  <c r="A2366" i="1"/>
  <c r="J2365" i="1"/>
  <c r="D2365" i="1"/>
  <c r="A2365" i="1"/>
  <c r="J2364" i="1"/>
  <c r="D2364" i="1"/>
  <c r="A2364" i="1"/>
  <c r="J2067" i="1"/>
  <c r="D2067" i="1"/>
  <c r="A2067" i="1"/>
  <c r="J2363" i="1"/>
  <c r="D2363" i="1"/>
  <c r="A2363" i="1"/>
  <c r="J2362" i="1"/>
  <c r="D2362" i="1"/>
  <c r="A2362" i="1"/>
  <c r="J2361" i="1"/>
  <c r="D2361" i="1"/>
  <c r="A2361" i="1"/>
  <c r="J2066" i="1"/>
  <c r="D2066" i="1"/>
  <c r="A2066" i="1"/>
  <c r="J2360" i="1"/>
  <c r="D2360" i="1"/>
  <c r="A2360" i="1"/>
  <c r="J2359" i="1"/>
  <c r="D2359" i="1"/>
  <c r="A2359" i="1"/>
  <c r="J1963" i="1"/>
  <c r="D1963" i="1"/>
  <c r="A1963" i="1"/>
  <c r="J2358" i="1"/>
  <c r="D2358" i="1"/>
  <c r="A2358" i="1"/>
  <c r="J2357" i="1"/>
  <c r="D2357" i="1"/>
  <c r="A2357" i="1"/>
  <c r="J2356" i="1"/>
  <c r="D2356" i="1"/>
  <c r="A2356" i="1"/>
  <c r="J2121" i="1"/>
  <c r="D2121" i="1"/>
  <c r="A2121" i="1"/>
  <c r="J2016" i="1"/>
  <c r="D2016" i="1"/>
  <c r="A2016" i="1"/>
  <c r="J2355" i="1"/>
  <c r="D2355" i="1"/>
  <c r="A2355" i="1"/>
  <c r="J2354" i="1"/>
  <c r="D2354" i="1"/>
  <c r="A2354" i="1"/>
  <c r="J2353" i="1"/>
  <c r="D2353" i="1"/>
  <c r="A2353" i="1"/>
  <c r="J2352" i="1"/>
  <c r="D2352" i="1"/>
  <c r="A2352" i="1"/>
  <c r="J2351" i="1"/>
  <c r="D2351" i="1"/>
  <c r="A2351" i="1"/>
  <c r="J2350" i="1"/>
  <c r="D2350" i="1"/>
  <c r="A2350" i="1"/>
  <c r="J2349" i="1"/>
  <c r="D2349" i="1"/>
  <c r="A2349" i="1"/>
  <c r="J2065" i="1"/>
  <c r="D2065" i="1"/>
  <c r="A2065" i="1"/>
  <c r="J2348" i="1"/>
  <c r="D2348" i="1"/>
  <c r="A2348" i="1"/>
  <c r="J2347" i="1"/>
  <c r="D2347" i="1"/>
  <c r="A2347" i="1"/>
  <c r="J2346" i="1"/>
  <c r="D2346" i="1"/>
  <c r="A2346" i="1"/>
  <c r="J2345" i="1"/>
  <c r="D2345" i="1"/>
  <c r="A2345" i="1"/>
  <c r="J2344" i="1"/>
  <c r="D2344" i="1"/>
  <c r="A2344" i="1"/>
  <c r="D2343" i="1"/>
  <c r="J2342" i="1"/>
  <c r="D2342" i="1"/>
  <c r="A2342" i="1"/>
  <c r="J2341" i="1"/>
  <c r="D2341" i="1"/>
  <c r="A2341" i="1"/>
  <c r="J2340" i="1"/>
  <c r="D2340" i="1"/>
  <c r="A2340" i="1"/>
  <c r="J2141" i="1"/>
  <c r="D2141" i="1"/>
  <c r="A2141" i="1"/>
  <c r="J1962" i="1"/>
  <c r="D1962" i="1"/>
  <c r="A1962" i="1"/>
  <c r="J2339" i="1"/>
  <c r="D2339" i="1"/>
  <c r="A2339" i="1"/>
  <c r="J2338" i="1"/>
  <c r="D2338" i="1"/>
  <c r="A2338" i="1"/>
  <c r="J2337" i="1"/>
  <c r="D2337" i="1"/>
  <c r="A2337" i="1"/>
  <c r="D2336" i="1"/>
  <c r="J2335" i="1"/>
  <c r="D2335" i="1"/>
  <c r="A2335" i="1"/>
  <c r="J2334" i="1"/>
  <c r="D2334" i="1"/>
  <c r="A2334" i="1"/>
  <c r="J2333" i="1"/>
  <c r="D2333" i="1"/>
  <c r="A2333" i="1"/>
  <c r="D2332" i="1"/>
  <c r="J2015" i="1"/>
  <c r="D2015" i="1"/>
  <c r="A2015" i="1"/>
  <c r="J2331" i="1"/>
  <c r="D2331" i="1"/>
  <c r="A2331" i="1"/>
  <c r="J2330" i="1"/>
  <c r="D2330" i="1"/>
  <c r="A2330" i="1"/>
  <c r="J2329" i="1"/>
  <c r="D2329" i="1"/>
  <c r="A2329" i="1"/>
  <c r="J2328" i="1"/>
  <c r="D2328" i="1"/>
  <c r="A2328" i="1"/>
  <c r="J2014" i="1"/>
  <c r="D2014" i="1"/>
  <c r="A2014" i="1"/>
  <c r="J2327" i="1"/>
  <c r="D2327" i="1"/>
  <c r="A2327" i="1"/>
  <c r="J2326" i="1"/>
  <c r="D2326" i="1"/>
  <c r="A2326" i="1"/>
  <c r="J2064" i="1"/>
  <c r="D2064" i="1"/>
  <c r="A2064" i="1"/>
  <c r="J2325" i="1"/>
  <c r="D2325" i="1"/>
  <c r="A2325" i="1"/>
  <c r="D2324" i="1"/>
  <c r="D2323" i="1"/>
  <c r="D2322" i="1"/>
  <c r="J2321" i="1"/>
  <c r="D2321" i="1"/>
  <c r="A2321" i="1"/>
  <c r="J2320" i="1"/>
  <c r="D2320" i="1"/>
  <c r="A2320" i="1"/>
  <c r="J2319" i="1"/>
  <c r="D2319" i="1"/>
  <c r="A2319" i="1"/>
  <c r="J2318" i="1"/>
  <c r="D2318" i="1"/>
  <c r="A2318" i="1"/>
  <c r="J2140" i="1"/>
  <c r="D2140" i="1"/>
  <c r="A2140" i="1"/>
  <c r="J2317" i="1"/>
  <c r="D2317" i="1"/>
  <c r="A2317" i="1"/>
  <c r="D2316" i="1"/>
  <c r="D2315" i="1"/>
  <c r="J2314" i="1"/>
  <c r="D2314" i="1"/>
  <c r="A2314" i="1"/>
  <c r="J2120" i="1"/>
  <c r="D2120" i="1"/>
  <c r="A2120" i="1"/>
  <c r="J2313" i="1"/>
  <c r="D2313" i="1"/>
  <c r="A2313" i="1"/>
  <c r="J2102" i="1"/>
  <c r="D2102" i="1"/>
  <c r="A2102" i="1"/>
  <c r="J2312" i="1"/>
  <c r="D2312" i="1"/>
  <c r="A2312" i="1"/>
  <c r="D2311" i="1"/>
  <c r="J2139" i="1"/>
  <c r="D2139" i="1"/>
  <c r="A2139" i="1"/>
  <c r="D2310" i="1"/>
  <c r="D2309" i="1"/>
  <c r="J2308" i="1"/>
  <c r="D2308" i="1"/>
  <c r="A2308" i="1"/>
  <c r="J2307" i="1"/>
  <c r="D2307" i="1"/>
  <c r="A2307" i="1"/>
  <c r="J2306" i="1"/>
  <c r="D2306" i="1"/>
  <c r="A2306" i="1"/>
  <c r="J2305" i="1"/>
  <c r="D2305" i="1"/>
  <c r="A2305" i="1"/>
  <c r="D2304" i="1"/>
  <c r="J2303" i="1"/>
  <c r="D2303" i="1"/>
  <c r="A2303" i="1"/>
  <c r="J2302" i="1"/>
  <c r="D2302" i="1"/>
  <c r="A2302" i="1"/>
  <c r="J2301" i="1"/>
  <c r="D2301" i="1"/>
  <c r="A2301" i="1"/>
  <c r="J2300" i="1"/>
  <c r="D2300" i="1"/>
  <c r="A2300" i="1"/>
  <c r="D2299" i="1"/>
  <c r="J2298" i="1"/>
  <c r="D2298" i="1"/>
  <c r="A2298" i="1"/>
  <c r="J2297" i="1"/>
  <c r="D2297" i="1"/>
  <c r="A2297" i="1"/>
  <c r="J2063" i="1"/>
  <c r="D2063" i="1"/>
  <c r="A2063" i="1"/>
  <c r="J2013" i="1"/>
  <c r="D2013" i="1"/>
  <c r="A2013" i="1"/>
  <c r="D2296" i="1"/>
  <c r="J2295" i="1"/>
  <c r="D2295" i="1"/>
  <c r="A2295" i="1"/>
  <c r="J2294" i="1"/>
  <c r="D2294" i="1"/>
  <c r="A2294" i="1"/>
  <c r="J2062" i="1"/>
  <c r="D2062" i="1"/>
  <c r="A2062" i="1"/>
  <c r="J2293" i="1"/>
  <c r="D2293" i="1"/>
  <c r="A2293" i="1"/>
  <c r="D2292" i="1"/>
  <c r="D2291" i="1"/>
  <c r="J2119" i="1"/>
  <c r="D2119" i="1"/>
  <c r="A2119" i="1"/>
  <c r="J2290" i="1"/>
  <c r="D2290" i="1"/>
  <c r="A2290" i="1"/>
  <c r="J2289" i="1"/>
  <c r="D2289" i="1"/>
  <c r="A2289" i="1"/>
  <c r="J2288" i="1"/>
  <c r="D2288" i="1"/>
  <c r="A2288" i="1"/>
  <c r="J2287" i="1"/>
  <c r="D2287" i="1"/>
  <c r="A2287" i="1"/>
  <c r="J2101" i="1"/>
  <c r="D2101" i="1"/>
  <c r="A2101" i="1"/>
  <c r="J2138" i="1"/>
  <c r="D2138" i="1"/>
  <c r="A2138" i="1"/>
  <c r="J2061" i="1"/>
  <c r="D2061" i="1"/>
  <c r="A2061" i="1"/>
  <c r="J2286" i="1"/>
  <c r="D2286" i="1"/>
  <c r="A2286" i="1"/>
  <c r="J2060" i="1"/>
  <c r="D2060" i="1"/>
  <c r="A2060" i="1"/>
  <c r="J2285" i="1"/>
  <c r="D2285" i="1"/>
  <c r="A2285" i="1"/>
  <c r="J2284" i="1"/>
  <c r="D2284" i="1"/>
  <c r="A2284" i="1"/>
  <c r="D2283" i="1"/>
  <c r="D2282" i="1"/>
  <c r="J2281" i="1"/>
  <c r="D2281" i="1"/>
  <c r="A2281" i="1"/>
  <c r="J2059" i="1"/>
  <c r="D2059" i="1"/>
  <c r="A2059" i="1"/>
  <c r="J2280" i="1"/>
  <c r="D2280" i="1"/>
  <c r="A2280" i="1"/>
  <c r="J2279" i="1"/>
  <c r="D2279" i="1"/>
  <c r="A2279" i="1"/>
  <c r="J2278" i="1"/>
  <c r="D2278" i="1"/>
  <c r="A2278" i="1"/>
  <c r="J2277" i="1"/>
  <c r="D2277" i="1"/>
  <c r="A2277" i="1"/>
  <c r="J2276" i="1"/>
  <c r="D2276" i="1"/>
  <c r="A2276" i="1"/>
  <c r="J2275" i="1"/>
  <c r="D2275" i="1"/>
  <c r="A2275" i="1"/>
  <c r="J2274" i="1"/>
  <c r="D2274" i="1"/>
  <c r="A2274" i="1"/>
  <c r="J2273" i="1"/>
  <c r="D2273" i="1"/>
  <c r="A2273" i="1"/>
  <c r="J2272" i="1"/>
  <c r="D2272" i="1"/>
  <c r="A2272" i="1"/>
  <c r="D2271" i="1"/>
  <c r="D1961" i="1"/>
  <c r="J2058" i="1"/>
  <c r="D2058" i="1"/>
  <c r="A2058" i="1"/>
  <c r="J2270" i="1"/>
  <c r="D2270" i="1"/>
  <c r="A2270" i="1"/>
  <c r="J2269" i="1"/>
  <c r="D2269" i="1"/>
  <c r="A2269" i="1"/>
  <c r="J2268" i="1"/>
  <c r="D2268" i="1"/>
  <c r="A2268" i="1"/>
  <c r="J2267" i="1"/>
  <c r="D2267" i="1"/>
  <c r="A2267" i="1"/>
  <c r="J2266" i="1"/>
  <c r="D2266" i="1"/>
  <c r="A2266" i="1"/>
  <c r="J2012" i="1"/>
  <c r="D2012" i="1"/>
  <c r="A2012" i="1"/>
  <c r="J1960" i="1"/>
  <c r="D1960" i="1"/>
  <c r="A1960" i="1"/>
  <c r="D2265" i="1"/>
  <c r="D2264" i="1"/>
  <c r="D2263" i="1"/>
  <c r="J2262" i="1"/>
  <c r="D2262" i="1"/>
  <c r="A2262" i="1"/>
  <c r="J2261" i="1"/>
  <c r="D2261" i="1"/>
  <c r="A2261" i="1"/>
  <c r="D2260" i="1"/>
  <c r="J2259" i="1"/>
  <c r="D2259" i="1"/>
  <c r="A2259" i="1"/>
  <c r="J1686" i="1"/>
  <c r="D1686" i="1"/>
  <c r="A1686" i="1"/>
  <c r="J2258" i="1"/>
  <c r="D2258" i="1"/>
  <c r="A2258" i="1"/>
  <c r="J1851" i="1"/>
  <c r="D1851" i="1"/>
  <c r="A1851" i="1"/>
  <c r="J1959" i="1"/>
  <c r="D1959" i="1"/>
  <c r="A1959" i="1"/>
  <c r="D2257" i="1"/>
  <c r="J1958" i="1"/>
  <c r="D1958" i="1"/>
  <c r="A1958" i="1"/>
  <c r="J1957" i="1"/>
  <c r="D1957" i="1"/>
  <c r="A1957" i="1"/>
  <c r="J2256" i="1"/>
  <c r="D2256" i="1"/>
  <c r="A2256" i="1"/>
  <c r="D2255" i="1"/>
  <c r="D2254" i="1"/>
  <c r="D2253" i="1"/>
  <c r="J2252" i="1"/>
  <c r="D2252" i="1"/>
  <c r="A2252" i="1"/>
  <c r="J2118" i="1"/>
  <c r="D2118" i="1"/>
  <c r="A2118" i="1"/>
  <c r="J2251" i="1"/>
  <c r="D2251" i="1"/>
  <c r="A2251" i="1"/>
  <c r="J2250" i="1"/>
  <c r="D2250" i="1"/>
  <c r="A2250" i="1"/>
  <c r="D2249" i="1"/>
  <c r="J2011" i="1"/>
  <c r="D2011" i="1"/>
  <c r="A2011" i="1"/>
  <c r="J2248" i="1"/>
  <c r="D2248" i="1"/>
  <c r="A2248" i="1"/>
  <c r="J2247" i="1"/>
  <c r="D2247" i="1"/>
  <c r="A2247" i="1"/>
  <c r="J2246" i="1"/>
  <c r="D2246" i="1"/>
  <c r="A2246" i="1"/>
  <c r="D2245" i="1"/>
  <c r="D2244" i="1"/>
  <c r="D2243" i="1"/>
  <c r="J2242" i="1"/>
  <c r="D2242" i="1"/>
  <c r="A2242" i="1"/>
  <c r="D2241" i="1"/>
  <c r="D1850" i="1"/>
  <c r="D2240" i="1"/>
  <c r="J2239" i="1"/>
  <c r="D2239" i="1"/>
  <c r="A2239" i="1"/>
  <c r="J2238" i="1"/>
  <c r="D2238" i="1"/>
  <c r="A2238" i="1"/>
  <c r="J2057" i="1"/>
  <c r="D2057" i="1"/>
  <c r="A2057" i="1"/>
  <c r="J2237" i="1"/>
  <c r="D2237" i="1"/>
  <c r="A2237" i="1"/>
  <c r="J2236" i="1"/>
  <c r="D2236" i="1"/>
  <c r="A2236" i="1"/>
  <c r="J2010" i="1"/>
  <c r="D2010" i="1"/>
  <c r="A2010" i="1"/>
  <c r="J2235" i="1"/>
  <c r="D2235" i="1"/>
  <c r="A2235" i="1"/>
  <c r="J2234" i="1"/>
  <c r="D2234" i="1"/>
  <c r="A2234" i="1"/>
  <c r="J2233" i="1"/>
  <c r="D2233" i="1"/>
  <c r="A2233" i="1"/>
  <c r="J2232" i="1"/>
  <c r="D2232" i="1"/>
  <c r="A2232" i="1"/>
  <c r="J2231" i="1"/>
  <c r="D2231" i="1"/>
  <c r="A2231" i="1"/>
  <c r="J1956" i="1"/>
  <c r="D1956" i="1"/>
  <c r="A1956" i="1"/>
  <c r="J2230" i="1"/>
  <c r="D2230" i="1"/>
  <c r="A2230" i="1"/>
  <c r="J2100" i="1"/>
  <c r="D2100" i="1"/>
  <c r="A2100" i="1"/>
  <c r="J2229" i="1"/>
  <c r="D2229" i="1"/>
  <c r="A2229" i="1"/>
  <c r="D2228" i="1"/>
  <c r="J2227" i="1"/>
  <c r="D2227" i="1"/>
  <c r="A2227" i="1"/>
  <c r="J2226" i="1"/>
  <c r="D2226" i="1"/>
  <c r="A2226" i="1"/>
  <c r="J1955" i="1"/>
  <c r="D1955" i="1"/>
  <c r="A1955" i="1"/>
  <c r="J2225" i="1"/>
  <c r="D2225" i="1"/>
  <c r="A2225" i="1"/>
  <c r="J2224" i="1"/>
  <c r="D2224" i="1"/>
  <c r="A2224" i="1"/>
  <c r="J1954" i="1"/>
  <c r="D1954" i="1"/>
  <c r="A1954" i="1"/>
  <c r="J2223" i="1"/>
  <c r="D2223" i="1"/>
  <c r="A2223" i="1"/>
  <c r="J2222" i="1"/>
  <c r="D2222" i="1"/>
  <c r="A2222" i="1"/>
  <c r="J2221" i="1"/>
  <c r="D2221" i="1"/>
  <c r="A2221" i="1"/>
  <c r="J2220" i="1"/>
  <c r="D2220" i="1"/>
  <c r="A2220" i="1"/>
  <c r="J1953" i="1"/>
  <c r="D1953" i="1"/>
  <c r="A1953" i="1"/>
  <c r="J2219" i="1"/>
  <c r="D2219" i="1"/>
  <c r="A2219" i="1"/>
  <c r="J2218" i="1"/>
  <c r="D2218" i="1"/>
  <c r="A2218" i="1"/>
  <c r="J2217" i="1"/>
  <c r="D2217" i="1"/>
  <c r="A2217" i="1"/>
  <c r="J2216" i="1"/>
  <c r="D2216" i="1"/>
  <c r="A2216" i="1"/>
  <c r="J1952" i="1"/>
  <c r="D1952" i="1"/>
  <c r="A1952" i="1"/>
  <c r="J2215" i="1"/>
  <c r="D2215" i="1"/>
  <c r="A2215" i="1"/>
  <c r="J2214" i="1"/>
  <c r="D2214" i="1"/>
  <c r="A2214" i="1"/>
  <c r="J2213" i="1"/>
  <c r="D2213" i="1"/>
  <c r="A2213" i="1"/>
  <c r="J1951" i="1"/>
  <c r="D1951" i="1"/>
  <c r="A1951" i="1"/>
  <c r="J1950" i="1"/>
  <c r="D1950" i="1"/>
  <c r="A1950" i="1"/>
  <c r="J2212" i="1"/>
  <c r="D2212" i="1"/>
  <c r="A2212" i="1"/>
  <c r="J2211" i="1"/>
  <c r="D2211" i="1"/>
  <c r="A2211" i="1"/>
  <c r="J2056" i="1"/>
  <c r="D2056" i="1"/>
  <c r="A2056" i="1"/>
  <c r="D1849" i="1"/>
  <c r="D2210" i="1"/>
  <c r="J2209" i="1"/>
  <c r="D2209" i="1"/>
  <c r="A2209" i="1"/>
  <c r="J2208" i="1"/>
  <c r="D2208" i="1"/>
  <c r="A2208" i="1"/>
  <c r="J2207" i="1"/>
  <c r="D2207" i="1"/>
  <c r="A2207" i="1"/>
  <c r="J2055" i="1"/>
  <c r="D2055" i="1"/>
  <c r="A2055" i="1"/>
  <c r="J2206" i="1"/>
  <c r="D2206" i="1"/>
  <c r="A2206" i="1"/>
  <c r="J1949" i="1"/>
  <c r="D1949" i="1"/>
  <c r="A1949" i="1"/>
  <c r="J2205" i="1"/>
  <c r="D2205" i="1"/>
  <c r="A2205" i="1"/>
  <c r="J2054" i="1"/>
  <c r="D2054" i="1"/>
  <c r="A2054" i="1"/>
  <c r="J1948" i="1"/>
  <c r="D1948" i="1"/>
  <c r="A1948" i="1"/>
  <c r="J2204" i="1"/>
  <c r="D2204" i="1"/>
  <c r="A2204" i="1"/>
  <c r="J2203" i="1"/>
  <c r="D2203" i="1"/>
  <c r="A2203" i="1"/>
  <c r="J2202" i="1"/>
  <c r="D2202" i="1"/>
  <c r="A2202" i="1"/>
  <c r="J2201" i="1"/>
  <c r="D2201" i="1"/>
  <c r="A2201" i="1"/>
  <c r="D1848" i="1"/>
  <c r="D1847" i="1"/>
  <c r="D1846" i="1"/>
  <c r="J2117" i="1"/>
  <c r="D2117" i="1"/>
  <c r="A2117" i="1"/>
  <c r="J2053" i="1"/>
  <c r="D2053" i="1"/>
  <c r="A2053" i="1"/>
  <c r="J2200" i="1"/>
  <c r="D2200" i="1"/>
  <c r="A2200" i="1"/>
  <c r="J1947" i="1"/>
  <c r="D1947" i="1"/>
  <c r="A1947" i="1"/>
  <c r="J2199" i="1"/>
  <c r="D2199" i="1"/>
  <c r="A2199" i="1"/>
  <c r="J2116" i="1"/>
  <c r="D2116" i="1"/>
  <c r="A2116" i="1"/>
  <c r="J2052" i="1"/>
  <c r="D2052" i="1"/>
  <c r="A2052" i="1"/>
  <c r="J2051" i="1"/>
  <c r="D2051" i="1"/>
  <c r="A2051" i="1"/>
  <c r="J2198" i="1"/>
  <c r="D2198" i="1"/>
  <c r="A2198" i="1"/>
  <c r="J2115" i="1"/>
  <c r="D2115" i="1"/>
  <c r="A2115" i="1"/>
  <c r="J2197" i="1"/>
  <c r="D2197" i="1"/>
  <c r="A2197" i="1"/>
  <c r="J2196" i="1"/>
  <c r="D2196" i="1"/>
  <c r="A2196" i="1"/>
  <c r="J2195" i="1"/>
  <c r="D2195" i="1"/>
  <c r="A2195" i="1"/>
  <c r="J2194" i="1"/>
  <c r="D2194" i="1"/>
  <c r="A2194" i="1"/>
  <c r="J2050" i="1"/>
  <c r="D2050" i="1"/>
  <c r="A2050" i="1"/>
  <c r="J2193" i="1"/>
  <c r="D2193" i="1"/>
  <c r="A2193" i="1"/>
  <c r="J2192" i="1"/>
  <c r="D2192" i="1"/>
  <c r="A2192" i="1"/>
  <c r="J2191" i="1"/>
  <c r="D2191" i="1"/>
  <c r="A2191" i="1"/>
  <c r="J2190" i="1"/>
  <c r="D2190" i="1"/>
  <c r="A2190" i="1"/>
  <c r="J2189" i="1"/>
  <c r="D2189" i="1"/>
  <c r="A2189" i="1"/>
  <c r="J1946" i="1"/>
  <c r="D1946" i="1"/>
  <c r="A1946" i="1"/>
  <c r="J2188" i="1"/>
  <c r="D2188" i="1"/>
  <c r="A2188" i="1"/>
  <c r="J2187" i="1"/>
  <c r="D2187" i="1"/>
  <c r="A2187" i="1"/>
  <c r="J2186" i="1"/>
  <c r="D2186" i="1"/>
  <c r="A2186" i="1"/>
  <c r="J2185" i="1"/>
  <c r="D2185" i="1"/>
  <c r="A2185" i="1"/>
  <c r="J2184" i="1"/>
  <c r="D2184" i="1"/>
  <c r="A2184" i="1"/>
  <c r="J2183" i="1"/>
  <c r="D2183" i="1"/>
  <c r="A2183" i="1"/>
  <c r="J2182" i="1"/>
  <c r="D2182" i="1"/>
  <c r="A2182" i="1"/>
  <c r="J1945" i="1"/>
  <c r="D1945" i="1"/>
  <c r="A1945" i="1"/>
  <c r="J2181" i="1"/>
  <c r="D2181" i="1"/>
  <c r="A2181" i="1"/>
  <c r="J2180" i="1"/>
  <c r="D2180" i="1"/>
  <c r="A2180" i="1"/>
  <c r="J2009" i="1"/>
  <c r="D2009" i="1"/>
  <c r="A2009" i="1"/>
  <c r="J2179" i="1"/>
  <c r="D2179" i="1"/>
  <c r="A2179" i="1"/>
  <c r="J2008" i="1"/>
  <c r="D2008" i="1"/>
  <c r="A2008" i="1"/>
  <c r="J2178" i="1"/>
  <c r="D2178" i="1"/>
  <c r="A2178" i="1"/>
  <c r="J2135" i="1"/>
  <c r="D2135" i="1"/>
  <c r="A2135" i="1"/>
  <c r="J2177" i="1"/>
  <c r="D2177" i="1"/>
  <c r="A2177" i="1"/>
  <c r="J2176" i="1"/>
  <c r="D2176" i="1"/>
  <c r="A2176" i="1"/>
  <c r="J1944" i="1"/>
  <c r="D1944" i="1"/>
  <c r="A1944" i="1"/>
  <c r="J2049" i="1"/>
  <c r="D2049" i="1"/>
  <c r="A2049" i="1"/>
  <c r="J2175" i="1"/>
  <c r="D2175" i="1"/>
  <c r="A2175" i="1"/>
  <c r="J2174" i="1"/>
  <c r="D2174" i="1"/>
  <c r="A2174" i="1"/>
  <c r="J2048" i="1"/>
  <c r="D2048" i="1"/>
  <c r="A2048" i="1"/>
  <c r="J2114" i="1"/>
  <c r="D2114" i="1"/>
  <c r="A2114" i="1"/>
  <c r="J2148" i="1"/>
  <c r="D2148" i="1"/>
  <c r="A2148" i="1"/>
  <c r="J2007" i="1"/>
  <c r="D2007" i="1"/>
  <c r="A2007" i="1"/>
  <c r="J1943" i="1"/>
  <c r="D1943" i="1"/>
  <c r="A1943" i="1"/>
  <c r="J2173" i="1"/>
  <c r="D2173" i="1"/>
  <c r="A2173" i="1"/>
  <c r="J2172" i="1"/>
  <c r="D2172" i="1"/>
  <c r="A2172" i="1"/>
  <c r="J2171" i="1"/>
  <c r="D2171" i="1"/>
  <c r="A2171" i="1"/>
  <c r="J2047" i="1"/>
  <c r="D2047" i="1"/>
  <c r="A2047" i="1"/>
  <c r="J2113" i="1"/>
  <c r="D2113" i="1"/>
  <c r="A2113" i="1"/>
  <c r="J2006" i="1"/>
  <c r="D2006" i="1"/>
  <c r="A2006" i="1"/>
  <c r="J2170" i="1"/>
  <c r="D2170" i="1"/>
  <c r="A2170" i="1"/>
  <c r="J1942" i="1"/>
  <c r="D1942" i="1"/>
  <c r="A1942" i="1"/>
  <c r="J2005" i="1"/>
  <c r="D2005" i="1"/>
  <c r="A2005" i="1"/>
  <c r="J2169" i="1"/>
  <c r="D2169" i="1"/>
  <c r="A2169" i="1"/>
  <c r="J2168" i="1"/>
  <c r="D2168" i="1"/>
  <c r="A2168" i="1"/>
  <c r="J1941" i="1"/>
  <c r="D1941" i="1"/>
  <c r="A1941" i="1"/>
  <c r="J2167" i="1"/>
  <c r="D2167" i="1"/>
  <c r="A2167" i="1"/>
  <c r="J2166" i="1"/>
  <c r="D2166" i="1"/>
  <c r="A2166" i="1"/>
  <c r="J2165" i="1"/>
  <c r="D2165" i="1"/>
  <c r="A2165" i="1"/>
  <c r="J1940" i="1"/>
  <c r="D1940" i="1"/>
  <c r="A1940" i="1"/>
  <c r="J2164" i="1"/>
  <c r="D2164" i="1"/>
  <c r="A2164" i="1"/>
  <c r="J2163" i="1"/>
  <c r="D2163" i="1"/>
  <c r="A2163" i="1"/>
  <c r="J2162" i="1"/>
  <c r="D2162" i="1"/>
  <c r="A2162" i="1"/>
  <c r="J2161" i="1"/>
  <c r="D2161" i="1"/>
  <c r="A2161" i="1"/>
  <c r="J2160" i="1"/>
  <c r="D2160" i="1"/>
  <c r="A2160" i="1"/>
  <c r="J2159" i="1"/>
  <c r="D2159" i="1"/>
  <c r="A2159" i="1"/>
  <c r="J2158" i="1"/>
  <c r="D2158" i="1"/>
  <c r="A2158" i="1"/>
  <c r="J2157" i="1"/>
  <c r="D2157" i="1"/>
  <c r="A2157" i="1"/>
  <c r="J2004" i="1"/>
  <c r="D2004" i="1"/>
  <c r="A2004" i="1"/>
  <c r="J2156" i="1"/>
  <c r="D2156" i="1"/>
  <c r="A2156" i="1"/>
  <c r="J2003" i="1"/>
  <c r="D2003" i="1"/>
  <c r="A2003" i="1"/>
  <c r="J2155" i="1"/>
  <c r="D2155" i="1"/>
  <c r="A2155" i="1"/>
  <c r="J2146" i="1"/>
  <c r="D2146" i="1"/>
  <c r="A2146" i="1"/>
  <c r="D3" i="1" l="1"/>
  <c r="D4" i="1"/>
  <c r="D5" i="1"/>
  <c r="D6" i="1"/>
  <c r="D7" i="1"/>
  <c r="D8" i="1"/>
  <c r="D1687" i="1"/>
  <c r="D1688" i="1"/>
  <c r="D9" i="1"/>
  <c r="D10" i="1"/>
  <c r="D1689" i="1"/>
  <c r="D1690" i="1"/>
  <c r="D1691" i="1"/>
  <c r="D1692" i="1"/>
  <c r="D1693" i="1"/>
  <c r="D11" i="1"/>
  <c r="D1694" i="1"/>
  <c r="D1695" i="1"/>
  <c r="D1696" i="1"/>
  <c r="D12" i="1"/>
  <c r="D13" i="1"/>
  <c r="D14" i="1"/>
  <c r="D1697" i="1"/>
  <c r="D1698" i="1"/>
  <c r="D1699" i="1"/>
  <c r="D1700" i="1"/>
  <c r="D1701" i="1"/>
  <c r="D1702" i="1"/>
  <c r="D1703" i="1"/>
  <c r="D1704" i="1"/>
  <c r="D15" i="1"/>
  <c r="D16" i="1"/>
  <c r="D1705" i="1"/>
  <c r="D1706" i="1"/>
  <c r="D1707" i="1"/>
  <c r="D1708" i="1"/>
  <c r="D1709" i="1"/>
  <c r="D1710" i="1"/>
  <c r="D1711" i="1"/>
  <c r="D1712" i="1"/>
  <c r="D1853" i="1"/>
  <c r="D1713" i="1"/>
  <c r="D1714" i="1"/>
  <c r="D1715" i="1"/>
  <c r="D1716" i="1"/>
  <c r="D1717" i="1"/>
  <c r="D1718" i="1"/>
  <c r="D1719" i="1"/>
  <c r="D1720" i="1"/>
  <c r="D17" i="1"/>
  <c r="D1721" i="1"/>
  <c r="D1722" i="1"/>
  <c r="D1723" i="1"/>
  <c r="D1724" i="1"/>
  <c r="D18" i="1"/>
  <c r="D19" i="1"/>
  <c r="D20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854" i="1"/>
  <c r="D21" i="1"/>
  <c r="D1737" i="1"/>
  <c r="D1738" i="1"/>
  <c r="D1739" i="1"/>
  <c r="D1740" i="1"/>
  <c r="D1741" i="1"/>
  <c r="D22" i="1"/>
  <c r="D23" i="1"/>
  <c r="D24" i="1"/>
  <c r="D25" i="1"/>
  <c r="D26" i="1"/>
  <c r="D27" i="1"/>
  <c r="D1742" i="1"/>
  <c r="D1743" i="1"/>
  <c r="D1744" i="1"/>
  <c r="D1745" i="1"/>
  <c r="D28" i="1"/>
  <c r="D29" i="1"/>
  <c r="D30" i="1"/>
  <c r="D31" i="1"/>
  <c r="D32" i="1"/>
  <c r="D1746" i="1"/>
  <c r="D1855" i="1"/>
  <c r="D1747" i="1"/>
  <c r="D1856" i="1"/>
  <c r="D33" i="1"/>
  <c r="D34" i="1"/>
  <c r="D35" i="1"/>
  <c r="D1748" i="1"/>
  <c r="D1857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749" i="1"/>
  <c r="D1750" i="1"/>
  <c r="D1751" i="1"/>
  <c r="D1752" i="1"/>
  <c r="D1753" i="1"/>
  <c r="D1858" i="1"/>
  <c r="D51" i="1"/>
  <c r="D52" i="1"/>
  <c r="D53" i="1"/>
  <c r="D54" i="1"/>
  <c r="D55" i="1"/>
  <c r="D56" i="1"/>
  <c r="D57" i="1"/>
  <c r="D58" i="1"/>
  <c r="D59" i="1"/>
  <c r="D60" i="1"/>
  <c r="D1754" i="1"/>
  <c r="D1755" i="1"/>
  <c r="D1756" i="1"/>
  <c r="D1757" i="1"/>
  <c r="D1758" i="1"/>
  <c r="D1759" i="1"/>
  <c r="D61" i="1"/>
  <c r="D62" i="1"/>
  <c r="D63" i="1"/>
  <c r="D64" i="1"/>
  <c r="D65" i="1"/>
  <c r="D1760" i="1"/>
  <c r="D66" i="1"/>
  <c r="D67" i="1"/>
  <c r="D68" i="1"/>
  <c r="D69" i="1"/>
  <c r="D70" i="1"/>
  <c r="D71" i="1"/>
  <c r="D72" i="1"/>
  <c r="D73" i="1"/>
  <c r="D74" i="1"/>
  <c r="D75" i="1"/>
  <c r="D76" i="1"/>
  <c r="D77" i="1"/>
  <c r="D1859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761" i="1"/>
  <c r="D108" i="1"/>
  <c r="D109" i="1"/>
  <c r="D110" i="1"/>
  <c r="D111" i="1"/>
  <c r="D112" i="1"/>
  <c r="D113" i="1"/>
  <c r="D114" i="1"/>
  <c r="D115" i="1"/>
  <c r="D116" i="1"/>
  <c r="D117" i="1"/>
  <c r="D1762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763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64" i="1"/>
  <c r="D1765" i="1"/>
  <c r="D1766" i="1"/>
  <c r="D1767" i="1"/>
  <c r="D1768" i="1"/>
  <c r="D1769" i="1"/>
  <c r="D1770" i="1"/>
  <c r="D1771" i="1"/>
  <c r="D169" i="1"/>
  <c r="D170" i="1"/>
  <c r="D1772" i="1"/>
  <c r="D1773" i="1"/>
  <c r="D1774" i="1"/>
  <c r="D1860" i="1"/>
  <c r="D1775" i="1"/>
  <c r="D1776" i="1"/>
  <c r="D1777" i="1"/>
  <c r="D171" i="1"/>
  <c r="D172" i="1"/>
  <c r="D173" i="1"/>
  <c r="D174" i="1"/>
  <c r="D175" i="1"/>
  <c r="D1778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779" i="1"/>
  <c r="D202" i="1"/>
  <c r="D203" i="1"/>
  <c r="D204" i="1"/>
  <c r="D205" i="1"/>
  <c r="D206" i="1"/>
  <c r="D207" i="1"/>
  <c r="D1861" i="1"/>
  <c r="D208" i="1"/>
  <c r="D209" i="1"/>
  <c r="D210" i="1"/>
  <c r="D211" i="1"/>
  <c r="D1979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1862" i="1"/>
  <c r="D237" i="1"/>
  <c r="D238" i="1"/>
  <c r="D239" i="1"/>
  <c r="D240" i="1"/>
  <c r="D1863" i="1"/>
  <c r="D241" i="1"/>
  <c r="D242" i="1"/>
  <c r="D243" i="1"/>
  <c r="D244" i="1"/>
  <c r="D245" i="1"/>
  <c r="D1864" i="1"/>
  <c r="D186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1780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1866" i="1"/>
  <c r="D1980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1781" i="1"/>
  <c r="D1867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1868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1782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1869" i="1"/>
  <c r="D1870" i="1"/>
  <c r="D1871" i="1"/>
  <c r="D1981" i="1"/>
  <c r="D1982" i="1"/>
  <c r="D2024" i="1"/>
  <c r="D211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1783" i="1"/>
  <c r="D1784" i="1"/>
  <c r="D1785" i="1"/>
  <c r="D1872" i="1"/>
  <c r="D1873" i="1"/>
  <c r="D1874" i="1"/>
  <c r="D1875" i="1"/>
  <c r="D2025" i="1"/>
  <c r="D2096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1786" i="1"/>
  <c r="D1876" i="1"/>
  <c r="D1877" i="1"/>
  <c r="D1983" i="1"/>
  <c r="D2026" i="1"/>
  <c r="D2027" i="1"/>
  <c r="D2028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1878" i="1"/>
  <c r="D1984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1879" i="1"/>
  <c r="D1985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1880" i="1"/>
  <c r="D1881" i="1"/>
  <c r="D1882" i="1"/>
  <c r="D2029" i="1"/>
  <c r="D2030" i="1"/>
  <c r="D2112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1883" i="1"/>
  <c r="D1884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1885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1886" i="1"/>
  <c r="D605" i="1"/>
  <c r="D606" i="1"/>
  <c r="D607" i="1"/>
  <c r="D608" i="1"/>
  <c r="D609" i="1"/>
  <c r="D610" i="1"/>
  <c r="D611" i="1"/>
  <c r="D612" i="1"/>
  <c r="D613" i="1"/>
  <c r="D614" i="1"/>
  <c r="D1887" i="1"/>
  <c r="D2031" i="1"/>
  <c r="D2097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2032" i="1"/>
  <c r="D2033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1888" i="1"/>
  <c r="D1986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2034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188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2035" i="1"/>
  <c r="D2036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1987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1890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1891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1892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1893" i="1"/>
  <c r="D957" i="1"/>
  <c r="D958" i="1"/>
  <c r="D959" i="1"/>
  <c r="D960" i="1"/>
  <c r="D961" i="1"/>
  <c r="D1894" i="1"/>
  <c r="D1895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896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988" i="1"/>
  <c r="D1019" i="1"/>
  <c r="D1020" i="1"/>
  <c r="D1021" i="1"/>
  <c r="D1022" i="1"/>
  <c r="D1897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898" i="1"/>
  <c r="D1036" i="1"/>
  <c r="D1787" i="1"/>
  <c r="D1037" i="1"/>
  <c r="D1038" i="1"/>
  <c r="D1899" i="1"/>
  <c r="D1039" i="1"/>
  <c r="D1040" i="1"/>
  <c r="D1041" i="1"/>
  <c r="D1042" i="1"/>
  <c r="D1043" i="1"/>
  <c r="D1044" i="1"/>
  <c r="D1900" i="1"/>
  <c r="D1045" i="1"/>
  <c r="D1046" i="1"/>
  <c r="D1047" i="1"/>
  <c r="D1048" i="1"/>
  <c r="D178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789" i="1"/>
  <c r="D1901" i="1"/>
  <c r="D1065" i="1"/>
  <c r="D1066" i="1"/>
  <c r="D1067" i="1"/>
  <c r="D1068" i="1"/>
  <c r="D1069" i="1"/>
  <c r="D1070" i="1"/>
  <c r="D1071" i="1"/>
  <c r="D2098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902" i="1"/>
  <c r="D1989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99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790" i="1"/>
  <c r="D1903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791" i="1"/>
  <c r="D1792" i="1"/>
  <c r="D1793" i="1"/>
  <c r="D1794" i="1"/>
  <c r="D1795" i="1"/>
  <c r="D1904" i="1"/>
  <c r="D1905" i="1"/>
  <c r="D1906" i="1"/>
  <c r="D1907" i="1"/>
  <c r="D1991" i="1"/>
  <c r="D1992" i="1"/>
  <c r="D1993" i="1"/>
  <c r="D2037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796" i="1"/>
  <c r="D1797" i="1"/>
  <c r="D1908" i="1"/>
  <c r="D1909" i="1"/>
  <c r="D1910" i="1"/>
  <c r="D1911" i="1"/>
  <c r="D1994" i="1"/>
  <c r="D1995" i="1"/>
  <c r="D1996" i="1"/>
  <c r="D2038" i="1"/>
  <c r="D2039" i="1"/>
  <c r="D2099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798" i="1"/>
  <c r="D1912" i="1"/>
  <c r="D1913" i="1"/>
  <c r="D2040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914" i="1"/>
  <c r="D1915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799" i="1"/>
  <c r="D1916" i="1"/>
  <c r="D1917" i="1"/>
  <c r="D1918" i="1"/>
  <c r="D1997" i="1"/>
  <c r="D2041" i="1"/>
  <c r="D2042" i="1"/>
  <c r="D2043" i="1"/>
  <c r="D1330" i="1"/>
  <c r="D1331" i="1"/>
  <c r="D1332" i="1"/>
  <c r="D1333" i="1"/>
  <c r="D1334" i="1"/>
  <c r="D1335" i="1"/>
  <c r="D1336" i="1"/>
  <c r="D1337" i="1"/>
  <c r="D1338" i="1"/>
  <c r="D1339" i="1"/>
  <c r="D1340" i="1"/>
  <c r="D1919" i="1"/>
  <c r="D1920" i="1"/>
  <c r="D1921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800" i="1"/>
  <c r="D1922" i="1"/>
  <c r="D1923" i="1"/>
  <c r="D1924" i="1"/>
  <c r="D1998" i="1"/>
  <c r="D1365" i="1"/>
  <c r="D1366" i="1"/>
  <c r="D1367" i="1"/>
  <c r="D1368" i="1"/>
  <c r="D1369" i="1"/>
  <c r="D1370" i="1"/>
  <c r="D1371" i="1"/>
  <c r="D1372" i="1"/>
  <c r="D1925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926" i="1"/>
  <c r="D1388" i="1"/>
  <c r="D1389" i="1"/>
  <c r="D1390" i="1"/>
  <c r="D1391" i="1"/>
  <c r="D1392" i="1"/>
  <c r="D1393" i="1"/>
  <c r="D1999" i="1"/>
  <c r="D2044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2000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2001" i="1"/>
  <c r="D1430" i="1"/>
  <c r="D1431" i="1"/>
  <c r="D1432" i="1"/>
  <c r="D1433" i="1"/>
  <c r="D1434" i="1"/>
  <c r="D1435" i="1"/>
  <c r="D1436" i="1"/>
  <c r="D1437" i="1"/>
  <c r="D192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928" i="1"/>
  <c r="D1929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930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2002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2045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931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801" i="1"/>
  <c r="D1588" i="1"/>
  <c r="D1589" i="1"/>
  <c r="D1590" i="1"/>
  <c r="D1591" i="1"/>
  <c r="D1592" i="1"/>
  <c r="D1593" i="1"/>
  <c r="D1594" i="1"/>
  <c r="D1595" i="1"/>
  <c r="D1596" i="1"/>
  <c r="D204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932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933" i="1"/>
  <c r="D1633" i="1"/>
  <c r="D1634" i="1"/>
  <c r="D1635" i="1"/>
  <c r="D1636" i="1"/>
  <c r="D1637" i="1"/>
  <c r="D1638" i="1"/>
  <c r="D1639" i="1"/>
  <c r="D1640" i="1"/>
  <c r="D1641" i="1"/>
  <c r="D1642" i="1"/>
  <c r="D1934" i="1"/>
  <c r="D1643" i="1"/>
  <c r="D1644" i="1"/>
  <c r="D1645" i="1"/>
  <c r="D1646" i="1"/>
  <c r="D1647" i="1"/>
  <c r="D1648" i="1"/>
  <c r="D1649" i="1"/>
  <c r="D1650" i="1"/>
  <c r="D1651" i="1"/>
  <c r="D1652" i="1"/>
  <c r="D1802" i="1"/>
  <c r="D1653" i="1"/>
  <c r="D1654" i="1"/>
  <c r="D1655" i="1"/>
  <c r="D1656" i="1"/>
  <c r="D1657" i="1"/>
  <c r="D1658" i="1"/>
  <c r="D1659" i="1"/>
  <c r="D1803" i="1"/>
  <c r="D1804" i="1"/>
  <c r="D1805" i="1"/>
  <c r="D1806" i="1"/>
  <c r="D1807" i="1"/>
  <c r="D1808" i="1"/>
  <c r="D1809" i="1"/>
  <c r="D1660" i="1"/>
  <c r="D1810" i="1"/>
  <c r="D1811" i="1"/>
  <c r="D1812" i="1"/>
  <c r="D1813" i="1"/>
  <c r="D1935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936" i="1"/>
  <c r="D1836" i="1"/>
  <c r="D1837" i="1"/>
  <c r="D1838" i="1"/>
  <c r="D1839" i="1"/>
  <c r="D1937" i="1"/>
  <c r="D1938" i="1"/>
  <c r="D1840" i="1"/>
  <c r="D1841" i="1"/>
  <c r="D1939" i="1"/>
  <c r="D1842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843" i="1"/>
  <c r="D1844" i="1"/>
  <c r="D1845" i="1"/>
  <c r="D1682" i="1"/>
  <c r="D1683" i="1"/>
  <c r="D1684" i="1"/>
  <c r="D1685" i="1"/>
  <c r="D2" i="1"/>
</calcChain>
</file>

<file path=xl/sharedStrings.xml><?xml version="1.0" encoding="utf-8"?>
<sst xmlns="http://schemas.openxmlformats.org/spreadsheetml/2006/main" count="14467" uniqueCount="934">
  <si>
    <t>MLS #</t>
  </si>
  <si>
    <t>Stat</t>
  </si>
  <si>
    <t>Closed Date</t>
  </si>
  <si>
    <t>Sold Pr</t>
  </si>
  <si>
    <t>Type</t>
  </si>
  <si>
    <t>Yr Blt</t>
  </si>
  <si>
    <t>Street #</t>
  </si>
  <si>
    <t>Str Name</t>
  </si>
  <si>
    <t>Area</t>
  </si>
  <si>
    <t>Zip</t>
  </si>
  <si>
    <t>ASF</t>
  </si>
  <si>
    <t>Bsmt Bth</t>
  </si>
  <si>
    <t>Beds</t>
  </si>
  <si>
    <t>Bsmt. Beds</t>
  </si>
  <si>
    <t>Garage Type</t>
  </si>
  <si>
    <t>CLSD</t>
  </si>
  <si>
    <t>Condo</t>
  </si>
  <si>
    <t>Lamon</t>
  </si>
  <si>
    <t>No</t>
  </si>
  <si>
    <t>None</t>
  </si>
  <si>
    <t>Skokie</t>
  </si>
  <si>
    <t>Attached</t>
  </si>
  <si>
    <t>Detached</t>
  </si>
  <si>
    <t>Kenton</t>
  </si>
  <si>
    <t>Knox</t>
  </si>
  <si>
    <t>Louise</t>
  </si>
  <si>
    <t>Lavergne</t>
  </si>
  <si>
    <t>LAVERGNE</t>
  </si>
  <si>
    <t>Keating</t>
  </si>
  <si>
    <t>La Crosse</t>
  </si>
  <si>
    <t>Kilpatrick</t>
  </si>
  <si>
    <t>LA CROSSE</t>
  </si>
  <si>
    <t>Hull</t>
  </si>
  <si>
    <t>Lockwood</t>
  </si>
  <si>
    <t>Peach</t>
  </si>
  <si>
    <t>Old Orchard</t>
  </si>
  <si>
    <t>SKOKIE</t>
  </si>
  <si>
    <t>Galitz</t>
  </si>
  <si>
    <t>Main</t>
  </si>
  <si>
    <t>Elm</t>
  </si>
  <si>
    <t>Beverly</t>
  </si>
  <si>
    <t>Russett</t>
  </si>
  <si>
    <t>PEACH</t>
  </si>
  <si>
    <t>Christiana</t>
  </si>
  <si>
    <t>Cherry</t>
  </si>
  <si>
    <t>Foster</t>
  </si>
  <si>
    <t>Niles Center</t>
  </si>
  <si>
    <t>Linder</t>
  </si>
  <si>
    <t>HOWARD</t>
  </si>
  <si>
    <t>Howard</t>
  </si>
  <si>
    <t>GALITZ</t>
  </si>
  <si>
    <t>DOBSON</t>
  </si>
  <si>
    <t>Elmwood</t>
  </si>
  <si>
    <t>Lotus</t>
  </si>
  <si>
    <t>Bronx</t>
  </si>
  <si>
    <t>Madison</t>
  </si>
  <si>
    <t>ELMWOOD</t>
  </si>
  <si>
    <t>Washington</t>
  </si>
  <si>
    <t>NILES CENTER</t>
  </si>
  <si>
    <t>FOSTER</t>
  </si>
  <si>
    <t>KENTON</t>
  </si>
  <si>
    <t>GROSS POINT</t>
  </si>
  <si>
    <t>Gross Point</t>
  </si>
  <si>
    <t>Golf</t>
  </si>
  <si>
    <t>OLD ORCHARD</t>
  </si>
  <si>
    <t>BRONX</t>
  </si>
  <si>
    <t>Oakton</t>
  </si>
  <si>
    <t>Enfield</t>
  </si>
  <si>
    <t>ENFIELD</t>
  </si>
  <si>
    <t>Lincoln</t>
  </si>
  <si>
    <t>LINCOLN</t>
  </si>
  <si>
    <t>Laramie</t>
  </si>
  <si>
    <t>OAKTON</t>
  </si>
  <si>
    <t>Warren</t>
  </si>
  <si>
    <t>MADISON</t>
  </si>
  <si>
    <t>KILPATRICK</t>
  </si>
  <si>
    <t>WARREN</t>
  </si>
  <si>
    <t>Woods</t>
  </si>
  <si>
    <t>WOODS</t>
  </si>
  <si>
    <t>Yes</t>
  </si>
  <si>
    <t>LOCKWOOD</t>
  </si>
  <si>
    <t>Duplex</t>
  </si>
  <si>
    <t>LAMON</t>
  </si>
  <si>
    <t>BENNETT</t>
  </si>
  <si>
    <t>Monticello</t>
  </si>
  <si>
    <t>SFH</t>
  </si>
  <si>
    <t>Waukegan</t>
  </si>
  <si>
    <t>Walters</t>
  </si>
  <si>
    <t>Shermer</t>
  </si>
  <si>
    <t>Kenneth</t>
  </si>
  <si>
    <t>GEORGE</t>
  </si>
  <si>
    <t>Kiest</t>
  </si>
  <si>
    <t>Hoffman</t>
  </si>
  <si>
    <t>Wilder</t>
  </si>
  <si>
    <t>Timber</t>
  </si>
  <si>
    <t>Woodhill</t>
  </si>
  <si>
    <t>Highland</t>
  </si>
  <si>
    <t>KARLOV</t>
  </si>
  <si>
    <t>Kedvale</t>
  </si>
  <si>
    <t>Sunset Ridge</t>
  </si>
  <si>
    <t>Kirk</t>
  </si>
  <si>
    <t>Kildare</t>
  </si>
  <si>
    <t>Karlov</t>
  </si>
  <si>
    <t>TRIPP</t>
  </si>
  <si>
    <t>Long</t>
  </si>
  <si>
    <t>Kostner</t>
  </si>
  <si>
    <t>Morse</t>
  </si>
  <si>
    <t>Lowell</t>
  </si>
  <si>
    <t>Kilbourn</t>
  </si>
  <si>
    <t>Grove</t>
  </si>
  <si>
    <t>Briarwood</t>
  </si>
  <si>
    <t>Pratt</t>
  </si>
  <si>
    <t>Keystone</t>
  </si>
  <si>
    <t>Lunt</t>
  </si>
  <si>
    <t>Thornapple</t>
  </si>
  <si>
    <t>Ridgewood</t>
  </si>
  <si>
    <t>Illinois</t>
  </si>
  <si>
    <t>Brummel</t>
  </si>
  <si>
    <t>KEDVALE</t>
  </si>
  <si>
    <t>BUTTERNUT</t>
  </si>
  <si>
    <t>Shag Bark</t>
  </si>
  <si>
    <t>Blackthorn</t>
  </si>
  <si>
    <t>Lee</t>
  </si>
  <si>
    <t>Tripp</t>
  </si>
  <si>
    <t>Dundee</t>
  </si>
  <si>
    <t>Kolmar</t>
  </si>
  <si>
    <t>Dobson</t>
  </si>
  <si>
    <t>Arcadia</t>
  </si>
  <si>
    <t>ARCADIA</t>
  </si>
  <si>
    <t>Sycamore</t>
  </si>
  <si>
    <t>Crawford</t>
  </si>
  <si>
    <t>Dehne</t>
  </si>
  <si>
    <t>OAK</t>
  </si>
  <si>
    <t>CHURCH</t>
  </si>
  <si>
    <t>Church</t>
  </si>
  <si>
    <t>Harding</t>
  </si>
  <si>
    <t>LOWELL</t>
  </si>
  <si>
    <t>LARAMIE</t>
  </si>
  <si>
    <t>Harms</t>
  </si>
  <si>
    <t>KILBOURN</t>
  </si>
  <si>
    <t>SYCAMORE</t>
  </si>
  <si>
    <t>Penfold</t>
  </si>
  <si>
    <t>Techny</t>
  </si>
  <si>
    <t>Meadow</t>
  </si>
  <si>
    <t>WESTERN</t>
  </si>
  <si>
    <t>Center</t>
  </si>
  <si>
    <t>Butternut</t>
  </si>
  <si>
    <t>Jerome</t>
  </si>
  <si>
    <t>Prairie</t>
  </si>
  <si>
    <t>HARDING</t>
  </si>
  <si>
    <t>Cleveland</t>
  </si>
  <si>
    <t>Suffield</t>
  </si>
  <si>
    <t>Keeler</t>
  </si>
  <si>
    <t>Ridgeway</t>
  </si>
  <si>
    <t>Davis</t>
  </si>
  <si>
    <t>Central</t>
  </si>
  <si>
    <t>HAPP</t>
  </si>
  <si>
    <t>Walnut</t>
  </si>
  <si>
    <t>Oakwood</t>
  </si>
  <si>
    <t>Northmoor</t>
  </si>
  <si>
    <t>Farnsworth</t>
  </si>
  <si>
    <t>Cargill</t>
  </si>
  <si>
    <t>Glendale</t>
  </si>
  <si>
    <t>WRIGHT</t>
  </si>
  <si>
    <t>Bobolink</t>
  </si>
  <si>
    <t>Hamlin</t>
  </si>
  <si>
    <t>KOLMAR</t>
  </si>
  <si>
    <t>Chipili</t>
  </si>
  <si>
    <t>Glenoak</t>
  </si>
  <si>
    <t>Wildwood</t>
  </si>
  <si>
    <t>Oak</t>
  </si>
  <si>
    <t>Koepke</t>
  </si>
  <si>
    <t>Maple</t>
  </si>
  <si>
    <t>BRUMMEL</t>
  </si>
  <si>
    <t>Monroe</t>
  </si>
  <si>
    <t>Avers</t>
  </si>
  <si>
    <t>Greenleaf</t>
  </si>
  <si>
    <t>Wright</t>
  </si>
  <si>
    <t>Sherwin</t>
  </si>
  <si>
    <t>Bellevue</t>
  </si>
  <si>
    <t>Scott</t>
  </si>
  <si>
    <t>HAMLIN</t>
  </si>
  <si>
    <t>GROVE</t>
  </si>
  <si>
    <t>KEYSTONE</t>
  </si>
  <si>
    <t>Latrobe</t>
  </si>
  <si>
    <t>Whitfield</t>
  </si>
  <si>
    <t>Chase</t>
  </si>
  <si>
    <t>Birchwood</t>
  </si>
  <si>
    <t>Southgate</t>
  </si>
  <si>
    <t>Marshall</t>
  </si>
  <si>
    <t>Crabtree</t>
  </si>
  <si>
    <t>Chapel</t>
  </si>
  <si>
    <t>DEHNE</t>
  </si>
  <si>
    <t>Western</t>
  </si>
  <si>
    <t>Farwell</t>
  </si>
  <si>
    <t>KOSTNER</t>
  </si>
  <si>
    <t>Trumbull</t>
  </si>
  <si>
    <t>Thornwood</t>
  </si>
  <si>
    <t>HARVARD</t>
  </si>
  <si>
    <t>Dempster</t>
  </si>
  <si>
    <t>Drake</t>
  </si>
  <si>
    <t>Park</t>
  </si>
  <si>
    <t>Central Park</t>
  </si>
  <si>
    <t>Fargo</t>
  </si>
  <si>
    <t>LONGAKER</t>
  </si>
  <si>
    <t>Cedar</t>
  </si>
  <si>
    <t>Brentwood</t>
  </si>
  <si>
    <t>Hillside</t>
  </si>
  <si>
    <t>Dell</t>
  </si>
  <si>
    <t>Maplewood</t>
  </si>
  <si>
    <t>Greenbriar</t>
  </si>
  <si>
    <t>Marcee</t>
  </si>
  <si>
    <t>FERNDALE</t>
  </si>
  <si>
    <t>GREENWOOD</t>
  </si>
  <si>
    <t>Le Claire</t>
  </si>
  <si>
    <t>FARWELL</t>
  </si>
  <si>
    <t>Sugar Loaf</t>
  </si>
  <si>
    <t>Springfield</t>
  </si>
  <si>
    <t>Palma</t>
  </si>
  <si>
    <t>Jarvis</t>
  </si>
  <si>
    <t>ELM</t>
  </si>
  <si>
    <t>Harvard</t>
  </si>
  <si>
    <t>Pottawattami</t>
  </si>
  <si>
    <t>Red Oak</t>
  </si>
  <si>
    <t>Linden</t>
  </si>
  <si>
    <t>Ash</t>
  </si>
  <si>
    <t>Jeffrey</t>
  </si>
  <si>
    <t>Catherine</t>
  </si>
  <si>
    <t>MEADOW</t>
  </si>
  <si>
    <t>Lawndale</t>
  </si>
  <si>
    <t>FORESTVIEW</t>
  </si>
  <si>
    <t>Frontage</t>
  </si>
  <si>
    <t>KNOX</t>
  </si>
  <si>
    <t>Lorel</t>
  </si>
  <si>
    <t>Pamella</t>
  </si>
  <si>
    <t>Holly</t>
  </si>
  <si>
    <t>Forest View</t>
  </si>
  <si>
    <t>Wendy</t>
  </si>
  <si>
    <t>Sleeping Bear</t>
  </si>
  <si>
    <t>Lawler</t>
  </si>
  <si>
    <t>Touhy</t>
  </si>
  <si>
    <t>CRAWFORD</t>
  </si>
  <si>
    <t>LARRABEE</t>
  </si>
  <si>
    <t>Woodlawn</t>
  </si>
  <si>
    <t>SUNSET</t>
  </si>
  <si>
    <t>Country</t>
  </si>
  <si>
    <t>Garden</t>
  </si>
  <si>
    <t>Beechnut</t>
  </si>
  <si>
    <t>Four Winds</t>
  </si>
  <si>
    <t>Carol</t>
  </si>
  <si>
    <t>Samoset</t>
  </si>
  <si>
    <t>Roth</t>
  </si>
  <si>
    <t>TRUMBULL</t>
  </si>
  <si>
    <t>Coyle</t>
  </si>
  <si>
    <t>Huckleberry</t>
  </si>
  <si>
    <t>Fox Run</t>
  </si>
  <si>
    <t>CAROL</t>
  </si>
  <si>
    <t>Grant</t>
  </si>
  <si>
    <t>Timberlane</t>
  </si>
  <si>
    <t>EDGEWOOD</t>
  </si>
  <si>
    <t>WILDWOOD</t>
  </si>
  <si>
    <t>Hawthorne</t>
  </si>
  <si>
    <t>Pfingsten</t>
  </si>
  <si>
    <t>Whirlaway</t>
  </si>
  <si>
    <t>Heather</t>
  </si>
  <si>
    <t>Appletree</t>
  </si>
  <si>
    <t>GREENVIEW</t>
  </si>
  <si>
    <t>Greenwood</t>
  </si>
  <si>
    <t>WEBER</t>
  </si>
  <si>
    <t>Conrad</t>
  </si>
  <si>
    <t>Bridlewood</t>
  </si>
  <si>
    <t>Canterbury</t>
  </si>
  <si>
    <t>Killarney</t>
  </si>
  <si>
    <t>Gregory</t>
  </si>
  <si>
    <t>CLEVELAND</t>
  </si>
  <si>
    <t>holly</t>
  </si>
  <si>
    <t>Summerfield</t>
  </si>
  <si>
    <t>Isabel</t>
  </si>
  <si>
    <t>Candlewood Hill</t>
  </si>
  <si>
    <t>Donegal</t>
  </si>
  <si>
    <t>Chestnut</t>
  </si>
  <si>
    <t>Barberry</t>
  </si>
  <si>
    <t>White Mountain</t>
  </si>
  <si>
    <t>Adirondack</t>
  </si>
  <si>
    <t>Plum Island</t>
  </si>
  <si>
    <t>main</t>
  </si>
  <si>
    <t>Saint Stephens Grn</t>
  </si>
  <si>
    <t>Peachtree</t>
  </si>
  <si>
    <t>Aspen</t>
  </si>
  <si>
    <t>Sunnyside</t>
  </si>
  <si>
    <t>Orchard</t>
  </si>
  <si>
    <t>Galway</t>
  </si>
  <si>
    <t>Brookside</t>
  </si>
  <si>
    <t>Lilac</t>
  </si>
  <si>
    <t>HIGH POINT</t>
  </si>
  <si>
    <t>Birch</t>
  </si>
  <si>
    <t>Adelaide</t>
  </si>
  <si>
    <t>Fieldwood</t>
  </si>
  <si>
    <t>Fredric</t>
  </si>
  <si>
    <t>Woodbine</t>
  </si>
  <si>
    <t>Mulberry</t>
  </si>
  <si>
    <t>Ferndale</t>
  </si>
  <si>
    <t>Crestwood</t>
  </si>
  <si>
    <t>Bordeaux</t>
  </si>
  <si>
    <t>Highpoint</t>
  </si>
  <si>
    <t>Silverpine</t>
  </si>
  <si>
    <t>Longvalley</t>
  </si>
  <si>
    <t>Pawtucket</t>
  </si>
  <si>
    <t>Elm Ridge</t>
  </si>
  <si>
    <t>BRITTANY</t>
  </si>
  <si>
    <t>Rutgers</t>
  </si>
  <si>
    <t>White Pine</t>
  </si>
  <si>
    <t>Cayuga</t>
  </si>
  <si>
    <t>Partridge</t>
  </si>
  <si>
    <t>Larkdale</t>
  </si>
  <si>
    <t>Brittany</t>
  </si>
  <si>
    <t>Norway Pine</t>
  </si>
  <si>
    <t>Bar Harbor</t>
  </si>
  <si>
    <t>Clover</t>
  </si>
  <si>
    <t>RADCLIFFE</t>
  </si>
  <si>
    <t>WHIRLAWAY</t>
  </si>
  <si>
    <t>SOUTHBRIDGE</t>
  </si>
  <si>
    <t>Powder Horn</t>
  </si>
  <si>
    <t>Medford</t>
  </si>
  <si>
    <t>Touraine</t>
  </si>
  <si>
    <t>Radcliffe</t>
  </si>
  <si>
    <t>River Falls</t>
  </si>
  <si>
    <t>Prestwick</t>
  </si>
  <si>
    <t>Michelline</t>
  </si>
  <si>
    <t>Carriage</t>
  </si>
  <si>
    <t>Picardy</t>
  </si>
  <si>
    <t>Evert</t>
  </si>
  <si>
    <t>Antique</t>
  </si>
  <si>
    <t>EVERT</t>
  </si>
  <si>
    <t>Williamsburg</t>
  </si>
  <si>
    <t>Coachmaker</t>
  </si>
  <si>
    <t>Carousel</t>
  </si>
  <si>
    <t>Southbridge</t>
  </si>
  <si>
    <t>FARGO</t>
  </si>
  <si>
    <t>The Strand</t>
  </si>
  <si>
    <t>Eastwind</t>
  </si>
  <si>
    <t>Newport</t>
  </si>
  <si>
    <t>Charles</t>
  </si>
  <si>
    <t>Salceda</t>
  </si>
  <si>
    <t>Ivy</t>
  </si>
  <si>
    <t>COLONY</t>
  </si>
  <si>
    <t>Bob O Link</t>
  </si>
  <si>
    <t>Sussex</t>
  </si>
  <si>
    <t>Eastwood</t>
  </si>
  <si>
    <t>RIVER FALLS</t>
  </si>
  <si>
    <t>Dauphine</t>
  </si>
  <si>
    <t>Sutton</t>
  </si>
  <si>
    <t>Charlemagne</t>
  </si>
  <si>
    <t>Anjou</t>
  </si>
  <si>
    <t>Laburnum</t>
  </si>
  <si>
    <t>Terminal</t>
  </si>
  <si>
    <t>Driftwood</t>
  </si>
  <si>
    <t>Kingston</t>
  </si>
  <si>
    <t>Old Mill</t>
  </si>
  <si>
    <t>White Oak</t>
  </si>
  <si>
    <t>Southwind</t>
  </si>
  <si>
    <t>Grace</t>
  </si>
  <si>
    <t>FOREST VIEW</t>
  </si>
  <si>
    <t>Sorrel</t>
  </si>
  <si>
    <t>The Court Of Muirwood</t>
  </si>
  <si>
    <t>Court of Stone Creek</t>
  </si>
  <si>
    <t>BOBOLINK</t>
  </si>
  <si>
    <t>Greenview</t>
  </si>
  <si>
    <t>Doriann</t>
  </si>
  <si>
    <t>Lorete</t>
  </si>
  <si>
    <t>Cobblewood</t>
  </si>
  <si>
    <t>Farmington</t>
  </si>
  <si>
    <t>Asbury</t>
  </si>
  <si>
    <t>The Court of Hidden Bay</t>
  </si>
  <si>
    <t>The Court Of Hidden Bay</t>
  </si>
  <si>
    <t>The Court of Stone Creek</t>
  </si>
  <si>
    <t>QUAIL</t>
  </si>
  <si>
    <t>Quail</t>
  </si>
  <si>
    <t>Landwehr</t>
  </si>
  <si>
    <t>Queens</t>
  </si>
  <si>
    <t>Valencia</t>
  </si>
  <si>
    <t>Burgundy</t>
  </si>
  <si>
    <t>The Court Of Lagoon View</t>
  </si>
  <si>
    <t>El Cid</t>
  </si>
  <si>
    <t>BURGUNDY</t>
  </si>
  <si>
    <t>The Court Of Charlwood</t>
  </si>
  <si>
    <t>Lacrosse</t>
  </si>
  <si>
    <t>Brian</t>
  </si>
  <si>
    <t>Hampton</t>
  </si>
  <si>
    <t>RUTGERS</t>
  </si>
  <si>
    <t>The Court Of North Corner</t>
  </si>
  <si>
    <t>Ct. of Hidden Wells</t>
  </si>
  <si>
    <t>Yorkshire</t>
  </si>
  <si>
    <t>Brighton</t>
  </si>
  <si>
    <t>Toulon</t>
  </si>
  <si>
    <t>Astor</t>
  </si>
  <si>
    <t>Crimson</t>
  </si>
  <si>
    <t>Pebble Beach</t>
  </si>
  <si>
    <t>Mallard</t>
  </si>
  <si>
    <t>Terri Lyn</t>
  </si>
  <si>
    <t>Acorn</t>
  </si>
  <si>
    <t>Fairview</t>
  </si>
  <si>
    <t>Prince</t>
  </si>
  <si>
    <t>Buckthorn</t>
  </si>
  <si>
    <t>Basswood</t>
  </si>
  <si>
    <t>BAYBERRY</t>
  </si>
  <si>
    <t>THE COURT OF HIDDEN WELLS</t>
  </si>
  <si>
    <t>Pony</t>
  </si>
  <si>
    <t>Applewood</t>
  </si>
  <si>
    <t>Lindenwood</t>
  </si>
  <si>
    <t>Bermuda Dunes</t>
  </si>
  <si>
    <t>Snowbird</t>
  </si>
  <si>
    <t>Arrowwood</t>
  </si>
  <si>
    <t>Indian Wells</t>
  </si>
  <si>
    <t>Palm Canyon</t>
  </si>
  <si>
    <t>arrowwood</t>
  </si>
  <si>
    <t>Kingsport</t>
  </si>
  <si>
    <t>Carlyle</t>
  </si>
  <si>
    <t>CARLYLE</t>
  </si>
  <si>
    <t>Heritage</t>
  </si>
  <si>
    <t>Chedworth</t>
  </si>
  <si>
    <t>Stowe</t>
  </si>
  <si>
    <t>Cotswolds</t>
  </si>
  <si>
    <t>Joshua</t>
  </si>
  <si>
    <t>Steven</t>
  </si>
  <si>
    <t>ANNE</t>
  </si>
  <si>
    <t>Meadowview</t>
  </si>
  <si>
    <t>Turnberry</t>
  </si>
  <si>
    <t>COUNTRY CLUB</t>
  </si>
  <si>
    <t>Royal Ridge</t>
  </si>
  <si>
    <t>Harbor</t>
  </si>
  <si>
    <t>Sanders</t>
  </si>
  <si>
    <t>CONSTANCE</t>
  </si>
  <si>
    <t>Summerton</t>
  </si>
  <si>
    <t>Shannon</t>
  </si>
  <si>
    <t>Floral</t>
  </si>
  <si>
    <t>VOLTZ</t>
  </si>
  <si>
    <t>Woodview</t>
  </si>
  <si>
    <t>Timbers Edge</t>
  </si>
  <si>
    <t>WALTERS</t>
  </si>
  <si>
    <t>Brown</t>
  </si>
  <si>
    <t>ANGLE</t>
  </si>
  <si>
    <t>Voltz</t>
  </si>
  <si>
    <t>SUNSET RIDGE</t>
  </si>
  <si>
    <t>MULFORD</t>
  </si>
  <si>
    <t>KIRK</t>
  </si>
  <si>
    <t>westwood</t>
  </si>
  <si>
    <t>Keeney</t>
  </si>
  <si>
    <t>Estes</t>
  </si>
  <si>
    <t>Jarlath</t>
  </si>
  <si>
    <t>Mulford</t>
  </si>
  <si>
    <t>CRAIN</t>
  </si>
  <si>
    <t>GREENLEAF</t>
  </si>
  <si>
    <t>MONROE</t>
  </si>
  <si>
    <t>LE CLAIRE</t>
  </si>
  <si>
    <t>LEE</t>
  </si>
  <si>
    <t>CHASE</t>
  </si>
  <si>
    <t>Sunset</t>
  </si>
  <si>
    <t>Midway</t>
  </si>
  <si>
    <t>LINDER</t>
  </si>
  <si>
    <t>Kimball</t>
  </si>
  <si>
    <t>KENNETH</t>
  </si>
  <si>
    <t>Forestway</t>
  </si>
  <si>
    <t>Milton</t>
  </si>
  <si>
    <t>DAVIS</t>
  </si>
  <si>
    <t>St Louis</t>
  </si>
  <si>
    <t>SAINT LOUIS</t>
  </si>
  <si>
    <t>Lyons</t>
  </si>
  <si>
    <t>conrad</t>
  </si>
  <si>
    <t>Redwood</t>
  </si>
  <si>
    <t>SLEEPING BEAR</t>
  </si>
  <si>
    <t>Bittersweet</t>
  </si>
  <si>
    <t>Ridgeland</t>
  </si>
  <si>
    <t>AVERS</t>
  </si>
  <si>
    <t>Leamington</t>
  </si>
  <si>
    <t>Lawrence</t>
  </si>
  <si>
    <t>Hickory</t>
  </si>
  <si>
    <t>Lake Cook</t>
  </si>
  <si>
    <t>Ridge</t>
  </si>
  <si>
    <t>Tamaroa</t>
  </si>
  <si>
    <t>East Prairie</t>
  </si>
  <si>
    <t>Tamarind</t>
  </si>
  <si>
    <t>WALNUT</t>
  </si>
  <si>
    <t>Wescott</t>
  </si>
  <si>
    <t>Laurel</t>
  </si>
  <si>
    <t>Longaker</t>
  </si>
  <si>
    <t>Fair</t>
  </si>
  <si>
    <t>Emerson</t>
  </si>
  <si>
    <t>JARVIS</t>
  </si>
  <si>
    <t>Huehl</t>
  </si>
  <si>
    <t>HIGHLAND</t>
  </si>
  <si>
    <t>Banyan</t>
  </si>
  <si>
    <t>MAIN</t>
  </si>
  <si>
    <t>BIRCHWOOD</t>
  </si>
  <si>
    <t>Edgewood</t>
  </si>
  <si>
    <t>Dorset</t>
  </si>
  <si>
    <t>SUFFIELD</t>
  </si>
  <si>
    <t>MICHELLINE</t>
  </si>
  <si>
    <t>Ellendale</t>
  </si>
  <si>
    <t>SOUTHWIND</t>
  </si>
  <si>
    <t>Post</t>
  </si>
  <si>
    <t>LISA</t>
  </si>
  <si>
    <t>Castilian</t>
  </si>
  <si>
    <t>LAKE KNOLL</t>
  </si>
  <si>
    <t>Happ</t>
  </si>
  <si>
    <t>Valley</t>
  </si>
  <si>
    <t>Lake Knoll</t>
  </si>
  <si>
    <t>Seville</t>
  </si>
  <si>
    <t>Windsor</t>
  </si>
  <si>
    <t>Bristol</t>
  </si>
  <si>
    <t>CHESTNUT</t>
  </si>
  <si>
    <t>Lori Lyn</t>
  </si>
  <si>
    <t>Oak Knoll</t>
  </si>
  <si>
    <t>Torrey Pines</t>
  </si>
  <si>
    <t>Devonshire</t>
  </si>
  <si>
    <t>Phyllis</t>
  </si>
  <si>
    <t>PHYLLIS</t>
  </si>
  <si>
    <t>Carter</t>
  </si>
  <si>
    <t>Woodmere</t>
  </si>
  <si>
    <t>Glenway</t>
  </si>
  <si>
    <t>Donovan Glen</t>
  </si>
  <si>
    <t>Deercrest</t>
  </si>
  <si>
    <t>ESKIN</t>
  </si>
  <si>
    <t>Trails Edge</t>
  </si>
  <si>
    <t>Greenacre</t>
  </si>
  <si>
    <t>Prestbury</t>
  </si>
  <si>
    <t>Windy Hill</t>
  </si>
  <si>
    <t>Braeside</t>
  </si>
  <si>
    <t>LAVIGNE</t>
  </si>
  <si>
    <t>GLENEAGLE</t>
  </si>
  <si>
    <t>Lakeside</t>
  </si>
  <si>
    <t>Jessica</t>
  </si>
  <si>
    <t>Gayle</t>
  </si>
  <si>
    <t>Little Elm Bend</t>
  </si>
  <si>
    <t>Jasper</t>
  </si>
  <si>
    <t>Weller</t>
  </si>
  <si>
    <t>Surrey</t>
  </si>
  <si>
    <t>Alice</t>
  </si>
  <si>
    <t>Spruce</t>
  </si>
  <si>
    <t>BIG OAK</t>
  </si>
  <si>
    <t>Helen</t>
  </si>
  <si>
    <t>Crain</t>
  </si>
  <si>
    <t>Big Oak</t>
  </si>
  <si>
    <t>Cardinal</t>
  </si>
  <si>
    <t>Pine Tree</t>
  </si>
  <si>
    <t>Westwood</t>
  </si>
  <si>
    <t>SHERWIN</t>
  </si>
  <si>
    <t>SHANNON</t>
  </si>
  <si>
    <t>Townhouse</t>
  </si>
  <si>
    <t>KEATING</t>
  </si>
  <si>
    <t>LACROSSE</t>
  </si>
  <si>
    <t>church</t>
  </si>
  <si>
    <t>KEELER</t>
  </si>
  <si>
    <t>FAIRVIEW</t>
  </si>
  <si>
    <t>Rooms</t>
  </si>
  <si>
    <t>Full Baths</t>
  </si>
  <si>
    <t>Half Baths</t>
  </si>
  <si>
    <t>Garage Spaces</t>
  </si>
  <si>
    <t>Parking Spaces</t>
  </si>
  <si>
    <t>YearSold</t>
  </si>
  <si>
    <t>UNK</t>
  </si>
  <si>
    <t>Pine</t>
  </si>
  <si>
    <t>Edgar</t>
  </si>
  <si>
    <t>Wilson</t>
  </si>
  <si>
    <t>HIGHWOODS</t>
  </si>
  <si>
    <t>Lakeview</t>
  </si>
  <si>
    <t>LAKE SHORE</t>
  </si>
  <si>
    <t>Riverside</t>
  </si>
  <si>
    <t>Circle</t>
  </si>
  <si>
    <t>Olive</t>
  </si>
  <si>
    <t>Lake</t>
  </si>
  <si>
    <t>Calvin</t>
  </si>
  <si>
    <t>Bridgewood</t>
  </si>
  <si>
    <t>7th</t>
  </si>
  <si>
    <t>Loon</t>
  </si>
  <si>
    <t>Liberty</t>
  </si>
  <si>
    <t>Heart O Lakes</t>
  </si>
  <si>
    <t>lotus</t>
  </si>
  <si>
    <t>BRIDGEWOOD</t>
  </si>
  <si>
    <t>Victoria</t>
  </si>
  <si>
    <t>ADDISON</t>
  </si>
  <si>
    <t>Michigan</t>
  </si>
  <si>
    <t>Dot</t>
  </si>
  <si>
    <t>Florence</t>
  </si>
  <si>
    <t>Silver Lake</t>
  </si>
  <si>
    <t>Lake Bluff</t>
  </si>
  <si>
    <t>Grass Lake</t>
  </si>
  <si>
    <t>Spafford</t>
  </si>
  <si>
    <t>BAYVIEW</t>
  </si>
  <si>
    <t>Grapevine</t>
  </si>
  <si>
    <t>Naber</t>
  </si>
  <si>
    <t>Marie</t>
  </si>
  <si>
    <t>Forest</t>
  </si>
  <si>
    <t>Drexel</t>
  </si>
  <si>
    <t>3RD</t>
  </si>
  <si>
    <t>Cedarwood</t>
  </si>
  <si>
    <t>Champaign</t>
  </si>
  <si>
    <t>Beach Grove</t>
  </si>
  <si>
    <t>Beachview</t>
  </si>
  <si>
    <t>10766923</t>
  </si>
  <si>
    <t>2</t>
  </si>
  <si>
    <t>10820959</t>
  </si>
  <si>
    <t>10388856</t>
  </si>
  <si>
    <t>Deep Lake</t>
  </si>
  <si>
    <t>Lakewood</t>
  </si>
  <si>
    <t>Parkway</t>
  </si>
  <si>
    <t>LINDEN</t>
  </si>
  <si>
    <t>10559556</t>
  </si>
  <si>
    <t>Ginger</t>
  </si>
  <si>
    <t>10379807</t>
  </si>
  <si>
    <t>SMITH</t>
  </si>
  <si>
    <t>Rena</t>
  </si>
  <si>
    <t>Marcus</t>
  </si>
  <si>
    <t>9th</t>
  </si>
  <si>
    <t>Golfview</t>
  </si>
  <si>
    <t>Willow</t>
  </si>
  <si>
    <t>HICKORY</t>
  </si>
  <si>
    <t>CIRCLE</t>
  </si>
  <si>
    <t>VENN</t>
  </si>
  <si>
    <t>Harlem</t>
  </si>
  <si>
    <t>MARIE</t>
  </si>
  <si>
    <t>10072808</t>
  </si>
  <si>
    <t>Tee Side</t>
  </si>
  <si>
    <t>BEACH GROVE</t>
  </si>
  <si>
    <t>Addison</t>
  </si>
  <si>
    <t>WOODLAND</t>
  </si>
  <si>
    <t>Turnburry</t>
  </si>
  <si>
    <t>10758553</t>
  </si>
  <si>
    <t>Hidden Bunker</t>
  </si>
  <si>
    <t>10896062</t>
  </si>
  <si>
    <t>10561219</t>
  </si>
  <si>
    <t>HIDDEN BUNKER</t>
  </si>
  <si>
    <t>10432958</t>
  </si>
  <si>
    <t>Joren</t>
  </si>
  <si>
    <t>10524404</t>
  </si>
  <si>
    <t>10887227</t>
  </si>
  <si>
    <t>JOREN</t>
  </si>
  <si>
    <t>Zelinger</t>
  </si>
  <si>
    <t>10523465</t>
  </si>
  <si>
    <t>Donin</t>
  </si>
  <si>
    <t>SUMMERLYN</t>
  </si>
  <si>
    <t>Loon Lake</t>
  </si>
  <si>
    <t>10817742</t>
  </si>
  <si>
    <t>10317656</t>
  </si>
  <si>
    <t>Johelia</t>
  </si>
  <si>
    <t>10731959</t>
  </si>
  <si>
    <t>NORTH</t>
  </si>
  <si>
    <t>Witt</t>
  </si>
  <si>
    <t>10587735</t>
  </si>
  <si>
    <t>Holbek</t>
  </si>
  <si>
    <t>Bond</t>
  </si>
  <si>
    <t>Cheri</t>
  </si>
  <si>
    <t>10549393</t>
  </si>
  <si>
    <t>Lake Shore</t>
  </si>
  <si>
    <t>CONVERSE</t>
  </si>
  <si>
    <t>10524371</t>
  </si>
  <si>
    <t>Highview</t>
  </si>
  <si>
    <t>10496086</t>
  </si>
  <si>
    <t>Tiffany</t>
  </si>
  <si>
    <t>10419399</t>
  </si>
  <si>
    <t>W North</t>
  </si>
  <si>
    <t>6th</t>
  </si>
  <si>
    <t>Alexander</t>
  </si>
  <si>
    <t>North</t>
  </si>
  <si>
    <t>10329537</t>
  </si>
  <si>
    <t>Parkview</t>
  </si>
  <si>
    <t>10682744</t>
  </si>
  <si>
    <t>Mark</t>
  </si>
  <si>
    <t>Depot</t>
  </si>
  <si>
    <t>Creek Bend</t>
  </si>
  <si>
    <t>Wilmot</t>
  </si>
  <si>
    <t>Lake Vista</t>
  </si>
  <si>
    <t>Claridan</t>
  </si>
  <si>
    <t>Hazelwood</t>
  </si>
  <si>
    <t>10923399</t>
  </si>
  <si>
    <t>JOHELIA</t>
  </si>
  <si>
    <t>10389950</t>
  </si>
  <si>
    <t>DROM</t>
  </si>
  <si>
    <t>Highwoods</t>
  </si>
  <si>
    <t>East</t>
  </si>
  <si>
    <t>L</t>
  </si>
  <si>
    <t>Grand</t>
  </si>
  <si>
    <t>Vandermeer</t>
  </si>
  <si>
    <t>LOGAN</t>
  </si>
  <si>
    <t>10920644</t>
  </si>
  <si>
    <t>10574772</t>
  </si>
  <si>
    <t>Pine Hill</t>
  </si>
  <si>
    <t>Stonegate</t>
  </si>
  <si>
    <t>10650171</t>
  </si>
  <si>
    <t>PARKVIEW</t>
  </si>
  <si>
    <t>10496227</t>
  </si>
  <si>
    <t>catalpa</t>
  </si>
  <si>
    <t>10706616</t>
  </si>
  <si>
    <t>Bluff Lake</t>
  </si>
  <si>
    <t>Rotterdam</t>
  </si>
  <si>
    <t>10857601</t>
  </si>
  <si>
    <t>10767076</t>
  </si>
  <si>
    <t>10523296</t>
  </si>
  <si>
    <t>Island</t>
  </si>
  <si>
    <t>Spring Grove</t>
  </si>
  <si>
    <t>Hague</t>
  </si>
  <si>
    <t>10723854</t>
  </si>
  <si>
    <t>LONG</t>
  </si>
  <si>
    <t>10649817</t>
  </si>
  <si>
    <t>Calhoun</t>
  </si>
  <si>
    <t>OAKWOOD</t>
  </si>
  <si>
    <t>10691038</t>
  </si>
  <si>
    <t>10823300</t>
  </si>
  <si>
    <t>Natalie</t>
  </si>
  <si>
    <t>10685345</t>
  </si>
  <si>
    <t>Curran</t>
  </si>
  <si>
    <t>Sylvan</t>
  </si>
  <si>
    <t>NEEDLEGRASS</t>
  </si>
  <si>
    <t>Tracy</t>
  </si>
  <si>
    <t>Margate</t>
  </si>
  <si>
    <t>Channel</t>
  </si>
  <si>
    <t>LAKE</t>
  </si>
  <si>
    <t>10424492</t>
  </si>
  <si>
    <t>Harden</t>
  </si>
  <si>
    <t>10730294</t>
  </si>
  <si>
    <t>West Shore</t>
  </si>
  <si>
    <t>Prairie Scene</t>
  </si>
  <si>
    <t>Indian Trail</t>
  </si>
  <si>
    <t>Cameron</t>
  </si>
  <si>
    <t>Garys</t>
  </si>
  <si>
    <t>10383940</t>
  </si>
  <si>
    <t>Inverness</t>
  </si>
  <si>
    <t>Osmond</t>
  </si>
  <si>
    <t>Crabapple</t>
  </si>
  <si>
    <t>Bluff</t>
  </si>
  <si>
    <t>Waterview</t>
  </si>
  <si>
    <t>Bishop</t>
  </si>
  <si>
    <t>Dove</t>
  </si>
  <si>
    <t>Netherlands</t>
  </si>
  <si>
    <t>LONGVIEW</t>
  </si>
  <si>
    <t>HAGUE</t>
  </si>
  <si>
    <t>Nevelier</t>
  </si>
  <si>
    <t>HEARTLAND PARK</t>
  </si>
  <si>
    <t>VALLEY VIEW</t>
  </si>
  <si>
    <t>Kathleen</t>
  </si>
  <si>
    <t>1st</t>
  </si>
  <si>
    <t>Drom</t>
  </si>
  <si>
    <t>Walker</t>
  </si>
  <si>
    <t>Petite</t>
  </si>
  <si>
    <t>MACKENZIE</t>
  </si>
  <si>
    <t>10402691</t>
  </si>
  <si>
    <t>Autumn</t>
  </si>
  <si>
    <t>Melva</t>
  </si>
  <si>
    <t>Overview</t>
  </si>
  <si>
    <t>Meadow Lake</t>
  </si>
  <si>
    <t>10398091</t>
  </si>
  <si>
    <t>PARKWAY</t>
  </si>
  <si>
    <t>Van Dyke</t>
  </si>
  <si>
    <t>Channel View</t>
  </si>
  <si>
    <t>Needlegrass</t>
  </si>
  <si>
    <t>OLIVE</t>
  </si>
  <si>
    <t>OakHill</t>
  </si>
  <si>
    <t>Woodland</t>
  </si>
  <si>
    <t>Tiffany Farms</t>
  </si>
  <si>
    <t>N Lake</t>
  </si>
  <si>
    <t>Prospect</t>
  </si>
  <si>
    <t>Devon</t>
  </si>
  <si>
    <t>Black Oak</t>
  </si>
  <si>
    <t>Whitehall</t>
  </si>
  <si>
    <t>10104434</t>
  </si>
  <si>
    <t>LAKEWOOD</t>
  </si>
  <si>
    <t>Bolton</t>
  </si>
  <si>
    <t>MAPLEWOOD</t>
  </si>
  <si>
    <t>Summerlyn</t>
  </si>
  <si>
    <t>PETITE PASS</t>
  </si>
  <si>
    <t>Christine</t>
  </si>
  <si>
    <t>Hill</t>
  </si>
  <si>
    <t>Meadow Vw</t>
  </si>
  <si>
    <t>Midnight Pass</t>
  </si>
  <si>
    <t>10314661</t>
  </si>
  <si>
    <t>GOLF</t>
  </si>
  <si>
    <t>Ashlyn</t>
  </si>
  <si>
    <t>Timber Lake</t>
  </si>
  <si>
    <t>GRAND</t>
  </si>
  <si>
    <t>10363099</t>
  </si>
  <si>
    <t>Mackenzie</t>
  </si>
  <si>
    <t>10129889</t>
  </si>
  <si>
    <t>Westlake</t>
  </si>
  <si>
    <t>Deer Path</t>
  </si>
  <si>
    <t>Heron</t>
  </si>
  <si>
    <t>Neuhaven</t>
  </si>
  <si>
    <t>Todd</t>
  </si>
  <si>
    <t>Longview</t>
  </si>
  <si>
    <t>CATALPA</t>
  </si>
  <si>
    <t>Dressel</t>
  </si>
  <si>
    <t>Crest</t>
  </si>
  <si>
    <t>IL ROUTE 59</t>
  </si>
  <si>
    <t>Poplar</t>
  </si>
  <si>
    <t>Pinehurst</t>
  </si>
  <si>
    <t>SANDHILL</t>
  </si>
  <si>
    <t>10588036</t>
  </si>
  <si>
    <t>10382999</t>
  </si>
  <si>
    <t>Il Route 173</t>
  </si>
  <si>
    <t>LAKESIDE</t>
  </si>
  <si>
    <t>10846642</t>
  </si>
  <si>
    <t>Richmond</t>
  </si>
  <si>
    <t>Mocking Bird</t>
  </si>
  <si>
    <t>5th</t>
  </si>
  <si>
    <t>Trevino</t>
  </si>
  <si>
    <t>Tree Line</t>
  </si>
  <si>
    <t>CEDAR</t>
  </si>
  <si>
    <t>Abbey</t>
  </si>
  <si>
    <t>MOORE</t>
  </si>
  <si>
    <t>Robin</t>
  </si>
  <si>
    <t>Edgewater</t>
  </si>
  <si>
    <t>Vista Lake</t>
  </si>
  <si>
    <t>Montrose</t>
  </si>
  <si>
    <t>Pearl</t>
  </si>
  <si>
    <t>Simon</t>
  </si>
  <si>
    <t>Blackman</t>
  </si>
  <si>
    <t>Hillandale</t>
  </si>
  <si>
    <t>Club Lake</t>
  </si>
  <si>
    <t>WINSOR</t>
  </si>
  <si>
    <t>Bayview</t>
  </si>
  <si>
    <t>Elime</t>
  </si>
  <si>
    <t>10272729</t>
  </si>
  <si>
    <t>DEVON</t>
  </si>
  <si>
    <t>Bradford</t>
  </si>
  <si>
    <t>KATHLEEN</t>
  </si>
  <si>
    <t>Sterling Heights</t>
  </si>
  <si>
    <t>Forestview</t>
  </si>
  <si>
    <t>10412530</t>
  </si>
  <si>
    <t>RIDGEWOOD</t>
  </si>
  <si>
    <t>David</t>
  </si>
  <si>
    <t>Red Hawk</t>
  </si>
  <si>
    <t>Deertrail</t>
  </si>
  <si>
    <t>EDELWEISS</t>
  </si>
  <si>
    <t>Morning Dove</t>
  </si>
  <si>
    <t>Wittenburg</t>
  </si>
  <si>
    <t>Valley View</t>
  </si>
  <si>
    <t>Il Route 59</t>
  </si>
  <si>
    <t>NICKLAUS</t>
  </si>
  <si>
    <t>Goldfinch</t>
  </si>
  <si>
    <t>Serenity</t>
  </si>
  <si>
    <t>Petite Pass</t>
  </si>
  <si>
    <t>3rd</t>
  </si>
  <si>
    <t>NETHERLANDS</t>
  </si>
  <si>
    <t>Gridley</t>
  </si>
  <si>
    <t>Pedersen</t>
  </si>
  <si>
    <t>ASPEN</t>
  </si>
  <si>
    <t>Redwing</t>
  </si>
  <si>
    <t>IL Route 173</t>
  </si>
  <si>
    <t>Hawthorn</t>
  </si>
  <si>
    <t>Kennedy</t>
  </si>
  <si>
    <t>Lillian</t>
  </si>
  <si>
    <t>Elfering</t>
  </si>
  <si>
    <t>Edelweiss</t>
  </si>
  <si>
    <t>GOLDFINCH</t>
  </si>
  <si>
    <t>TREVOR</t>
  </si>
  <si>
    <t>Savage</t>
  </si>
  <si>
    <t>10799121</t>
  </si>
  <si>
    <t>PARK VIEW</t>
  </si>
  <si>
    <t>10371629</t>
  </si>
  <si>
    <t>Neuway</t>
  </si>
  <si>
    <t>Il Route 83</t>
  </si>
  <si>
    <t>GRASS LAKE</t>
  </si>
  <si>
    <t>Bowles</t>
  </si>
  <si>
    <t>CHAMPAIGN</t>
  </si>
  <si>
    <t>Mockingbird</t>
  </si>
  <si>
    <t>Moore</t>
  </si>
  <si>
    <t>Oriole</t>
  </si>
  <si>
    <t>Summer Hill</t>
  </si>
  <si>
    <t>Harvest</t>
  </si>
  <si>
    <t>10448479</t>
  </si>
  <si>
    <t>Sanderling</t>
  </si>
  <si>
    <t>Dana</t>
  </si>
  <si>
    <t>Golden Eagle</t>
  </si>
  <si>
    <t>10618488</t>
  </si>
  <si>
    <t>WOODBINE</t>
  </si>
  <si>
    <t>Heartland Park</t>
  </si>
  <si>
    <t>JEROME</t>
  </si>
  <si>
    <t>TRINITY</t>
  </si>
  <si>
    <t>Kevington</t>
  </si>
  <si>
    <t>Blue Heron</t>
  </si>
  <si>
    <t>Magnolia</t>
  </si>
  <si>
    <t>Eagle Ridge</t>
  </si>
  <si>
    <t>SANDERLING</t>
  </si>
  <si>
    <t>Harbor Ridge</t>
  </si>
  <si>
    <t>10907439</t>
  </si>
  <si>
    <t>Rangers</t>
  </si>
  <si>
    <t>WILMOT</t>
  </si>
  <si>
    <t>Beachwood</t>
  </si>
  <si>
    <t>Meridian</t>
  </si>
  <si>
    <t>Oak Shore</t>
  </si>
  <si>
    <t>Old Lake</t>
  </si>
  <si>
    <t>Water Thrush</t>
  </si>
  <si>
    <t>Oakhill</t>
  </si>
  <si>
    <t>Mary Ann</t>
  </si>
  <si>
    <t>Tanager</t>
  </si>
  <si>
    <t>Nicklaus</t>
  </si>
  <si>
    <t>Oak Point</t>
  </si>
  <si>
    <t>10760893</t>
  </si>
  <si>
    <t>10539833</t>
  </si>
  <si>
    <t>INVERNESS</t>
  </si>
  <si>
    <t>Hunt Club</t>
  </si>
  <si>
    <t>Phillips</t>
  </si>
  <si>
    <t>WOOD CREEK</t>
  </si>
  <si>
    <t>DREXEL</t>
  </si>
  <si>
    <t>Wood Creek</t>
  </si>
  <si>
    <t>Burnette</t>
  </si>
  <si>
    <t>Bayshore</t>
  </si>
  <si>
    <t>BOWLES</t>
  </si>
  <si>
    <t>Elm Tree</t>
  </si>
  <si>
    <t>LONG BAY</t>
  </si>
  <si>
    <t>WINDMERE</t>
  </si>
  <si>
    <t>North Newport</t>
  </si>
  <si>
    <t>Kathryn</t>
  </si>
  <si>
    <t>US Highway 45</t>
  </si>
  <si>
    <t>Collier</t>
  </si>
  <si>
    <t>Belmont</t>
  </si>
  <si>
    <t>Windmere</t>
  </si>
  <si>
    <t>White Lake</t>
  </si>
  <si>
    <t>Vos</t>
  </si>
  <si>
    <t>N IL Route 83</t>
  </si>
  <si>
    <t>Amalfi</t>
  </si>
  <si>
    <t>43425&amp;61</t>
  </si>
  <si>
    <t>Fox</t>
  </si>
  <si>
    <t>Sterbenz</t>
  </si>
  <si>
    <t>Patron</t>
  </si>
  <si>
    <t>Indian Ridge</t>
  </si>
  <si>
    <t>Palmer</t>
  </si>
  <si>
    <t>TERRY</t>
  </si>
  <si>
    <t>South Newport</t>
  </si>
  <si>
    <t>NEUWAY</t>
  </si>
  <si>
    <t>Eagles Nest</t>
  </si>
  <si>
    <t>Winsor</t>
  </si>
  <si>
    <t>TIMBER LAKE</t>
  </si>
  <si>
    <t>BAYSHORE</t>
  </si>
  <si>
    <t>Hidden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</si>
</sst>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62"/>
  <sheetViews>
    <sheetView tabSelected="1" workbookViewId="0">
      <selection activeCell="U2155" sqref="U2155:U2862"/>
    </sheetView>
  </sheetViews>
  <sheetFormatPr defaultRowHeight="15" x14ac:dyDescent="0.25"/>
  <cols>
    <col min="3" max="3" width="10.85546875" style="1" customWidth="1"/>
    <col min="4" max="4" width="10.85546875" style="2" customWidth="1"/>
    <col min="19" max="19" width="11.140625" customWidth="1"/>
    <col min="20" max="20" width="10.7109375" customWidth="1"/>
  </cols>
  <sheetData>
    <row r="1" spans="1:21" x14ac:dyDescent="0.25">
      <c r="A1" t="s">
        <v>0</v>
      </c>
      <c r="B1" t="s">
        <v>1</v>
      </c>
      <c r="C1" s="1" t="s">
        <v>2</v>
      </c>
      <c r="D1" s="2" t="s">
        <v>559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554</v>
      </c>
      <c r="N1" t="s">
        <v>555</v>
      </c>
      <c r="O1" t="s">
        <v>556</v>
      </c>
      <c r="P1" t="s">
        <v>11</v>
      </c>
      <c r="Q1" t="s">
        <v>12</v>
      </c>
      <c r="R1" t="s">
        <v>13</v>
      </c>
      <c r="S1" t="s">
        <v>14</v>
      </c>
      <c r="T1" t="s">
        <v>557</v>
      </c>
      <c r="U1" t="s">
        <v>558</v>
      </c>
    </row>
    <row r="2" spans="1:21" x14ac:dyDescent="0.25">
      <c r="A2">
        <v>9575585</v>
      </c>
      <c r="B2" t="s">
        <v>15</v>
      </c>
      <c r="C2" s="1">
        <v>42921</v>
      </c>
      <c r="D2" s="2">
        <f>YEAR(C2)</f>
        <v>2017</v>
      </c>
      <c r="E2">
        <v>156200</v>
      </c>
      <c r="F2" t="s">
        <v>16</v>
      </c>
      <c r="G2">
        <v>1925</v>
      </c>
      <c r="H2">
        <v>9106</v>
      </c>
      <c r="I2" t="s">
        <v>17</v>
      </c>
      <c r="J2">
        <v>76</v>
      </c>
      <c r="K2">
        <v>60077</v>
      </c>
      <c r="L2">
        <v>1200</v>
      </c>
      <c r="M2">
        <v>5</v>
      </c>
      <c r="N2">
        <v>2</v>
      </c>
      <c r="O2">
        <v>0</v>
      </c>
      <c r="P2" t="s">
        <v>18</v>
      </c>
      <c r="Q2">
        <v>2</v>
      </c>
      <c r="R2">
        <v>0</v>
      </c>
      <c r="S2" t="s">
        <v>19</v>
      </c>
      <c r="T2">
        <v>0</v>
      </c>
      <c r="U2">
        <v>0</v>
      </c>
    </row>
    <row r="3" spans="1:21" x14ac:dyDescent="0.25">
      <c r="A3">
        <v>9882671</v>
      </c>
      <c r="B3" t="s">
        <v>15</v>
      </c>
      <c r="C3" s="1">
        <v>43238</v>
      </c>
      <c r="D3" s="2">
        <f>YEAR(C3)</f>
        <v>2018</v>
      </c>
      <c r="E3">
        <v>205000</v>
      </c>
      <c r="F3" t="s">
        <v>16</v>
      </c>
      <c r="G3">
        <v>1927</v>
      </c>
      <c r="H3">
        <v>8910</v>
      </c>
      <c r="I3" t="s">
        <v>20</v>
      </c>
      <c r="J3">
        <v>76</v>
      </c>
      <c r="K3">
        <v>60077</v>
      </c>
      <c r="L3">
        <v>1528</v>
      </c>
      <c r="M3">
        <v>5</v>
      </c>
      <c r="N3">
        <v>1</v>
      </c>
      <c r="O3">
        <v>0</v>
      </c>
      <c r="P3" t="s">
        <v>18</v>
      </c>
      <c r="Q3">
        <v>2</v>
      </c>
      <c r="R3">
        <v>0</v>
      </c>
      <c r="S3" t="s">
        <v>21</v>
      </c>
      <c r="T3">
        <v>1</v>
      </c>
      <c r="U3">
        <v>0</v>
      </c>
    </row>
    <row r="4" spans="1:21" x14ac:dyDescent="0.25">
      <c r="A4">
        <v>9605178</v>
      </c>
      <c r="B4" t="s">
        <v>15</v>
      </c>
      <c r="C4" s="1">
        <v>42979</v>
      </c>
      <c r="D4" s="2">
        <f>YEAR(C4)</f>
        <v>2017</v>
      </c>
      <c r="E4">
        <v>195000</v>
      </c>
      <c r="F4" t="s">
        <v>16</v>
      </c>
      <c r="G4">
        <v>1927</v>
      </c>
      <c r="H4">
        <v>8910</v>
      </c>
      <c r="I4" t="s">
        <v>20</v>
      </c>
      <c r="J4">
        <v>76</v>
      </c>
      <c r="K4">
        <v>60077</v>
      </c>
      <c r="L4">
        <v>1528</v>
      </c>
      <c r="M4">
        <v>6</v>
      </c>
      <c r="N4">
        <v>1</v>
      </c>
      <c r="O4">
        <v>0</v>
      </c>
      <c r="P4" t="s">
        <v>18</v>
      </c>
      <c r="Q4">
        <v>2</v>
      </c>
      <c r="R4">
        <v>0</v>
      </c>
      <c r="S4" t="s">
        <v>22</v>
      </c>
      <c r="T4">
        <v>1</v>
      </c>
      <c r="U4">
        <v>0</v>
      </c>
    </row>
    <row r="5" spans="1:21" x14ac:dyDescent="0.25">
      <c r="A5">
        <v>9649846</v>
      </c>
      <c r="B5" t="s">
        <v>15</v>
      </c>
      <c r="C5" s="1">
        <v>42927</v>
      </c>
      <c r="D5" s="2">
        <f>YEAR(C5)</f>
        <v>2017</v>
      </c>
      <c r="E5">
        <v>200500</v>
      </c>
      <c r="F5" t="s">
        <v>16</v>
      </c>
      <c r="G5">
        <v>1927</v>
      </c>
      <c r="H5">
        <v>8910</v>
      </c>
      <c r="I5" t="s">
        <v>20</v>
      </c>
      <c r="J5">
        <v>76</v>
      </c>
      <c r="K5">
        <v>60077</v>
      </c>
      <c r="L5">
        <v>1528</v>
      </c>
      <c r="M5">
        <v>6</v>
      </c>
      <c r="N5">
        <v>1</v>
      </c>
      <c r="O5">
        <v>0</v>
      </c>
      <c r="P5" t="s">
        <v>18</v>
      </c>
      <c r="Q5">
        <v>2</v>
      </c>
      <c r="R5">
        <v>0</v>
      </c>
      <c r="S5" t="s">
        <v>22</v>
      </c>
      <c r="T5">
        <v>1</v>
      </c>
      <c r="U5">
        <v>0</v>
      </c>
    </row>
    <row r="6" spans="1:21" x14ac:dyDescent="0.25">
      <c r="A6">
        <v>9868717</v>
      </c>
      <c r="B6" t="s">
        <v>15</v>
      </c>
      <c r="C6" s="1">
        <v>43237</v>
      </c>
      <c r="D6" s="2">
        <f>YEAR(C6)</f>
        <v>2018</v>
      </c>
      <c r="E6">
        <v>212500</v>
      </c>
      <c r="F6" t="s">
        <v>16</v>
      </c>
      <c r="G6">
        <v>1927</v>
      </c>
      <c r="H6">
        <v>8910</v>
      </c>
      <c r="I6" t="s">
        <v>20</v>
      </c>
      <c r="J6">
        <v>76</v>
      </c>
      <c r="K6">
        <v>60077</v>
      </c>
      <c r="L6">
        <v>1528</v>
      </c>
      <c r="M6">
        <v>6</v>
      </c>
      <c r="N6">
        <v>1</v>
      </c>
      <c r="O6">
        <v>0</v>
      </c>
      <c r="P6" t="s">
        <v>18</v>
      </c>
      <c r="Q6">
        <v>2</v>
      </c>
      <c r="R6">
        <v>0</v>
      </c>
      <c r="S6" t="s">
        <v>22</v>
      </c>
      <c r="T6">
        <v>1</v>
      </c>
      <c r="U6">
        <v>0</v>
      </c>
    </row>
    <row r="7" spans="1:21" x14ac:dyDescent="0.25">
      <c r="A7">
        <v>9580040</v>
      </c>
      <c r="B7" t="s">
        <v>15</v>
      </c>
      <c r="C7" s="1">
        <v>42913</v>
      </c>
      <c r="D7" s="2">
        <f>YEAR(C7)</f>
        <v>2017</v>
      </c>
      <c r="E7">
        <v>240000</v>
      </c>
      <c r="F7" t="s">
        <v>16</v>
      </c>
      <c r="G7">
        <v>1932</v>
      </c>
      <c r="H7">
        <v>8039</v>
      </c>
      <c r="I7" t="s">
        <v>23</v>
      </c>
      <c r="J7">
        <v>76</v>
      </c>
      <c r="K7">
        <v>60076</v>
      </c>
      <c r="L7">
        <v>1800</v>
      </c>
      <c r="M7">
        <v>6</v>
      </c>
      <c r="N7">
        <v>2</v>
      </c>
      <c r="O7">
        <v>0</v>
      </c>
      <c r="P7" t="s">
        <v>18</v>
      </c>
      <c r="Q7">
        <v>3</v>
      </c>
      <c r="R7">
        <v>0</v>
      </c>
      <c r="S7" t="s">
        <v>22</v>
      </c>
      <c r="T7">
        <v>1</v>
      </c>
      <c r="U7">
        <v>0</v>
      </c>
    </row>
    <row r="8" spans="1:21" x14ac:dyDescent="0.25">
      <c r="A8">
        <v>9522252</v>
      </c>
      <c r="B8" t="s">
        <v>15</v>
      </c>
      <c r="C8" s="1">
        <v>42867</v>
      </c>
      <c r="D8" s="2">
        <f>YEAR(C8)</f>
        <v>2017</v>
      </c>
      <c r="E8">
        <v>125000</v>
      </c>
      <c r="F8" t="s">
        <v>16</v>
      </c>
      <c r="G8">
        <v>1952</v>
      </c>
      <c r="H8">
        <v>8300</v>
      </c>
      <c r="I8" t="s">
        <v>24</v>
      </c>
      <c r="J8">
        <v>76</v>
      </c>
      <c r="K8">
        <v>60076</v>
      </c>
      <c r="L8">
        <v>900</v>
      </c>
      <c r="M8">
        <v>6</v>
      </c>
      <c r="N8">
        <v>1</v>
      </c>
      <c r="O8">
        <v>0</v>
      </c>
      <c r="P8" t="s">
        <v>18</v>
      </c>
      <c r="Q8">
        <v>2</v>
      </c>
      <c r="R8">
        <v>0</v>
      </c>
      <c r="S8" t="s">
        <v>19</v>
      </c>
      <c r="T8">
        <v>0</v>
      </c>
      <c r="U8">
        <v>0</v>
      </c>
    </row>
    <row r="9" spans="1:21" x14ac:dyDescent="0.25">
      <c r="A9">
        <v>9919741</v>
      </c>
      <c r="B9" t="s">
        <v>15</v>
      </c>
      <c r="C9" s="1">
        <v>43290</v>
      </c>
      <c r="D9" s="2">
        <f>YEAR(C9)</f>
        <v>2018</v>
      </c>
      <c r="E9">
        <v>130500</v>
      </c>
      <c r="F9" t="s">
        <v>16</v>
      </c>
      <c r="G9">
        <v>1953</v>
      </c>
      <c r="H9">
        <v>9021</v>
      </c>
      <c r="I9" t="s">
        <v>26</v>
      </c>
      <c r="J9">
        <v>76</v>
      </c>
      <c r="K9">
        <v>60077</v>
      </c>
      <c r="L9">
        <v>7196</v>
      </c>
      <c r="M9">
        <v>6</v>
      </c>
      <c r="N9">
        <v>1</v>
      </c>
      <c r="O9">
        <v>0</v>
      </c>
      <c r="P9" t="s">
        <v>18</v>
      </c>
      <c r="Q9">
        <v>2</v>
      </c>
      <c r="R9">
        <v>0</v>
      </c>
      <c r="S9" t="s">
        <v>19</v>
      </c>
      <c r="T9">
        <v>0</v>
      </c>
      <c r="U9">
        <v>0</v>
      </c>
    </row>
    <row r="10" spans="1:21" x14ac:dyDescent="0.25">
      <c r="A10">
        <v>9784547</v>
      </c>
      <c r="B10" t="s">
        <v>15</v>
      </c>
      <c r="C10" s="1">
        <v>43089</v>
      </c>
      <c r="D10" s="2">
        <f>YEAR(C10)</f>
        <v>2017</v>
      </c>
      <c r="E10">
        <v>135000</v>
      </c>
      <c r="F10" t="s">
        <v>16</v>
      </c>
      <c r="G10">
        <v>1953</v>
      </c>
      <c r="H10">
        <v>8835</v>
      </c>
      <c r="I10" t="s">
        <v>27</v>
      </c>
      <c r="J10">
        <v>76</v>
      </c>
      <c r="K10">
        <v>60077</v>
      </c>
      <c r="L10">
        <v>750</v>
      </c>
      <c r="M10">
        <v>5</v>
      </c>
      <c r="N10">
        <v>1</v>
      </c>
      <c r="O10">
        <v>0</v>
      </c>
      <c r="P10" t="s">
        <v>18</v>
      </c>
      <c r="Q10">
        <v>2</v>
      </c>
      <c r="R10">
        <v>0</v>
      </c>
      <c r="S10" t="s">
        <v>22</v>
      </c>
      <c r="T10">
        <v>1</v>
      </c>
      <c r="U10">
        <v>0</v>
      </c>
    </row>
    <row r="11" spans="1:21" x14ac:dyDescent="0.25">
      <c r="A11">
        <v>9570223</v>
      </c>
      <c r="B11" t="s">
        <v>15</v>
      </c>
      <c r="C11" s="1">
        <v>42892</v>
      </c>
      <c r="D11" s="2">
        <f>YEAR(C11)</f>
        <v>2017</v>
      </c>
      <c r="E11">
        <v>118000</v>
      </c>
      <c r="F11" t="s">
        <v>16</v>
      </c>
      <c r="G11">
        <v>1956</v>
      </c>
      <c r="H11">
        <v>8106</v>
      </c>
      <c r="I11" t="s">
        <v>30</v>
      </c>
      <c r="J11">
        <v>76</v>
      </c>
      <c r="K11">
        <v>60076</v>
      </c>
      <c r="L11">
        <v>800</v>
      </c>
      <c r="M11">
        <v>5</v>
      </c>
      <c r="N11">
        <v>1</v>
      </c>
      <c r="O11">
        <v>0</v>
      </c>
      <c r="P11" t="s">
        <v>18</v>
      </c>
      <c r="Q11">
        <v>2</v>
      </c>
      <c r="R11">
        <v>0</v>
      </c>
      <c r="S11" t="s">
        <v>19</v>
      </c>
      <c r="T11">
        <v>0</v>
      </c>
      <c r="U11">
        <v>0</v>
      </c>
    </row>
    <row r="12" spans="1:21" x14ac:dyDescent="0.25">
      <c r="A12">
        <v>9944489</v>
      </c>
      <c r="B12" t="s">
        <v>15</v>
      </c>
      <c r="C12" s="1">
        <v>43311</v>
      </c>
      <c r="D12" s="2">
        <f>YEAR(C12)</f>
        <v>2018</v>
      </c>
      <c r="E12">
        <v>235000</v>
      </c>
      <c r="F12" t="s">
        <v>16</v>
      </c>
      <c r="G12">
        <v>1960</v>
      </c>
      <c r="H12">
        <v>8001</v>
      </c>
      <c r="I12" t="s">
        <v>33</v>
      </c>
      <c r="J12">
        <v>76</v>
      </c>
      <c r="K12">
        <v>60077</v>
      </c>
      <c r="L12">
        <v>1900</v>
      </c>
      <c r="M12">
        <v>6</v>
      </c>
      <c r="N12">
        <v>2</v>
      </c>
      <c r="O12">
        <v>0</v>
      </c>
      <c r="P12" t="s">
        <v>18</v>
      </c>
      <c r="Q12">
        <v>3</v>
      </c>
      <c r="R12">
        <v>0</v>
      </c>
      <c r="S12" t="s">
        <v>21</v>
      </c>
      <c r="T12">
        <v>2</v>
      </c>
      <c r="U12">
        <v>0</v>
      </c>
    </row>
    <row r="13" spans="1:21" x14ac:dyDescent="0.25">
      <c r="A13">
        <v>10122575</v>
      </c>
      <c r="B13" t="s">
        <v>15</v>
      </c>
      <c r="C13" s="1">
        <v>43455</v>
      </c>
      <c r="D13" s="2">
        <f>YEAR(C13)</f>
        <v>2018</v>
      </c>
      <c r="E13">
        <v>132800</v>
      </c>
      <c r="F13" t="s">
        <v>16</v>
      </c>
      <c r="G13">
        <v>1960</v>
      </c>
      <c r="H13">
        <v>8710</v>
      </c>
      <c r="I13" t="s">
        <v>20</v>
      </c>
      <c r="J13">
        <v>76</v>
      </c>
      <c r="K13">
        <v>60077</v>
      </c>
      <c r="L13">
        <v>1000</v>
      </c>
      <c r="M13">
        <v>5</v>
      </c>
      <c r="N13">
        <v>1</v>
      </c>
      <c r="O13">
        <v>1</v>
      </c>
      <c r="P13" t="s">
        <v>18</v>
      </c>
      <c r="Q13">
        <v>2</v>
      </c>
      <c r="R13">
        <v>0</v>
      </c>
      <c r="S13" t="s">
        <v>19</v>
      </c>
      <c r="T13">
        <v>0</v>
      </c>
      <c r="U13">
        <v>0</v>
      </c>
    </row>
    <row r="14" spans="1:21" x14ac:dyDescent="0.25">
      <c r="A14">
        <v>9718444</v>
      </c>
      <c r="B14" t="s">
        <v>15</v>
      </c>
      <c r="C14" s="1">
        <v>43124</v>
      </c>
      <c r="D14" s="2">
        <f>YEAR(C14)</f>
        <v>2018</v>
      </c>
      <c r="E14">
        <v>95000</v>
      </c>
      <c r="F14" t="s">
        <v>16</v>
      </c>
      <c r="G14">
        <v>1960</v>
      </c>
      <c r="H14">
        <v>8720</v>
      </c>
      <c r="I14" t="s">
        <v>20</v>
      </c>
      <c r="J14">
        <v>76</v>
      </c>
      <c r="K14">
        <v>60077</v>
      </c>
      <c r="L14">
        <v>950</v>
      </c>
      <c r="M14">
        <v>4</v>
      </c>
      <c r="N14">
        <v>1</v>
      </c>
      <c r="O14">
        <v>0</v>
      </c>
      <c r="P14" t="s">
        <v>18</v>
      </c>
      <c r="Q14">
        <v>1</v>
      </c>
      <c r="R14">
        <v>0</v>
      </c>
      <c r="S14" t="s">
        <v>19</v>
      </c>
      <c r="T14">
        <v>0</v>
      </c>
      <c r="U14">
        <v>0</v>
      </c>
    </row>
    <row r="15" spans="1:21" x14ac:dyDescent="0.25">
      <c r="A15">
        <v>9770663</v>
      </c>
      <c r="B15" t="s">
        <v>15</v>
      </c>
      <c r="C15" s="1">
        <v>43228</v>
      </c>
      <c r="D15" s="2">
        <f>YEAR(C15)</f>
        <v>2018</v>
      </c>
      <c r="E15">
        <v>135000</v>
      </c>
      <c r="F15" t="s">
        <v>16</v>
      </c>
      <c r="G15">
        <v>1962</v>
      </c>
      <c r="H15">
        <v>9127</v>
      </c>
      <c r="I15" t="s">
        <v>28</v>
      </c>
      <c r="J15">
        <v>76</v>
      </c>
      <c r="K15">
        <v>60076</v>
      </c>
      <c r="L15">
        <v>1100</v>
      </c>
      <c r="M15">
        <v>6</v>
      </c>
      <c r="N15">
        <v>1</v>
      </c>
      <c r="O15">
        <v>0</v>
      </c>
      <c r="P15" t="s">
        <v>18</v>
      </c>
      <c r="Q15">
        <v>2</v>
      </c>
      <c r="R15">
        <v>0</v>
      </c>
      <c r="S15" t="s">
        <v>19</v>
      </c>
      <c r="T15">
        <v>0</v>
      </c>
      <c r="U15">
        <v>0</v>
      </c>
    </row>
    <row r="16" spans="1:21" x14ac:dyDescent="0.25">
      <c r="A16">
        <v>9515545</v>
      </c>
      <c r="B16" t="s">
        <v>15</v>
      </c>
      <c r="C16" s="1">
        <v>42856</v>
      </c>
      <c r="D16" s="2">
        <f>YEAR(C16)</f>
        <v>2017</v>
      </c>
      <c r="E16">
        <v>130500</v>
      </c>
      <c r="F16" t="s">
        <v>16</v>
      </c>
      <c r="G16">
        <v>1962</v>
      </c>
      <c r="H16">
        <v>4643</v>
      </c>
      <c r="I16" t="s">
        <v>38</v>
      </c>
      <c r="J16">
        <v>76</v>
      </c>
      <c r="K16">
        <v>60076</v>
      </c>
      <c r="L16">
        <v>1000</v>
      </c>
      <c r="M16">
        <v>5</v>
      </c>
      <c r="N16">
        <v>1</v>
      </c>
      <c r="O16">
        <v>1</v>
      </c>
      <c r="P16" t="s">
        <v>18</v>
      </c>
      <c r="Q16">
        <v>2</v>
      </c>
      <c r="R16">
        <v>0</v>
      </c>
      <c r="S16" t="s">
        <v>19</v>
      </c>
      <c r="T16">
        <v>0</v>
      </c>
      <c r="U16">
        <v>0</v>
      </c>
    </row>
    <row r="17" spans="1:21" x14ac:dyDescent="0.25">
      <c r="A17">
        <v>9616947</v>
      </c>
      <c r="B17" t="s">
        <v>15</v>
      </c>
      <c r="C17" s="1">
        <v>42923</v>
      </c>
      <c r="D17" s="2">
        <f>YEAR(C17)</f>
        <v>2017</v>
      </c>
      <c r="E17">
        <v>191000</v>
      </c>
      <c r="F17" t="s">
        <v>16</v>
      </c>
      <c r="G17">
        <v>1966</v>
      </c>
      <c r="H17">
        <v>4840</v>
      </c>
      <c r="I17" t="s">
        <v>45</v>
      </c>
      <c r="J17">
        <v>76</v>
      </c>
      <c r="K17">
        <v>60077</v>
      </c>
      <c r="L17">
        <v>1749</v>
      </c>
      <c r="M17">
        <v>7</v>
      </c>
      <c r="N17">
        <v>2</v>
      </c>
      <c r="O17">
        <v>0</v>
      </c>
      <c r="P17" t="s">
        <v>18</v>
      </c>
      <c r="Q17">
        <v>3</v>
      </c>
      <c r="R17">
        <v>0</v>
      </c>
      <c r="S17" t="s">
        <v>21</v>
      </c>
      <c r="T17">
        <v>1</v>
      </c>
      <c r="U17">
        <v>0</v>
      </c>
    </row>
    <row r="18" spans="1:21" x14ac:dyDescent="0.25">
      <c r="A18">
        <v>9848997</v>
      </c>
      <c r="B18" t="s">
        <v>15</v>
      </c>
      <c r="C18" s="1">
        <v>43180</v>
      </c>
      <c r="D18" s="2">
        <f>YEAR(C18)</f>
        <v>2018</v>
      </c>
      <c r="E18">
        <v>200000</v>
      </c>
      <c r="F18" t="s">
        <v>16</v>
      </c>
      <c r="G18">
        <v>1968</v>
      </c>
      <c r="H18">
        <v>4838</v>
      </c>
      <c r="I18" t="s">
        <v>48</v>
      </c>
      <c r="J18">
        <v>76</v>
      </c>
      <c r="K18">
        <v>60076</v>
      </c>
      <c r="L18">
        <v>1800</v>
      </c>
      <c r="M18">
        <v>6</v>
      </c>
      <c r="N18">
        <v>2</v>
      </c>
      <c r="O18">
        <v>0</v>
      </c>
      <c r="P18" t="s">
        <v>18</v>
      </c>
      <c r="Q18">
        <v>3</v>
      </c>
      <c r="R18">
        <v>0</v>
      </c>
      <c r="S18" t="s">
        <v>21</v>
      </c>
      <c r="T18">
        <v>1</v>
      </c>
      <c r="U18">
        <v>0</v>
      </c>
    </row>
    <row r="19" spans="1:21" x14ac:dyDescent="0.25">
      <c r="A19">
        <v>9642345</v>
      </c>
      <c r="B19" t="s">
        <v>15</v>
      </c>
      <c r="C19" s="1">
        <v>43024</v>
      </c>
      <c r="D19" s="2">
        <f>YEAR(C19)</f>
        <v>2017</v>
      </c>
      <c r="E19">
        <v>165000</v>
      </c>
      <c r="F19" t="s">
        <v>16</v>
      </c>
      <c r="G19">
        <v>1968</v>
      </c>
      <c r="H19">
        <v>5251</v>
      </c>
      <c r="I19" t="s">
        <v>37</v>
      </c>
      <c r="J19">
        <v>76</v>
      </c>
      <c r="K19">
        <v>60077</v>
      </c>
      <c r="L19">
        <v>1380</v>
      </c>
      <c r="M19">
        <v>5</v>
      </c>
      <c r="N19">
        <v>2</v>
      </c>
      <c r="O19">
        <v>0</v>
      </c>
      <c r="P19" t="s">
        <v>18</v>
      </c>
      <c r="Q19">
        <v>2</v>
      </c>
      <c r="R19">
        <v>0</v>
      </c>
      <c r="S19" t="s">
        <v>21</v>
      </c>
      <c r="T19">
        <v>1</v>
      </c>
      <c r="U19">
        <v>0</v>
      </c>
    </row>
    <row r="20" spans="1:21" x14ac:dyDescent="0.25">
      <c r="A20">
        <v>9564222</v>
      </c>
      <c r="B20" t="s">
        <v>15</v>
      </c>
      <c r="C20" s="1">
        <v>42860</v>
      </c>
      <c r="D20" s="2">
        <f>YEAR(C20)</f>
        <v>2017</v>
      </c>
      <c r="E20">
        <v>97000</v>
      </c>
      <c r="F20" t="s">
        <v>16</v>
      </c>
      <c r="G20">
        <v>1968</v>
      </c>
      <c r="H20">
        <v>4838</v>
      </c>
      <c r="I20" t="s">
        <v>49</v>
      </c>
      <c r="J20">
        <v>76</v>
      </c>
      <c r="K20">
        <v>60077</v>
      </c>
      <c r="L20">
        <v>950</v>
      </c>
      <c r="M20">
        <v>4</v>
      </c>
      <c r="N20">
        <v>1</v>
      </c>
      <c r="O20">
        <v>0</v>
      </c>
      <c r="P20" t="s">
        <v>18</v>
      </c>
      <c r="Q20">
        <v>1</v>
      </c>
      <c r="R20">
        <v>0</v>
      </c>
      <c r="S20" t="s">
        <v>19</v>
      </c>
      <c r="T20">
        <v>0</v>
      </c>
      <c r="U20">
        <v>0</v>
      </c>
    </row>
    <row r="21" spans="1:21" x14ac:dyDescent="0.25">
      <c r="A21">
        <v>9912291</v>
      </c>
      <c r="B21" t="s">
        <v>15</v>
      </c>
      <c r="C21" s="1">
        <v>43347</v>
      </c>
      <c r="D21" s="2">
        <f>YEAR(C21)</f>
        <v>2018</v>
      </c>
      <c r="E21">
        <v>171000</v>
      </c>
      <c r="F21" t="s">
        <v>16</v>
      </c>
      <c r="G21">
        <v>1969</v>
      </c>
      <c r="H21">
        <v>8210</v>
      </c>
      <c r="I21" t="s">
        <v>52</v>
      </c>
      <c r="J21">
        <v>76</v>
      </c>
      <c r="K21">
        <v>60077</v>
      </c>
      <c r="L21">
        <v>1300</v>
      </c>
      <c r="M21">
        <v>5</v>
      </c>
      <c r="N21">
        <v>2</v>
      </c>
      <c r="O21">
        <v>0</v>
      </c>
      <c r="P21" t="s">
        <v>18</v>
      </c>
      <c r="Q21">
        <v>2</v>
      </c>
      <c r="R21">
        <v>0</v>
      </c>
      <c r="S21" t="s">
        <v>21</v>
      </c>
      <c r="T21">
        <v>1</v>
      </c>
      <c r="U21">
        <v>0</v>
      </c>
    </row>
    <row r="22" spans="1:21" x14ac:dyDescent="0.25">
      <c r="A22">
        <v>9591411</v>
      </c>
      <c r="B22" t="s">
        <v>15</v>
      </c>
      <c r="C22" s="1">
        <v>42858</v>
      </c>
      <c r="D22" s="2">
        <f>YEAR(C22)</f>
        <v>2017</v>
      </c>
      <c r="E22">
        <v>135000</v>
      </c>
      <c r="F22" t="s">
        <v>16</v>
      </c>
      <c r="G22">
        <v>1970</v>
      </c>
      <c r="H22">
        <v>8225</v>
      </c>
      <c r="I22" t="s">
        <v>46</v>
      </c>
      <c r="J22">
        <v>76</v>
      </c>
      <c r="K22">
        <v>60077</v>
      </c>
      <c r="L22">
        <v>1586</v>
      </c>
      <c r="M22">
        <v>6</v>
      </c>
      <c r="N22">
        <v>2</v>
      </c>
      <c r="O22">
        <v>0</v>
      </c>
      <c r="P22" t="s">
        <v>18</v>
      </c>
      <c r="Q22">
        <v>3</v>
      </c>
      <c r="R22">
        <v>0</v>
      </c>
      <c r="S22" t="s">
        <v>21</v>
      </c>
      <c r="T22">
        <v>1</v>
      </c>
      <c r="U22">
        <v>0</v>
      </c>
    </row>
    <row r="23" spans="1:21" x14ac:dyDescent="0.25">
      <c r="A23">
        <v>9492478</v>
      </c>
      <c r="B23" t="s">
        <v>15</v>
      </c>
      <c r="C23" s="1">
        <v>42947</v>
      </c>
      <c r="D23" s="2">
        <f>YEAR(C23)</f>
        <v>2017</v>
      </c>
      <c r="E23">
        <v>145000</v>
      </c>
      <c r="F23" t="s">
        <v>16</v>
      </c>
      <c r="G23">
        <v>1970</v>
      </c>
      <c r="H23">
        <v>8225</v>
      </c>
      <c r="I23" t="s">
        <v>46</v>
      </c>
      <c r="J23">
        <v>76</v>
      </c>
      <c r="K23">
        <v>60077</v>
      </c>
      <c r="L23">
        <v>1586</v>
      </c>
      <c r="M23">
        <v>6</v>
      </c>
      <c r="N23">
        <v>2</v>
      </c>
      <c r="O23">
        <v>0</v>
      </c>
      <c r="P23" t="s">
        <v>18</v>
      </c>
      <c r="Q23">
        <v>3</v>
      </c>
      <c r="R23">
        <v>0</v>
      </c>
      <c r="S23" t="s">
        <v>21</v>
      </c>
      <c r="T23">
        <v>1</v>
      </c>
      <c r="U23">
        <v>0</v>
      </c>
    </row>
    <row r="24" spans="1:21" x14ac:dyDescent="0.25">
      <c r="A24">
        <v>10149868</v>
      </c>
      <c r="B24" t="s">
        <v>15</v>
      </c>
      <c r="C24" s="1">
        <v>43524</v>
      </c>
      <c r="D24" s="2">
        <f>YEAR(C24)</f>
        <v>2019</v>
      </c>
      <c r="E24">
        <v>195000</v>
      </c>
      <c r="F24" t="s">
        <v>16</v>
      </c>
      <c r="G24">
        <v>1970</v>
      </c>
      <c r="H24">
        <v>8225</v>
      </c>
      <c r="I24" t="s">
        <v>46</v>
      </c>
      <c r="J24">
        <v>76</v>
      </c>
      <c r="K24">
        <v>60077</v>
      </c>
      <c r="L24">
        <v>1586</v>
      </c>
      <c r="M24">
        <v>6</v>
      </c>
      <c r="N24">
        <v>2</v>
      </c>
      <c r="O24">
        <v>0</v>
      </c>
      <c r="P24" t="s">
        <v>18</v>
      </c>
      <c r="Q24">
        <v>3</v>
      </c>
      <c r="R24">
        <v>0</v>
      </c>
      <c r="S24" t="s">
        <v>21</v>
      </c>
      <c r="T24">
        <v>1</v>
      </c>
      <c r="U24">
        <v>0</v>
      </c>
    </row>
    <row r="25" spans="1:21" x14ac:dyDescent="0.25">
      <c r="A25">
        <v>9835438</v>
      </c>
      <c r="B25" t="s">
        <v>15</v>
      </c>
      <c r="C25" s="1">
        <v>43179</v>
      </c>
      <c r="D25" s="2">
        <f>YEAR(C25)</f>
        <v>2018</v>
      </c>
      <c r="E25">
        <v>171500</v>
      </c>
      <c r="F25" t="s">
        <v>16</v>
      </c>
      <c r="G25">
        <v>1970</v>
      </c>
      <c r="H25">
        <v>9529</v>
      </c>
      <c r="I25" t="s">
        <v>54</v>
      </c>
      <c r="J25">
        <v>76</v>
      </c>
      <c r="K25">
        <v>60077</v>
      </c>
      <c r="L25">
        <v>1200</v>
      </c>
      <c r="M25">
        <v>5</v>
      </c>
      <c r="N25">
        <v>2</v>
      </c>
      <c r="O25">
        <v>0</v>
      </c>
      <c r="P25" t="s">
        <v>18</v>
      </c>
      <c r="Q25">
        <v>2</v>
      </c>
      <c r="R25">
        <v>0</v>
      </c>
      <c r="S25" t="s">
        <v>21</v>
      </c>
      <c r="T25">
        <v>1</v>
      </c>
      <c r="U25">
        <v>0</v>
      </c>
    </row>
    <row r="26" spans="1:21" x14ac:dyDescent="0.25">
      <c r="A26">
        <v>9474696</v>
      </c>
      <c r="B26" t="s">
        <v>15</v>
      </c>
      <c r="C26" s="1">
        <v>42850</v>
      </c>
      <c r="D26" s="2">
        <f>YEAR(C26)</f>
        <v>2017</v>
      </c>
      <c r="E26">
        <v>119564</v>
      </c>
      <c r="F26" t="s">
        <v>16</v>
      </c>
      <c r="G26">
        <v>1970</v>
      </c>
      <c r="H26">
        <v>5001</v>
      </c>
      <c r="I26" t="s">
        <v>55</v>
      </c>
      <c r="J26">
        <v>76</v>
      </c>
      <c r="K26">
        <v>60077</v>
      </c>
      <c r="L26">
        <v>1200</v>
      </c>
      <c r="M26">
        <v>5</v>
      </c>
      <c r="N26">
        <v>2</v>
      </c>
      <c r="O26">
        <v>0</v>
      </c>
      <c r="P26" t="s">
        <v>18</v>
      </c>
      <c r="Q26">
        <v>2</v>
      </c>
      <c r="R26">
        <v>0</v>
      </c>
      <c r="S26" t="s">
        <v>19</v>
      </c>
      <c r="T26">
        <v>0</v>
      </c>
      <c r="U26">
        <v>0</v>
      </c>
    </row>
    <row r="27" spans="1:21" x14ac:dyDescent="0.25">
      <c r="A27">
        <v>9664805</v>
      </c>
      <c r="B27" t="s">
        <v>15</v>
      </c>
      <c r="C27" s="1">
        <v>42971</v>
      </c>
      <c r="D27" s="2">
        <f>YEAR(C27)</f>
        <v>2017</v>
      </c>
      <c r="E27">
        <v>148000</v>
      </c>
      <c r="F27" t="s">
        <v>16</v>
      </c>
      <c r="G27">
        <v>1970</v>
      </c>
      <c r="H27">
        <v>8230</v>
      </c>
      <c r="I27" t="s">
        <v>56</v>
      </c>
      <c r="J27">
        <v>76</v>
      </c>
      <c r="K27">
        <v>60077</v>
      </c>
      <c r="L27">
        <v>1150</v>
      </c>
      <c r="M27">
        <v>5</v>
      </c>
      <c r="N27">
        <v>2</v>
      </c>
      <c r="O27">
        <v>0</v>
      </c>
      <c r="P27" t="s">
        <v>18</v>
      </c>
      <c r="Q27">
        <v>2</v>
      </c>
      <c r="R27">
        <v>0</v>
      </c>
      <c r="S27" t="s">
        <v>21</v>
      </c>
      <c r="T27">
        <v>1</v>
      </c>
      <c r="U27">
        <v>0</v>
      </c>
    </row>
    <row r="28" spans="1:21" x14ac:dyDescent="0.25">
      <c r="A28">
        <v>9504175</v>
      </c>
      <c r="B28" t="s">
        <v>15</v>
      </c>
      <c r="C28" s="1">
        <v>42934</v>
      </c>
      <c r="D28" s="2">
        <f>YEAR(C28)</f>
        <v>2017</v>
      </c>
      <c r="E28">
        <v>153000</v>
      </c>
      <c r="F28" t="s">
        <v>16</v>
      </c>
      <c r="G28">
        <v>1972</v>
      </c>
      <c r="H28">
        <v>8225</v>
      </c>
      <c r="I28" t="s">
        <v>58</v>
      </c>
      <c r="J28">
        <v>76</v>
      </c>
      <c r="K28">
        <v>60077</v>
      </c>
      <c r="L28">
        <v>1586</v>
      </c>
      <c r="M28">
        <v>6</v>
      </c>
      <c r="N28">
        <v>2</v>
      </c>
      <c r="O28">
        <v>0</v>
      </c>
      <c r="P28" t="s">
        <v>18</v>
      </c>
      <c r="Q28">
        <v>3</v>
      </c>
      <c r="R28">
        <v>0</v>
      </c>
      <c r="S28" t="s">
        <v>21</v>
      </c>
      <c r="T28">
        <v>1</v>
      </c>
      <c r="U28">
        <v>0</v>
      </c>
    </row>
    <row r="29" spans="1:21" x14ac:dyDescent="0.25">
      <c r="A29">
        <v>9715596</v>
      </c>
      <c r="B29" t="s">
        <v>15</v>
      </c>
      <c r="C29" s="1">
        <v>43027</v>
      </c>
      <c r="D29" s="2">
        <f>YEAR(C29)</f>
        <v>2017</v>
      </c>
      <c r="E29">
        <v>162000</v>
      </c>
      <c r="F29" t="s">
        <v>16</v>
      </c>
      <c r="G29">
        <v>1972</v>
      </c>
      <c r="H29">
        <v>9529</v>
      </c>
      <c r="I29" t="s">
        <v>54</v>
      </c>
      <c r="J29">
        <v>76</v>
      </c>
      <c r="K29">
        <v>60077</v>
      </c>
      <c r="L29">
        <v>1200</v>
      </c>
      <c r="M29">
        <v>5</v>
      </c>
      <c r="N29">
        <v>2</v>
      </c>
      <c r="O29">
        <v>0</v>
      </c>
      <c r="P29" t="s">
        <v>18</v>
      </c>
      <c r="Q29">
        <v>2</v>
      </c>
      <c r="R29">
        <v>0</v>
      </c>
      <c r="S29" t="s">
        <v>21</v>
      </c>
      <c r="T29">
        <v>1</v>
      </c>
      <c r="U29">
        <v>0</v>
      </c>
    </row>
    <row r="30" spans="1:21" x14ac:dyDescent="0.25">
      <c r="A30">
        <v>9896512</v>
      </c>
      <c r="B30" t="s">
        <v>15</v>
      </c>
      <c r="C30" s="1">
        <v>43272</v>
      </c>
      <c r="D30" s="2">
        <f>YEAR(C30)</f>
        <v>2018</v>
      </c>
      <c r="E30">
        <v>190000</v>
      </c>
      <c r="F30" t="s">
        <v>16</v>
      </c>
      <c r="G30">
        <v>1972</v>
      </c>
      <c r="H30">
        <v>8225</v>
      </c>
      <c r="I30" t="s">
        <v>58</v>
      </c>
      <c r="J30">
        <v>76</v>
      </c>
      <c r="K30">
        <v>60077</v>
      </c>
      <c r="L30">
        <v>1200</v>
      </c>
      <c r="M30">
        <v>5</v>
      </c>
      <c r="N30">
        <v>2</v>
      </c>
      <c r="O30">
        <v>0</v>
      </c>
      <c r="P30" t="s">
        <v>18</v>
      </c>
      <c r="Q30">
        <v>2</v>
      </c>
      <c r="R30">
        <v>0</v>
      </c>
      <c r="S30" t="s">
        <v>21</v>
      </c>
      <c r="T30">
        <v>1</v>
      </c>
      <c r="U30">
        <v>0</v>
      </c>
    </row>
    <row r="31" spans="1:21" x14ac:dyDescent="0.25">
      <c r="A31">
        <v>10110826</v>
      </c>
      <c r="B31" t="s">
        <v>15</v>
      </c>
      <c r="C31" s="1">
        <v>43413</v>
      </c>
      <c r="D31" s="2">
        <f>YEAR(C31)</f>
        <v>2018</v>
      </c>
      <c r="E31">
        <v>127500</v>
      </c>
      <c r="F31" t="s">
        <v>16</v>
      </c>
      <c r="G31">
        <v>1972</v>
      </c>
      <c r="H31">
        <v>4840</v>
      </c>
      <c r="I31" t="s">
        <v>45</v>
      </c>
      <c r="J31">
        <v>76</v>
      </c>
      <c r="K31">
        <v>60077</v>
      </c>
      <c r="L31">
        <v>1000</v>
      </c>
      <c r="M31">
        <v>4</v>
      </c>
      <c r="N31">
        <v>1</v>
      </c>
      <c r="O31">
        <v>0</v>
      </c>
      <c r="P31" t="s">
        <v>18</v>
      </c>
      <c r="Q31">
        <v>1</v>
      </c>
      <c r="R31">
        <v>0</v>
      </c>
      <c r="S31" t="s">
        <v>21</v>
      </c>
      <c r="T31">
        <v>1</v>
      </c>
      <c r="U31">
        <v>0</v>
      </c>
    </row>
    <row r="32" spans="1:21" x14ac:dyDescent="0.25">
      <c r="A32">
        <v>9891408</v>
      </c>
      <c r="B32" t="s">
        <v>15</v>
      </c>
      <c r="C32" s="1">
        <v>43206</v>
      </c>
      <c r="D32" s="2">
        <f>YEAR(C32)</f>
        <v>2018</v>
      </c>
      <c r="E32">
        <v>161000</v>
      </c>
      <c r="F32" t="s">
        <v>16</v>
      </c>
      <c r="G32">
        <v>1972</v>
      </c>
      <c r="H32">
        <v>4840</v>
      </c>
      <c r="I32" t="s">
        <v>59</v>
      </c>
      <c r="J32">
        <v>76</v>
      </c>
      <c r="K32">
        <v>60077</v>
      </c>
      <c r="L32">
        <v>1000</v>
      </c>
      <c r="M32">
        <v>4</v>
      </c>
      <c r="N32">
        <v>1</v>
      </c>
      <c r="O32">
        <v>0</v>
      </c>
      <c r="P32" t="s">
        <v>18</v>
      </c>
      <c r="Q32">
        <v>1</v>
      </c>
      <c r="R32">
        <v>0</v>
      </c>
      <c r="S32" t="s">
        <v>21</v>
      </c>
      <c r="T32">
        <v>1</v>
      </c>
      <c r="U32">
        <v>0</v>
      </c>
    </row>
    <row r="33" spans="1:21" x14ac:dyDescent="0.25">
      <c r="A33">
        <v>9889053</v>
      </c>
      <c r="B33" t="s">
        <v>15</v>
      </c>
      <c r="C33" s="1">
        <v>43249</v>
      </c>
      <c r="D33" s="2">
        <f>YEAR(C33)</f>
        <v>2018</v>
      </c>
      <c r="E33">
        <v>225000</v>
      </c>
      <c r="F33" t="s">
        <v>16</v>
      </c>
      <c r="G33">
        <v>1974</v>
      </c>
      <c r="H33">
        <v>9244</v>
      </c>
      <c r="I33" t="s">
        <v>61</v>
      </c>
      <c r="J33">
        <v>76</v>
      </c>
      <c r="K33">
        <v>60077</v>
      </c>
      <c r="L33">
        <v>1600</v>
      </c>
      <c r="M33">
        <v>6</v>
      </c>
      <c r="N33">
        <v>2</v>
      </c>
      <c r="O33">
        <v>0</v>
      </c>
      <c r="P33" t="s">
        <v>18</v>
      </c>
      <c r="Q33">
        <v>2</v>
      </c>
      <c r="R33">
        <v>0</v>
      </c>
      <c r="S33" t="s">
        <v>21</v>
      </c>
      <c r="T33">
        <v>1</v>
      </c>
      <c r="U33">
        <v>0</v>
      </c>
    </row>
    <row r="34" spans="1:21" x14ac:dyDescent="0.25">
      <c r="A34">
        <v>9753467</v>
      </c>
      <c r="B34" t="s">
        <v>15</v>
      </c>
      <c r="C34" s="1">
        <v>43054</v>
      </c>
      <c r="D34" s="2">
        <f>YEAR(C34)</f>
        <v>2017</v>
      </c>
      <c r="E34">
        <v>239000</v>
      </c>
      <c r="F34" t="s">
        <v>16</v>
      </c>
      <c r="G34">
        <v>1974</v>
      </c>
      <c r="H34">
        <v>9244</v>
      </c>
      <c r="I34" t="s">
        <v>62</v>
      </c>
      <c r="J34">
        <v>76</v>
      </c>
      <c r="K34">
        <v>60077</v>
      </c>
      <c r="L34">
        <v>1560</v>
      </c>
      <c r="M34">
        <v>5</v>
      </c>
      <c r="N34">
        <v>2</v>
      </c>
      <c r="O34">
        <v>0</v>
      </c>
      <c r="P34" t="s">
        <v>18</v>
      </c>
      <c r="Q34">
        <v>2</v>
      </c>
      <c r="R34">
        <v>0</v>
      </c>
      <c r="S34" t="s">
        <v>21</v>
      </c>
      <c r="T34">
        <v>1</v>
      </c>
      <c r="U34">
        <v>0</v>
      </c>
    </row>
    <row r="35" spans="1:21" x14ac:dyDescent="0.25">
      <c r="A35">
        <v>10010479</v>
      </c>
      <c r="B35" t="s">
        <v>15</v>
      </c>
      <c r="C35" s="1">
        <v>43347</v>
      </c>
      <c r="D35" s="2">
        <f>YEAR(C35)</f>
        <v>2018</v>
      </c>
      <c r="E35">
        <v>194000</v>
      </c>
      <c r="F35" t="s">
        <v>16</v>
      </c>
      <c r="G35">
        <v>1974</v>
      </c>
      <c r="H35">
        <v>9529</v>
      </c>
      <c r="I35" t="s">
        <v>54</v>
      </c>
      <c r="J35">
        <v>76</v>
      </c>
      <c r="K35">
        <v>60077</v>
      </c>
      <c r="L35">
        <v>1300</v>
      </c>
      <c r="M35">
        <v>5</v>
      </c>
      <c r="N35">
        <v>2</v>
      </c>
      <c r="O35">
        <v>0</v>
      </c>
      <c r="P35" t="s">
        <v>18</v>
      </c>
      <c r="Q35">
        <v>2</v>
      </c>
      <c r="R35">
        <v>0</v>
      </c>
      <c r="S35" t="s">
        <v>21</v>
      </c>
      <c r="T35">
        <v>1</v>
      </c>
      <c r="U35">
        <v>0</v>
      </c>
    </row>
    <row r="36" spans="1:21" x14ac:dyDescent="0.25">
      <c r="A36">
        <v>9576525</v>
      </c>
      <c r="B36" t="s">
        <v>15</v>
      </c>
      <c r="C36" s="1">
        <v>42843</v>
      </c>
      <c r="D36" s="2">
        <f>YEAR(C36)</f>
        <v>2017</v>
      </c>
      <c r="E36">
        <v>176000</v>
      </c>
      <c r="F36" t="s">
        <v>16</v>
      </c>
      <c r="G36">
        <v>1975</v>
      </c>
      <c r="H36">
        <v>4838</v>
      </c>
      <c r="I36" t="s">
        <v>49</v>
      </c>
      <c r="J36">
        <v>76</v>
      </c>
      <c r="K36">
        <v>60077</v>
      </c>
      <c r="L36">
        <v>1750</v>
      </c>
      <c r="M36">
        <v>6</v>
      </c>
      <c r="N36">
        <v>2</v>
      </c>
      <c r="O36">
        <v>0</v>
      </c>
      <c r="P36" t="s">
        <v>18</v>
      </c>
      <c r="Q36">
        <v>3</v>
      </c>
      <c r="R36">
        <v>0</v>
      </c>
      <c r="S36" t="s">
        <v>21</v>
      </c>
      <c r="T36">
        <v>7</v>
      </c>
      <c r="U36">
        <v>0</v>
      </c>
    </row>
    <row r="37" spans="1:21" x14ac:dyDescent="0.25">
      <c r="A37">
        <v>9590653</v>
      </c>
      <c r="B37" t="s">
        <v>15</v>
      </c>
      <c r="C37" s="1">
        <v>42859</v>
      </c>
      <c r="D37" s="2">
        <f>YEAR(C37)</f>
        <v>2017</v>
      </c>
      <c r="E37">
        <v>259000</v>
      </c>
      <c r="F37" t="s">
        <v>16</v>
      </c>
      <c r="G37">
        <v>1975</v>
      </c>
      <c r="H37">
        <v>9529</v>
      </c>
      <c r="I37" t="s">
        <v>54</v>
      </c>
      <c r="J37">
        <v>76</v>
      </c>
      <c r="K37">
        <v>60077</v>
      </c>
      <c r="L37">
        <v>1725</v>
      </c>
      <c r="M37">
        <v>6</v>
      </c>
      <c r="N37">
        <v>2</v>
      </c>
      <c r="O37">
        <v>0</v>
      </c>
      <c r="P37" t="s">
        <v>18</v>
      </c>
      <c r="Q37">
        <v>3</v>
      </c>
      <c r="R37">
        <v>0</v>
      </c>
      <c r="S37" t="s">
        <v>21</v>
      </c>
      <c r="T37">
        <v>1</v>
      </c>
      <c r="U37">
        <v>0</v>
      </c>
    </row>
    <row r="38" spans="1:21" x14ac:dyDescent="0.25">
      <c r="A38">
        <v>9346018</v>
      </c>
      <c r="B38" t="s">
        <v>15</v>
      </c>
      <c r="C38" s="1">
        <v>42807</v>
      </c>
      <c r="D38" s="2">
        <f>YEAR(C38)</f>
        <v>2017</v>
      </c>
      <c r="E38">
        <v>166000</v>
      </c>
      <c r="F38" t="s">
        <v>16</v>
      </c>
      <c r="G38">
        <v>1975</v>
      </c>
      <c r="H38">
        <v>9240</v>
      </c>
      <c r="I38" t="s">
        <v>62</v>
      </c>
      <c r="J38">
        <v>76</v>
      </c>
      <c r="K38">
        <v>60077</v>
      </c>
      <c r="L38">
        <v>1630</v>
      </c>
      <c r="M38">
        <v>6</v>
      </c>
      <c r="N38">
        <v>2</v>
      </c>
      <c r="O38">
        <v>0</v>
      </c>
      <c r="P38" t="s">
        <v>18</v>
      </c>
      <c r="Q38">
        <v>2</v>
      </c>
      <c r="R38">
        <v>0</v>
      </c>
      <c r="S38" t="s">
        <v>21</v>
      </c>
      <c r="T38">
        <v>1</v>
      </c>
      <c r="U38">
        <v>0</v>
      </c>
    </row>
    <row r="39" spans="1:21" x14ac:dyDescent="0.25">
      <c r="A39">
        <v>10069194</v>
      </c>
      <c r="B39" t="s">
        <v>15</v>
      </c>
      <c r="C39" s="1">
        <v>43374</v>
      </c>
      <c r="D39" s="2">
        <f>YEAR(C39)</f>
        <v>2018</v>
      </c>
      <c r="E39">
        <v>195786</v>
      </c>
      <c r="F39" t="s">
        <v>16</v>
      </c>
      <c r="G39">
        <v>1975</v>
      </c>
      <c r="H39">
        <v>9529</v>
      </c>
      <c r="I39" t="s">
        <v>54</v>
      </c>
      <c r="J39">
        <v>76</v>
      </c>
      <c r="K39">
        <v>60077</v>
      </c>
      <c r="L39">
        <v>1600</v>
      </c>
      <c r="M39">
        <v>5</v>
      </c>
      <c r="N39">
        <v>2</v>
      </c>
      <c r="O39">
        <v>0</v>
      </c>
      <c r="P39" t="s">
        <v>18</v>
      </c>
      <c r="Q39">
        <v>2</v>
      </c>
      <c r="R39">
        <v>0</v>
      </c>
      <c r="S39" t="s">
        <v>22</v>
      </c>
      <c r="T39">
        <v>1</v>
      </c>
      <c r="U39">
        <v>0</v>
      </c>
    </row>
    <row r="40" spans="1:21" x14ac:dyDescent="0.25">
      <c r="A40">
        <v>9701212</v>
      </c>
      <c r="B40" t="s">
        <v>15</v>
      </c>
      <c r="C40" s="1">
        <v>43144</v>
      </c>
      <c r="D40" s="2">
        <f>YEAR(C40)</f>
        <v>2018</v>
      </c>
      <c r="E40">
        <v>150000</v>
      </c>
      <c r="F40" t="s">
        <v>16</v>
      </c>
      <c r="G40">
        <v>1975</v>
      </c>
      <c r="H40">
        <v>4949</v>
      </c>
      <c r="I40" t="s">
        <v>63</v>
      </c>
      <c r="J40">
        <v>76</v>
      </c>
      <c r="K40">
        <v>60077</v>
      </c>
      <c r="L40">
        <v>1500</v>
      </c>
      <c r="M40">
        <v>5</v>
      </c>
      <c r="N40">
        <v>2</v>
      </c>
      <c r="O40">
        <v>0</v>
      </c>
      <c r="P40" t="s">
        <v>18</v>
      </c>
      <c r="Q40">
        <v>2</v>
      </c>
      <c r="R40">
        <v>0</v>
      </c>
      <c r="S40" t="s">
        <v>21</v>
      </c>
      <c r="T40">
        <v>1</v>
      </c>
      <c r="U40">
        <v>0</v>
      </c>
    </row>
    <row r="41" spans="1:21" x14ac:dyDescent="0.25">
      <c r="A41">
        <v>9702071</v>
      </c>
      <c r="B41" t="s">
        <v>15</v>
      </c>
      <c r="C41" s="1">
        <v>42986</v>
      </c>
      <c r="D41" s="2">
        <f>YEAR(C41)</f>
        <v>2017</v>
      </c>
      <c r="E41">
        <v>175000</v>
      </c>
      <c r="F41" t="s">
        <v>16</v>
      </c>
      <c r="G41">
        <v>1975</v>
      </c>
      <c r="H41">
        <v>4900</v>
      </c>
      <c r="I41" t="s">
        <v>45</v>
      </c>
      <c r="J41">
        <v>76</v>
      </c>
      <c r="K41">
        <v>60077</v>
      </c>
      <c r="L41">
        <v>1500</v>
      </c>
      <c r="M41">
        <v>5</v>
      </c>
      <c r="N41">
        <v>2</v>
      </c>
      <c r="O41">
        <v>0</v>
      </c>
      <c r="P41" t="s">
        <v>18</v>
      </c>
      <c r="Q41">
        <v>2</v>
      </c>
      <c r="R41">
        <v>0</v>
      </c>
      <c r="S41" t="s">
        <v>21</v>
      </c>
      <c r="T41">
        <v>1</v>
      </c>
      <c r="U41">
        <v>0</v>
      </c>
    </row>
    <row r="42" spans="1:21" x14ac:dyDescent="0.25">
      <c r="A42">
        <v>9520846</v>
      </c>
      <c r="B42" t="s">
        <v>15</v>
      </c>
      <c r="C42" s="1">
        <v>42898</v>
      </c>
      <c r="D42" s="2">
        <f>YEAR(C42)</f>
        <v>2017</v>
      </c>
      <c r="E42">
        <v>195000</v>
      </c>
      <c r="F42" t="s">
        <v>16</v>
      </c>
      <c r="G42">
        <v>1975</v>
      </c>
      <c r="H42">
        <v>4840</v>
      </c>
      <c r="I42" t="s">
        <v>45</v>
      </c>
      <c r="J42">
        <v>76</v>
      </c>
      <c r="K42">
        <v>60077</v>
      </c>
      <c r="L42">
        <v>1400</v>
      </c>
      <c r="M42">
        <v>5</v>
      </c>
      <c r="N42">
        <v>2</v>
      </c>
      <c r="O42">
        <v>0</v>
      </c>
      <c r="P42" t="s">
        <v>18</v>
      </c>
      <c r="Q42">
        <v>2</v>
      </c>
      <c r="R42">
        <v>0</v>
      </c>
      <c r="S42" t="s">
        <v>21</v>
      </c>
      <c r="T42">
        <v>1</v>
      </c>
      <c r="U42">
        <v>0</v>
      </c>
    </row>
    <row r="43" spans="1:21" x14ac:dyDescent="0.25">
      <c r="A43">
        <v>9994300</v>
      </c>
      <c r="B43" t="s">
        <v>15</v>
      </c>
      <c r="C43" s="1">
        <v>43332</v>
      </c>
      <c r="D43" s="2">
        <f>YEAR(C43)</f>
        <v>2018</v>
      </c>
      <c r="E43">
        <v>189000</v>
      </c>
      <c r="F43" t="s">
        <v>16</v>
      </c>
      <c r="G43">
        <v>1975</v>
      </c>
      <c r="H43">
        <v>9530</v>
      </c>
      <c r="I43" t="s">
        <v>17</v>
      </c>
      <c r="J43">
        <v>76</v>
      </c>
      <c r="K43">
        <v>60077</v>
      </c>
      <c r="L43">
        <v>1350</v>
      </c>
      <c r="M43">
        <v>5</v>
      </c>
      <c r="N43">
        <v>2</v>
      </c>
      <c r="O43">
        <v>0</v>
      </c>
      <c r="P43" t="s">
        <v>18</v>
      </c>
      <c r="Q43">
        <v>2</v>
      </c>
      <c r="R43">
        <v>0</v>
      </c>
      <c r="S43" t="s">
        <v>21</v>
      </c>
      <c r="T43">
        <v>1</v>
      </c>
      <c r="U43">
        <v>0</v>
      </c>
    </row>
    <row r="44" spans="1:21" x14ac:dyDescent="0.25">
      <c r="A44">
        <v>9813265</v>
      </c>
      <c r="B44" t="s">
        <v>15</v>
      </c>
      <c r="C44" s="1">
        <v>43178</v>
      </c>
      <c r="D44" s="2">
        <f>YEAR(C44)</f>
        <v>2018</v>
      </c>
      <c r="E44">
        <v>138000</v>
      </c>
      <c r="F44" t="s">
        <v>16</v>
      </c>
      <c r="G44">
        <v>1975</v>
      </c>
      <c r="H44">
        <v>8710</v>
      </c>
      <c r="I44" t="s">
        <v>20</v>
      </c>
      <c r="J44">
        <v>76</v>
      </c>
      <c r="K44">
        <v>60077</v>
      </c>
      <c r="L44">
        <v>1200</v>
      </c>
      <c r="M44">
        <v>5</v>
      </c>
      <c r="N44">
        <v>1</v>
      </c>
      <c r="O44">
        <v>1</v>
      </c>
      <c r="P44" t="s">
        <v>18</v>
      </c>
      <c r="Q44">
        <v>2</v>
      </c>
      <c r="R44">
        <v>0</v>
      </c>
      <c r="S44" t="s">
        <v>19</v>
      </c>
      <c r="T44">
        <v>0</v>
      </c>
      <c r="U44">
        <v>0</v>
      </c>
    </row>
    <row r="45" spans="1:21" x14ac:dyDescent="0.25">
      <c r="A45">
        <v>9497276</v>
      </c>
      <c r="B45" t="s">
        <v>15</v>
      </c>
      <c r="C45" s="1">
        <v>42800</v>
      </c>
      <c r="D45" s="2">
        <f>YEAR(C45)</f>
        <v>2017</v>
      </c>
      <c r="E45">
        <v>109000</v>
      </c>
      <c r="F45" t="s">
        <v>16</v>
      </c>
      <c r="G45">
        <v>1975</v>
      </c>
      <c r="H45">
        <v>9529</v>
      </c>
      <c r="I45" t="s">
        <v>65</v>
      </c>
      <c r="J45">
        <v>76</v>
      </c>
      <c r="K45">
        <v>60077</v>
      </c>
      <c r="L45">
        <v>1100</v>
      </c>
      <c r="M45">
        <v>4</v>
      </c>
      <c r="N45">
        <v>1</v>
      </c>
      <c r="O45">
        <v>0</v>
      </c>
      <c r="P45" t="s">
        <v>18</v>
      </c>
      <c r="Q45">
        <v>1</v>
      </c>
      <c r="R45">
        <v>0</v>
      </c>
      <c r="S45" t="s">
        <v>21</v>
      </c>
      <c r="T45">
        <v>1</v>
      </c>
      <c r="U45">
        <v>0</v>
      </c>
    </row>
    <row r="46" spans="1:21" x14ac:dyDescent="0.25">
      <c r="A46">
        <v>9660327</v>
      </c>
      <c r="B46" t="s">
        <v>15</v>
      </c>
      <c r="C46" s="1">
        <v>42951</v>
      </c>
      <c r="D46" s="2">
        <f>YEAR(C46)</f>
        <v>2017</v>
      </c>
      <c r="E46">
        <v>130000</v>
      </c>
      <c r="F46" t="s">
        <v>16</v>
      </c>
      <c r="G46">
        <v>1975</v>
      </c>
      <c r="H46">
        <v>4840</v>
      </c>
      <c r="I46" t="s">
        <v>45</v>
      </c>
      <c r="J46">
        <v>76</v>
      </c>
      <c r="K46">
        <v>60077</v>
      </c>
      <c r="L46">
        <v>1050</v>
      </c>
      <c r="M46">
        <v>4</v>
      </c>
      <c r="N46">
        <v>1</v>
      </c>
      <c r="O46">
        <v>0</v>
      </c>
      <c r="P46" t="s">
        <v>18</v>
      </c>
      <c r="Q46">
        <v>1</v>
      </c>
      <c r="R46">
        <v>0</v>
      </c>
      <c r="S46" t="s">
        <v>21</v>
      </c>
      <c r="T46">
        <v>1</v>
      </c>
      <c r="U46">
        <v>0</v>
      </c>
    </row>
    <row r="47" spans="1:21" x14ac:dyDescent="0.25">
      <c r="A47">
        <v>9963893</v>
      </c>
      <c r="B47" t="s">
        <v>15</v>
      </c>
      <c r="C47" s="1">
        <v>43326</v>
      </c>
      <c r="D47" s="2">
        <f>YEAR(C47)</f>
        <v>2018</v>
      </c>
      <c r="E47">
        <v>140000</v>
      </c>
      <c r="F47" t="s">
        <v>16</v>
      </c>
      <c r="G47">
        <v>1975</v>
      </c>
      <c r="H47">
        <v>9530</v>
      </c>
      <c r="I47" t="s">
        <v>17</v>
      </c>
      <c r="J47">
        <v>76</v>
      </c>
      <c r="K47">
        <v>60076</v>
      </c>
      <c r="L47">
        <v>1000</v>
      </c>
      <c r="M47">
        <v>4</v>
      </c>
      <c r="N47">
        <v>1</v>
      </c>
      <c r="O47">
        <v>0</v>
      </c>
      <c r="P47" t="s">
        <v>18</v>
      </c>
      <c r="Q47">
        <v>1</v>
      </c>
      <c r="R47">
        <v>0</v>
      </c>
      <c r="S47" t="s">
        <v>21</v>
      </c>
      <c r="T47">
        <v>1</v>
      </c>
      <c r="U47">
        <v>0</v>
      </c>
    </row>
    <row r="48" spans="1:21" x14ac:dyDescent="0.25">
      <c r="A48">
        <v>9999349</v>
      </c>
      <c r="B48" t="s">
        <v>15</v>
      </c>
      <c r="C48" s="1">
        <v>43336</v>
      </c>
      <c r="D48" s="2">
        <f>YEAR(C48)</f>
        <v>2018</v>
      </c>
      <c r="E48">
        <v>135000</v>
      </c>
      <c r="F48" t="s">
        <v>16</v>
      </c>
      <c r="G48">
        <v>1975</v>
      </c>
      <c r="H48">
        <v>9530</v>
      </c>
      <c r="I48" t="s">
        <v>17</v>
      </c>
      <c r="J48">
        <v>76</v>
      </c>
      <c r="K48">
        <v>60077</v>
      </c>
      <c r="L48">
        <v>1000</v>
      </c>
      <c r="M48">
        <v>4</v>
      </c>
      <c r="N48">
        <v>1</v>
      </c>
      <c r="O48">
        <v>0</v>
      </c>
      <c r="P48" t="s">
        <v>18</v>
      </c>
      <c r="Q48">
        <v>1</v>
      </c>
      <c r="R48">
        <v>0</v>
      </c>
      <c r="S48" t="s">
        <v>21</v>
      </c>
      <c r="T48">
        <v>1</v>
      </c>
      <c r="U48">
        <v>0</v>
      </c>
    </row>
    <row r="49" spans="1:21" x14ac:dyDescent="0.25">
      <c r="A49">
        <v>10098030</v>
      </c>
      <c r="B49" t="s">
        <v>15</v>
      </c>
      <c r="C49" s="1">
        <v>43391</v>
      </c>
      <c r="D49" s="2">
        <f>YEAR(C49)</f>
        <v>2018</v>
      </c>
      <c r="E49">
        <v>140000</v>
      </c>
      <c r="F49" t="s">
        <v>16</v>
      </c>
      <c r="G49">
        <v>1975</v>
      </c>
      <c r="H49">
        <v>9530</v>
      </c>
      <c r="I49" t="s">
        <v>17</v>
      </c>
      <c r="J49">
        <v>76</v>
      </c>
      <c r="K49">
        <v>60077</v>
      </c>
      <c r="L49">
        <v>1000</v>
      </c>
      <c r="M49">
        <v>5</v>
      </c>
      <c r="N49">
        <v>1</v>
      </c>
      <c r="O49">
        <v>0</v>
      </c>
      <c r="P49" t="s">
        <v>18</v>
      </c>
      <c r="Q49">
        <v>1</v>
      </c>
      <c r="R49">
        <v>0</v>
      </c>
      <c r="S49" t="s">
        <v>21</v>
      </c>
      <c r="T49">
        <v>1</v>
      </c>
      <c r="U49">
        <v>0</v>
      </c>
    </row>
    <row r="50" spans="1:21" x14ac:dyDescent="0.25">
      <c r="A50">
        <v>9512535</v>
      </c>
      <c r="B50" t="s">
        <v>15</v>
      </c>
      <c r="C50" s="1">
        <v>42886</v>
      </c>
      <c r="D50" s="2">
        <f>YEAR(C50)</f>
        <v>2017</v>
      </c>
      <c r="E50">
        <v>140000</v>
      </c>
      <c r="F50" t="s">
        <v>16</v>
      </c>
      <c r="G50">
        <v>1975</v>
      </c>
      <c r="H50">
        <v>4901</v>
      </c>
      <c r="I50" t="s">
        <v>63</v>
      </c>
      <c r="J50">
        <v>76</v>
      </c>
      <c r="K50">
        <v>60077</v>
      </c>
      <c r="L50">
        <v>1000</v>
      </c>
      <c r="M50">
        <v>4</v>
      </c>
      <c r="N50">
        <v>1</v>
      </c>
      <c r="O50">
        <v>0</v>
      </c>
      <c r="P50" t="s">
        <v>18</v>
      </c>
      <c r="Q50">
        <v>1</v>
      </c>
      <c r="R50">
        <v>0</v>
      </c>
      <c r="S50" t="s">
        <v>19</v>
      </c>
      <c r="T50">
        <v>0</v>
      </c>
      <c r="U50">
        <v>0</v>
      </c>
    </row>
    <row r="51" spans="1:21" x14ac:dyDescent="0.25">
      <c r="A51">
        <v>9970831</v>
      </c>
      <c r="B51" t="s">
        <v>15</v>
      </c>
      <c r="C51" s="1">
        <v>43315</v>
      </c>
      <c r="D51" s="2">
        <f>YEAR(C51)</f>
        <v>2018</v>
      </c>
      <c r="E51">
        <v>182000</v>
      </c>
      <c r="F51" t="s">
        <v>16</v>
      </c>
      <c r="G51">
        <v>1976</v>
      </c>
      <c r="H51">
        <v>9801</v>
      </c>
      <c r="I51" t="s">
        <v>62</v>
      </c>
      <c r="J51">
        <v>76</v>
      </c>
      <c r="K51">
        <v>60076</v>
      </c>
      <c r="L51">
        <v>1800</v>
      </c>
      <c r="M51">
        <v>6</v>
      </c>
      <c r="N51">
        <v>2</v>
      </c>
      <c r="O51">
        <v>0</v>
      </c>
      <c r="P51" t="s">
        <v>18</v>
      </c>
      <c r="Q51">
        <v>2</v>
      </c>
      <c r="R51">
        <v>0</v>
      </c>
      <c r="S51" t="s">
        <v>21</v>
      </c>
      <c r="T51">
        <v>2</v>
      </c>
      <c r="U51">
        <v>0</v>
      </c>
    </row>
    <row r="52" spans="1:21" x14ac:dyDescent="0.25">
      <c r="A52">
        <v>9807820</v>
      </c>
      <c r="B52" t="s">
        <v>15</v>
      </c>
      <c r="C52" s="1">
        <v>43179</v>
      </c>
      <c r="D52" s="2">
        <f>YEAR(C52)</f>
        <v>2018</v>
      </c>
      <c r="E52">
        <v>180000</v>
      </c>
      <c r="F52" t="s">
        <v>16</v>
      </c>
      <c r="G52">
        <v>1976</v>
      </c>
      <c r="H52">
        <v>4940</v>
      </c>
      <c r="I52" t="s">
        <v>45</v>
      </c>
      <c r="J52">
        <v>76</v>
      </c>
      <c r="K52">
        <v>60077</v>
      </c>
      <c r="L52">
        <v>1700</v>
      </c>
      <c r="M52">
        <v>5</v>
      </c>
      <c r="N52">
        <v>2</v>
      </c>
      <c r="O52">
        <v>0</v>
      </c>
      <c r="P52" t="s">
        <v>18</v>
      </c>
      <c r="Q52">
        <v>2</v>
      </c>
      <c r="R52">
        <v>0</v>
      </c>
      <c r="S52" t="s">
        <v>21</v>
      </c>
      <c r="T52">
        <v>1</v>
      </c>
      <c r="U52">
        <v>0</v>
      </c>
    </row>
    <row r="53" spans="1:21" x14ac:dyDescent="0.25">
      <c r="A53">
        <v>9921990</v>
      </c>
      <c r="B53" t="s">
        <v>15</v>
      </c>
      <c r="C53" s="1">
        <v>43371</v>
      </c>
      <c r="D53" s="2">
        <f>YEAR(C53)</f>
        <v>2018</v>
      </c>
      <c r="E53">
        <v>250000</v>
      </c>
      <c r="F53" t="s">
        <v>16</v>
      </c>
      <c r="G53">
        <v>1976</v>
      </c>
      <c r="H53">
        <v>9244</v>
      </c>
      <c r="I53" t="s">
        <v>62</v>
      </c>
      <c r="J53">
        <v>76</v>
      </c>
      <c r="K53">
        <v>60077</v>
      </c>
      <c r="L53">
        <v>1600</v>
      </c>
      <c r="M53">
        <v>5</v>
      </c>
      <c r="N53">
        <v>2</v>
      </c>
      <c r="O53">
        <v>0</v>
      </c>
      <c r="P53" t="s">
        <v>18</v>
      </c>
      <c r="Q53">
        <v>2</v>
      </c>
      <c r="R53">
        <v>0</v>
      </c>
      <c r="S53" t="s">
        <v>21</v>
      </c>
      <c r="T53">
        <v>1</v>
      </c>
      <c r="U53">
        <v>0</v>
      </c>
    </row>
    <row r="54" spans="1:21" x14ac:dyDescent="0.25">
      <c r="A54">
        <v>9802171</v>
      </c>
      <c r="B54" t="s">
        <v>15</v>
      </c>
      <c r="C54" s="1">
        <v>43203</v>
      </c>
      <c r="D54" s="2">
        <f>YEAR(C54)</f>
        <v>2018</v>
      </c>
      <c r="E54">
        <v>165000</v>
      </c>
      <c r="F54" t="s">
        <v>16</v>
      </c>
      <c r="G54">
        <v>1976</v>
      </c>
      <c r="H54">
        <v>9529</v>
      </c>
      <c r="I54" t="s">
        <v>54</v>
      </c>
      <c r="J54">
        <v>76</v>
      </c>
      <c r="K54">
        <v>60077</v>
      </c>
      <c r="L54">
        <v>1500</v>
      </c>
      <c r="M54">
        <v>6</v>
      </c>
      <c r="N54">
        <v>2</v>
      </c>
      <c r="O54">
        <v>0</v>
      </c>
      <c r="P54" t="s">
        <v>18</v>
      </c>
      <c r="Q54">
        <v>2</v>
      </c>
      <c r="R54">
        <v>0</v>
      </c>
      <c r="S54" t="s">
        <v>21</v>
      </c>
      <c r="T54">
        <v>1</v>
      </c>
      <c r="U54">
        <v>0</v>
      </c>
    </row>
    <row r="55" spans="1:21" x14ac:dyDescent="0.25">
      <c r="A55">
        <v>9791330</v>
      </c>
      <c r="B55" t="s">
        <v>15</v>
      </c>
      <c r="C55" s="1">
        <v>43174</v>
      </c>
      <c r="D55" s="2">
        <f>YEAR(C55)</f>
        <v>2018</v>
      </c>
      <c r="E55">
        <v>172000</v>
      </c>
      <c r="F55" t="s">
        <v>16</v>
      </c>
      <c r="G55">
        <v>1976</v>
      </c>
      <c r="H55">
        <v>4900</v>
      </c>
      <c r="I55" t="s">
        <v>45</v>
      </c>
      <c r="J55">
        <v>76</v>
      </c>
      <c r="K55">
        <v>60077</v>
      </c>
      <c r="L55">
        <v>1500</v>
      </c>
      <c r="M55">
        <v>6</v>
      </c>
      <c r="N55">
        <v>2</v>
      </c>
      <c r="O55">
        <v>0</v>
      </c>
      <c r="P55" t="s">
        <v>18</v>
      </c>
      <c r="Q55">
        <v>2</v>
      </c>
      <c r="R55">
        <v>0</v>
      </c>
      <c r="S55" t="s">
        <v>21</v>
      </c>
      <c r="T55">
        <v>1</v>
      </c>
      <c r="U55">
        <v>0</v>
      </c>
    </row>
    <row r="56" spans="1:21" x14ac:dyDescent="0.25">
      <c r="A56">
        <v>9773972</v>
      </c>
      <c r="B56" t="s">
        <v>15</v>
      </c>
      <c r="C56" s="1">
        <v>43098</v>
      </c>
      <c r="D56" s="2">
        <f>YEAR(C56)</f>
        <v>2017</v>
      </c>
      <c r="E56">
        <v>240000</v>
      </c>
      <c r="F56" t="s">
        <v>16</v>
      </c>
      <c r="G56">
        <v>1976</v>
      </c>
      <c r="H56">
        <v>9244</v>
      </c>
      <c r="I56" t="s">
        <v>62</v>
      </c>
      <c r="J56">
        <v>76</v>
      </c>
      <c r="K56">
        <v>60077</v>
      </c>
      <c r="L56">
        <v>1500</v>
      </c>
      <c r="M56">
        <v>5</v>
      </c>
      <c r="N56">
        <v>2</v>
      </c>
      <c r="O56">
        <v>0</v>
      </c>
      <c r="P56" t="s">
        <v>18</v>
      </c>
      <c r="Q56">
        <v>2</v>
      </c>
      <c r="R56">
        <v>0</v>
      </c>
      <c r="S56" t="s">
        <v>21</v>
      </c>
      <c r="T56">
        <v>1</v>
      </c>
      <c r="U56">
        <v>0</v>
      </c>
    </row>
    <row r="57" spans="1:21" x14ac:dyDescent="0.25">
      <c r="A57">
        <v>9716338</v>
      </c>
      <c r="B57" t="s">
        <v>15</v>
      </c>
      <c r="C57" s="1">
        <v>42978</v>
      </c>
      <c r="D57" s="2">
        <f>YEAR(C57)</f>
        <v>2017</v>
      </c>
      <c r="E57">
        <v>110000</v>
      </c>
      <c r="F57" t="s">
        <v>16</v>
      </c>
      <c r="G57">
        <v>1976</v>
      </c>
      <c r="H57">
        <v>9529</v>
      </c>
      <c r="I57" t="s">
        <v>54</v>
      </c>
      <c r="J57">
        <v>76</v>
      </c>
      <c r="K57">
        <v>60077</v>
      </c>
      <c r="L57">
        <v>1300</v>
      </c>
      <c r="M57">
        <v>4</v>
      </c>
      <c r="N57">
        <v>1</v>
      </c>
      <c r="O57">
        <v>0</v>
      </c>
      <c r="P57" t="s">
        <v>18</v>
      </c>
      <c r="Q57">
        <v>1</v>
      </c>
      <c r="R57">
        <v>0</v>
      </c>
      <c r="S57" t="s">
        <v>21</v>
      </c>
      <c r="T57">
        <v>1</v>
      </c>
      <c r="U57">
        <v>0</v>
      </c>
    </row>
    <row r="58" spans="1:21" x14ac:dyDescent="0.25">
      <c r="A58">
        <v>9867688</v>
      </c>
      <c r="B58" t="s">
        <v>15</v>
      </c>
      <c r="C58" s="1">
        <v>43187</v>
      </c>
      <c r="D58" s="2">
        <f>YEAR(C58)</f>
        <v>2018</v>
      </c>
      <c r="E58">
        <v>135000</v>
      </c>
      <c r="F58" t="s">
        <v>16</v>
      </c>
      <c r="G58">
        <v>1976</v>
      </c>
      <c r="H58">
        <v>4900</v>
      </c>
      <c r="I58" t="s">
        <v>45</v>
      </c>
      <c r="J58">
        <v>76</v>
      </c>
      <c r="K58">
        <v>60077</v>
      </c>
      <c r="L58">
        <v>1000</v>
      </c>
      <c r="M58">
        <v>4</v>
      </c>
      <c r="N58">
        <v>1</v>
      </c>
      <c r="O58">
        <v>0</v>
      </c>
      <c r="P58" t="s">
        <v>18</v>
      </c>
      <c r="Q58">
        <v>1</v>
      </c>
      <c r="R58">
        <v>0</v>
      </c>
      <c r="S58" t="s">
        <v>21</v>
      </c>
      <c r="T58">
        <v>1</v>
      </c>
      <c r="U58">
        <v>0</v>
      </c>
    </row>
    <row r="59" spans="1:21" x14ac:dyDescent="0.25">
      <c r="A59">
        <v>9992790</v>
      </c>
      <c r="B59" t="s">
        <v>15</v>
      </c>
      <c r="C59" s="1">
        <v>43294</v>
      </c>
      <c r="D59" s="2">
        <f>YEAR(C59)</f>
        <v>2018</v>
      </c>
      <c r="E59">
        <v>160000</v>
      </c>
      <c r="F59" t="s">
        <v>16</v>
      </c>
      <c r="G59">
        <v>1976</v>
      </c>
      <c r="H59">
        <v>4900</v>
      </c>
      <c r="I59" t="s">
        <v>45</v>
      </c>
      <c r="J59">
        <v>76</v>
      </c>
      <c r="K59">
        <v>60077</v>
      </c>
      <c r="L59">
        <v>1000</v>
      </c>
      <c r="M59">
        <v>4</v>
      </c>
      <c r="N59">
        <v>1</v>
      </c>
      <c r="O59">
        <v>0</v>
      </c>
      <c r="P59" t="s">
        <v>18</v>
      </c>
      <c r="Q59">
        <v>1</v>
      </c>
      <c r="R59">
        <v>0</v>
      </c>
      <c r="S59" t="s">
        <v>21</v>
      </c>
      <c r="T59">
        <v>1</v>
      </c>
      <c r="U59">
        <v>0</v>
      </c>
    </row>
    <row r="60" spans="1:21" x14ac:dyDescent="0.25">
      <c r="A60">
        <v>10150557</v>
      </c>
      <c r="B60" t="s">
        <v>15</v>
      </c>
      <c r="C60" s="1">
        <v>43490</v>
      </c>
      <c r="D60" s="2">
        <f>YEAR(C60)</f>
        <v>2019</v>
      </c>
      <c r="E60">
        <v>161000</v>
      </c>
      <c r="F60" t="s">
        <v>16</v>
      </c>
      <c r="G60">
        <v>1976</v>
      </c>
      <c r="H60">
        <v>4900</v>
      </c>
      <c r="I60" t="s">
        <v>45</v>
      </c>
      <c r="J60">
        <v>76</v>
      </c>
      <c r="K60">
        <v>60077</v>
      </c>
      <c r="L60">
        <v>1000</v>
      </c>
      <c r="M60">
        <v>4</v>
      </c>
      <c r="N60">
        <v>1</v>
      </c>
      <c r="O60">
        <v>0</v>
      </c>
      <c r="P60" t="s">
        <v>18</v>
      </c>
      <c r="Q60">
        <v>1</v>
      </c>
      <c r="R60">
        <v>0</v>
      </c>
      <c r="S60" t="s">
        <v>21</v>
      </c>
      <c r="T60">
        <v>1</v>
      </c>
      <c r="U60">
        <v>0</v>
      </c>
    </row>
    <row r="61" spans="1:21" x14ac:dyDescent="0.25">
      <c r="A61">
        <v>9683937</v>
      </c>
      <c r="B61" t="s">
        <v>15</v>
      </c>
      <c r="C61" s="1">
        <v>43060</v>
      </c>
      <c r="D61" s="2">
        <f>YEAR(C61)</f>
        <v>2017</v>
      </c>
      <c r="E61">
        <v>185000</v>
      </c>
      <c r="F61" t="s">
        <v>16</v>
      </c>
      <c r="G61">
        <v>1977</v>
      </c>
      <c r="H61">
        <v>7601</v>
      </c>
      <c r="I61" t="s">
        <v>69</v>
      </c>
      <c r="J61">
        <v>76</v>
      </c>
      <c r="K61">
        <v>60077</v>
      </c>
      <c r="L61">
        <v>1880</v>
      </c>
      <c r="M61">
        <v>5</v>
      </c>
      <c r="N61">
        <v>2</v>
      </c>
      <c r="O61">
        <v>0</v>
      </c>
      <c r="P61" t="s">
        <v>18</v>
      </c>
      <c r="Q61">
        <v>2</v>
      </c>
      <c r="R61">
        <v>0</v>
      </c>
      <c r="S61" t="s">
        <v>21</v>
      </c>
      <c r="T61">
        <v>2</v>
      </c>
      <c r="U61">
        <v>0</v>
      </c>
    </row>
    <row r="62" spans="1:21" x14ac:dyDescent="0.25">
      <c r="A62">
        <v>9753148</v>
      </c>
      <c r="B62" t="s">
        <v>15</v>
      </c>
      <c r="C62" s="1">
        <v>43042</v>
      </c>
      <c r="D62" s="2">
        <f>YEAR(C62)</f>
        <v>2017</v>
      </c>
      <c r="E62">
        <v>194400</v>
      </c>
      <c r="F62" t="s">
        <v>16</v>
      </c>
      <c r="G62">
        <v>1977</v>
      </c>
      <c r="H62">
        <v>7601</v>
      </c>
      <c r="I62" t="s">
        <v>70</v>
      </c>
      <c r="J62">
        <v>76</v>
      </c>
      <c r="K62">
        <v>60077</v>
      </c>
      <c r="L62">
        <v>1750</v>
      </c>
      <c r="M62">
        <v>5</v>
      </c>
      <c r="N62">
        <v>2</v>
      </c>
      <c r="O62">
        <v>0</v>
      </c>
      <c r="P62" t="s">
        <v>18</v>
      </c>
      <c r="Q62">
        <v>2</v>
      </c>
      <c r="R62">
        <v>0</v>
      </c>
      <c r="S62" t="s">
        <v>21</v>
      </c>
      <c r="T62">
        <v>2</v>
      </c>
      <c r="U62">
        <v>0</v>
      </c>
    </row>
    <row r="63" spans="1:21" x14ac:dyDescent="0.25">
      <c r="A63">
        <v>9837543</v>
      </c>
      <c r="B63" t="s">
        <v>15</v>
      </c>
      <c r="C63" s="1">
        <v>43195</v>
      </c>
      <c r="D63" s="2">
        <f>YEAR(C63)</f>
        <v>2018</v>
      </c>
      <c r="E63">
        <v>192000</v>
      </c>
      <c r="F63" t="s">
        <v>16</v>
      </c>
      <c r="G63">
        <v>1977</v>
      </c>
      <c r="H63">
        <v>7601</v>
      </c>
      <c r="I63" t="s">
        <v>69</v>
      </c>
      <c r="J63">
        <v>76</v>
      </c>
      <c r="K63">
        <v>60077</v>
      </c>
      <c r="L63">
        <v>1550</v>
      </c>
      <c r="M63">
        <v>5</v>
      </c>
      <c r="N63">
        <v>2</v>
      </c>
      <c r="O63">
        <v>0</v>
      </c>
      <c r="P63" t="s">
        <v>18</v>
      </c>
      <c r="Q63">
        <v>2</v>
      </c>
      <c r="R63">
        <v>0</v>
      </c>
      <c r="S63" t="s">
        <v>21</v>
      </c>
      <c r="T63">
        <v>2</v>
      </c>
      <c r="U63">
        <v>0</v>
      </c>
    </row>
    <row r="64" spans="1:21" x14ac:dyDescent="0.25">
      <c r="A64">
        <v>9972693</v>
      </c>
      <c r="B64" t="s">
        <v>15</v>
      </c>
      <c r="C64" s="1">
        <v>43294</v>
      </c>
      <c r="D64" s="2">
        <f>YEAR(C64)</f>
        <v>2018</v>
      </c>
      <c r="E64">
        <v>168000</v>
      </c>
      <c r="F64" t="s">
        <v>16</v>
      </c>
      <c r="G64">
        <v>1977</v>
      </c>
      <c r="H64">
        <v>5406</v>
      </c>
      <c r="I64" t="s">
        <v>70</v>
      </c>
      <c r="J64">
        <v>76</v>
      </c>
      <c r="K64">
        <v>60077</v>
      </c>
      <c r="L64">
        <v>1265</v>
      </c>
      <c r="M64">
        <v>5</v>
      </c>
      <c r="N64">
        <v>2</v>
      </c>
      <c r="O64">
        <v>0</v>
      </c>
      <c r="P64" t="s">
        <v>18</v>
      </c>
      <c r="Q64">
        <v>2</v>
      </c>
      <c r="R64">
        <v>0</v>
      </c>
      <c r="S64" t="s">
        <v>21</v>
      </c>
      <c r="T64">
        <v>2</v>
      </c>
      <c r="U64">
        <v>0</v>
      </c>
    </row>
    <row r="65" spans="1:21" x14ac:dyDescent="0.25">
      <c r="A65">
        <v>9583378</v>
      </c>
      <c r="B65" t="s">
        <v>15</v>
      </c>
      <c r="C65" s="1">
        <v>42998</v>
      </c>
      <c r="D65" s="2">
        <f>YEAR(C65)</f>
        <v>2017</v>
      </c>
      <c r="E65">
        <v>140000</v>
      </c>
      <c r="F65" t="s">
        <v>16</v>
      </c>
      <c r="G65">
        <v>1977</v>
      </c>
      <c r="H65">
        <v>8710</v>
      </c>
      <c r="I65" t="s">
        <v>36</v>
      </c>
      <c r="J65">
        <v>76</v>
      </c>
      <c r="K65">
        <v>60077</v>
      </c>
      <c r="L65">
        <v>900</v>
      </c>
      <c r="M65">
        <v>5</v>
      </c>
      <c r="N65">
        <v>1</v>
      </c>
      <c r="O65">
        <v>1</v>
      </c>
      <c r="P65" t="s">
        <v>18</v>
      </c>
      <c r="Q65">
        <v>2</v>
      </c>
      <c r="R65">
        <v>0</v>
      </c>
      <c r="S65" t="s">
        <v>19</v>
      </c>
      <c r="T65">
        <v>0</v>
      </c>
      <c r="U65">
        <v>0</v>
      </c>
    </row>
    <row r="66" spans="1:21" x14ac:dyDescent="0.25">
      <c r="A66">
        <v>9577907</v>
      </c>
      <c r="B66" t="s">
        <v>15</v>
      </c>
      <c r="C66" s="1">
        <v>42977</v>
      </c>
      <c r="D66" s="2">
        <f>YEAR(C66)</f>
        <v>2017</v>
      </c>
      <c r="E66">
        <v>215000</v>
      </c>
      <c r="F66" t="s">
        <v>16</v>
      </c>
      <c r="G66">
        <v>1978</v>
      </c>
      <c r="H66">
        <v>9560</v>
      </c>
      <c r="I66" t="s">
        <v>62</v>
      </c>
      <c r="J66">
        <v>76</v>
      </c>
      <c r="K66">
        <v>60076</v>
      </c>
      <c r="L66">
        <v>2000</v>
      </c>
      <c r="M66">
        <v>6</v>
      </c>
      <c r="N66">
        <v>2</v>
      </c>
      <c r="O66">
        <v>0</v>
      </c>
      <c r="P66" t="s">
        <v>18</v>
      </c>
      <c r="Q66">
        <v>3</v>
      </c>
      <c r="R66">
        <v>0</v>
      </c>
      <c r="S66" t="s">
        <v>21</v>
      </c>
      <c r="T66">
        <v>2</v>
      </c>
      <c r="U66">
        <v>0</v>
      </c>
    </row>
    <row r="67" spans="1:21" x14ac:dyDescent="0.25">
      <c r="A67">
        <v>9614546</v>
      </c>
      <c r="B67" t="s">
        <v>15</v>
      </c>
      <c r="C67" s="1">
        <v>42936</v>
      </c>
      <c r="D67" s="2">
        <f>YEAR(C67)</f>
        <v>2017</v>
      </c>
      <c r="E67">
        <v>200000</v>
      </c>
      <c r="F67" t="s">
        <v>16</v>
      </c>
      <c r="G67">
        <v>1978</v>
      </c>
      <c r="H67">
        <v>9560</v>
      </c>
      <c r="I67" t="s">
        <v>62</v>
      </c>
      <c r="J67">
        <v>76</v>
      </c>
      <c r="K67">
        <v>60076</v>
      </c>
      <c r="L67">
        <v>1935</v>
      </c>
      <c r="M67">
        <v>6</v>
      </c>
      <c r="N67">
        <v>2</v>
      </c>
      <c r="O67">
        <v>0</v>
      </c>
      <c r="P67" t="s">
        <v>18</v>
      </c>
      <c r="Q67">
        <v>3</v>
      </c>
      <c r="R67">
        <v>0</v>
      </c>
      <c r="S67" t="s">
        <v>21</v>
      </c>
      <c r="T67">
        <v>2</v>
      </c>
      <c r="U67">
        <v>0</v>
      </c>
    </row>
    <row r="68" spans="1:21" x14ac:dyDescent="0.25">
      <c r="A68">
        <v>9930923</v>
      </c>
      <c r="B68" t="s">
        <v>15</v>
      </c>
      <c r="C68" s="1">
        <v>43354</v>
      </c>
      <c r="D68" s="2">
        <f>YEAR(C68)</f>
        <v>2018</v>
      </c>
      <c r="E68">
        <v>285000</v>
      </c>
      <c r="F68" t="s">
        <v>16</v>
      </c>
      <c r="G68">
        <v>1978</v>
      </c>
      <c r="H68">
        <v>9558</v>
      </c>
      <c r="I68" t="s">
        <v>62</v>
      </c>
      <c r="J68">
        <v>76</v>
      </c>
      <c r="K68">
        <v>60076</v>
      </c>
      <c r="L68">
        <v>1900</v>
      </c>
      <c r="M68">
        <v>6</v>
      </c>
      <c r="N68">
        <v>2</v>
      </c>
      <c r="O68">
        <v>0</v>
      </c>
      <c r="P68" t="s">
        <v>18</v>
      </c>
      <c r="Q68">
        <v>3</v>
      </c>
      <c r="R68">
        <v>0</v>
      </c>
      <c r="S68" t="s">
        <v>21</v>
      </c>
      <c r="T68">
        <v>2</v>
      </c>
      <c r="U68">
        <v>0</v>
      </c>
    </row>
    <row r="69" spans="1:21" x14ac:dyDescent="0.25">
      <c r="A69">
        <v>10007874</v>
      </c>
      <c r="B69" t="s">
        <v>15</v>
      </c>
      <c r="C69" s="1">
        <v>43322</v>
      </c>
      <c r="D69" s="2">
        <f>YEAR(C69)</f>
        <v>2018</v>
      </c>
      <c r="E69">
        <v>299500</v>
      </c>
      <c r="F69" t="s">
        <v>16</v>
      </c>
      <c r="G69">
        <v>1978</v>
      </c>
      <c r="H69">
        <v>9560</v>
      </c>
      <c r="I69" t="s">
        <v>62</v>
      </c>
      <c r="J69">
        <v>76</v>
      </c>
      <c r="K69">
        <v>60076</v>
      </c>
      <c r="L69">
        <v>1900</v>
      </c>
      <c r="M69">
        <v>6</v>
      </c>
      <c r="N69">
        <v>2</v>
      </c>
      <c r="O69">
        <v>0</v>
      </c>
      <c r="P69" t="s">
        <v>18</v>
      </c>
      <c r="Q69">
        <v>3</v>
      </c>
      <c r="R69">
        <v>0</v>
      </c>
      <c r="S69" t="s">
        <v>21</v>
      </c>
      <c r="T69">
        <v>2</v>
      </c>
      <c r="U69">
        <v>0</v>
      </c>
    </row>
    <row r="70" spans="1:21" x14ac:dyDescent="0.25">
      <c r="A70">
        <v>9756772</v>
      </c>
      <c r="B70" t="s">
        <v>15</v>
      </c>
      <c r="C70" s="1">
        <v>43059</v>
      </c>
      <c r="D70" s="2">
        <f>YEAR(C70)</f>
        <v>2017</v>
      </c>
      <c r="E70">
        <v>269900</v>
      </c>
      <c r="F70" t="s">
        <v>16</v>
      </c>
      <c r="G70">
        <v>1978</v>
      </c>
      <c r="H70">
        <v>9560</v>
      </c>
      <c r="I70" t="s">
        <v>62</v>
      </c>
      <c r="J70">
        <v>76</v>
      </c>
      <c r="K70">
        <v>60076</v>
      </c>
      <c r="L70">
        <v>1750</v>
      </c>
      <c r="M70">
        <v>5</v>
      </c>
      <c r="N70">
        <v>2</v>
      </c>
      <c r="O70">
        <v>0</v>
      </c>
      <c r="P70" t="s">
        <v>18</v>
      </c>
      <c r="Q70">
        <v>2</v>
      </c>
      <c r="R70">
        <v>0</v>
      </c>
      <c r="S70" t="s">
        <v>21</v>
      </c>
      <c r="T70">
        <v>2</v>
      </c>
      <c r="U70">
        <v>0</v>
      </c>
    </row>
    <row r="71" spans="1:21" x14ac:dyDescent="0.25">
      <c r="A71">
        <v>9340288</v>
      </c>
      <c r="B71" t="s">
        <v>15</v>
      </c>
      <c r="C71" s="1">
        <v>42872</v>
      </c>
      <c r="D71" s="2">
        <f>YEAR(C71)</f>
        <v>2017</v>
      </c>
      <c r="E71">
        <v>171000</v>
      </c>
      <c r="F71" t="s">
        <v>16</v>
      </c>
      <c r="G71">
        <v>1978</v>
      </c>
      <c r="H71">
        <v>9558</v>
      </c>
      <c r="I71" t="s">
        <v>62</v>
      </c>
      <c r="J71">
        <v>76</v>
      </c>
      <c r="K71">
        <v>60076</v>
      </c>
      <c r="L71">
        <v>1725</v>
      </c>
      <c r="M71">
        <v>5</v>
      </c>
      <c r="N71">
        <v>2</v>
      </c>
      <c r="O71">
        <v>0</v>
      </c>
      <c r="P71" t="s">
        <v>18</v>
      </c>
      <c r="Q71">
        <v>2</v>
      </c>
      <c r="R71">
        <v>0</v>
      </c>
      <c r="S71" t="s">
        <v>21</v>
      </c>
      <c r="T71">
        <v>2</v>
      </c>
      <c r="U71">
        <v>0</v>
      </c>
    </row>
    <row r="72" spans="1:21" x14ac:dyDescent="0.25">
      <c r="A72">
        <v>9770794</v>
      </c>
      <c r="B72" t="s">
        <v>15</v>
      </c>
      <c r="C72" s="1">
        <v>43159</v>
      </c>
      <c r="D72" s="2">
        <f>YEAR(C72)</f>
        <v>2018</v>
      </c>
      <c r="E72">
        <v>155000</v>
      </c>
      <c r="F72" t="s">
        <v>16</v>
      </c>
      <c r="G72">
        <v>1978</v>
      </c>
      <c r="H72">
        <v>4901</v>
      </c>
      <c r="I72" t="s">
        <v>63</v>
      </c>
      <c r="J72">
        <v>76</v>
      </c>
      <c r="K72">
        <v>60077</v>
      </c>
      <c r="L72">
        <v>1564</v>
      </c>
      <c r="M72">
        <v>5</v>
      </c>
      <c r="N72">
        <v>2</v>
      </c>
      <c r="O72">
        <v>0</v>
      </c>
      <c r="P72" t="s">
        <v>18</v>
      </c>
      <c r="Q72">
        <v>2</v>
      </c>
      <c r="R72">
        <v>0</v>
      </c>
      <c r="S72" t="s">
        <v>21</v>
      </c>
      <c r="T72">
        <v>1</v>
      </c>
      <c r="U72">
        <v>0</v>
      </c>
    </row>
    <row r="73" spans="1:21" x14ac:dyDescent="0.25">
      <c r="A73">
        <v>9801518</v>
      </c>
      <c r="B73" t="s">
        <v>15</v>
      </c>
      <c r="C73" s="1">
        <v>43159</v>
      </c>
      <c r="D73" s="2">
        <f>YEAR(C73)</f>
        <v>2018</v>
      </c>
      <c r="E73">
        <v>172500</v>
      </c>
      <c r="F73" t="s">
        <v>16</v>
      </c>
      <c r="G73">
        <v>1978</v>
      </c>
      <c r="H73">
        <v>9558</v>
      </c>
      <c r="I73" t="s">
        <v>62</v>
      </c>
      <c r="J73">
        <v>76</v>
      </c>
      <c r="K73">
        <v>60076</v>
      </c>
      <c r="L73">
        <v>1545</v>
      </c>
      <c r="M73">
        <v>5</v>
      </c>
      <c r="N73">
        <v>2</v>
      </c>
      <c r="O73">
        <v>0</v>
      </c>
      <c r="P73" t="s">
        <v>18</v>
      </c>
      <c r="Q73">
        <v>2</v>
      </c>
      <c r="R73">
        <v>0</v>
      </c>
      <c r="S73" t="s">
        <v>21</v>
      </c>
      <c r="T73">
        <v>2</v>
      </c>
      <c r="U73">
        <v>0</v>
      </c>
    </row>
    <row r="74" spans="1:21" x14ac:dyDescent="0.25">
      <c r="A74">
        <v>10038110</v>
      </c>
      <c r="B74" t="s">
        <v>15</v>
      </c>
      <c r="C74" s="1">
        <v>43413</v>
      </c>
      <c r="D74" s="2">
        <f>YEAR(C74)</f>
        <v>2018</v>
      </c>
      <c r="E74">
        <v>175000</v>
      </c>
      <c r="F74" t="s">
        <v>16</v>
      </c>
      <c r="G74">
        <v>1978</v>
      </c>
      <c r="H74">
        <v>9801</v>
      </c>
      <c r="I74" t="s">
        <v>62</v>
      </c>
      <c r="J74">
        <v>76</v>
      </c>
      <c r="K74">
        <v>60076</v>
      </c>
      <c r="L74">
        <v>1465</v>
      </c>
      <c r="M74">
        <v>5</v>
      </c>
      <c r="N74">
        <v>2</v>
      </c>
      <c r="O74">
        <v>0</v>
      </c>
      <c r="P74" t="s">
        <v>18</v>
      </c>
      <c r="Q74">
        <v>2</v>
      </c>
      <c r="R74">
        <v>0</v>
      </c>
      <c r="S74" t="s">
        <v>21</v>
      </c>
      <c r="T74">
        <v>2</v>
      </c>
      <c r="U74">
        <v>0</v>
      </c>
    </row>
    <row r="75" spans="1:21" x14ac:dyDescent="0.25">
      <c r="A75">
        <v>9986374</v>
      </c>
      <c r="B75" t="s">
        <v>15</v>
      </c>
      <c r="C75" s="1">
        <v>43311</v>
      </c>
      <c r="D75" s="2">
        <f>YEAR(C75)</f>
        <v>2018</v>
      </c>
      <c r="E75">
        <v>182000</v>
      </c>
      <c r="F75" t="s">
        <v>16</v>
      </c>
      <c r="G75">
        <v>1978</v>
      </c>
      <c r="H75">
        <v>9558</v>
      </c>
      <c r="I75" t="s">
        <v>62</v>
      </c>
      <c r="J75">
        <v>76</v>
      </c>
      <c r="K75">
        <v>60076</v>
      </c>
      <c r="L75">
        <v>1465</v>
      </c>
      <c r="M75">
        <v>5</v>
      </c>
      <c r="N75">
        <v>2</v>
      </c>
      <c r="O75">
        <v>0</v>
      </c>
      <c r="P75" t="s">
        <v>18</v>
      </c>
      <c r="Q75">
        <v>2</v>
      </c>
      <c r="R75">
        <v>0</v>
      </c>
      <c r="S75" t="s">
        <v>21</v>
      </c>
      <c r="T75">
        <v>2</v>
      </c>
      <c r="U75">
        <v>0</v>
      </c>
    </row>
    <row r="76" spans="1:21" x14ac:dyDescent="0.25">
      <c r="A76">
        <v>9899493</v>
      </c>
      <c r="B76" t="s">
        <v>15</v>
      </c>
      <c r="C76" s="1">
        <v>43241</v>
      </c>
      <c r="D76" s="2">
        <f>YEAR(C76)</f>
        <v>2018</v>
      </c>
      <c r="E76">
        <v>230000</v>
      </c>
      <c r="F76" t="s">
        <v>16</v>
      </c>
      <c r="G76">
        <v>1979</v>
      </c>
      <c r="H76">
        <v>9558</v>
      </c>
      <c r="I76" t="s">
        <v>62</v>
      </c>
      <c r="J76">
        <v>76</v>
      </c>
      <c r="K76">
        <v>60077</v>
      </c>
      <c r="L76">
        <v>1725</v>
      </c>
      <c r="M76">
        <v>5</v>
      </c>
      <c r="N76">
        <v>2</v>
      </c>
      <c r="O76">
        <v>0</v>
      </c>
      <c r="P76" t="s">
        <v>18</v>
      </c>
      <c r="Q76">
        <v>2</v>
      </c>
      <c r="R76">
        <v>0</v>
      </c>
      <c r="S76" t="s">
        <v>21</v>
      </c>
      <c r="T76">
        <v>2</v>
      </c>
      <c r="U76">
        <v>0</v>
      </c>
    </row>
    <row r="77" spans="1:21" x14ac:dyDescent="0.25">
      <c r="A77">
        <v>9844963</v>
      </c>
      <c r="B77" t="s">
        <v>15</v>
      </c>
      <c r="C77" s="1">
        <v>43179</v>
      </c>
      <c r="D77" s="2">
        <f>YEAR(C77)</f>
        <v>2018</v>
      </c>
      <c r="E77">
        <v>185000</v>
      </c>
      <c r="F77" t="s">
        <v>16</v>
      </c>
      <c r="G77">
        <v>1979</v>
      </c>
      <c r="H77">
        <v>4901</v>
      </c>
      <c r="I77" t="s">
        <v>63</v>
      </c>
      <c r="J77">
        <v>76</v>
      </c>
      <c r="K77">
        <v>60077</v>
      </c>
      <c r="L77">
        <v>1500</v>
      </c>
      <c r="M77">
        <v>5</v>
      </c>
      <c r="N77">
        <v>2</v>
      </c>
      <c r="O77">
        <v>0</v>
      </c>
      <c r="P77" t="s">
        <v>18</v>
      </c>
      <c r="Q77">
        <v>2</v>
      </c>
      <c r="R77">
        <v>0</v>
      </c>
      <c r="S77" t="s">
        <v>21</v>
      </c>
      <c r="T77">
        <v>1</v>
      </c>
      <c r="U77">
        <v>0</v>
      </c>
    </row>
    <row r="78" spans="1:21" x14ac:dyDescent="0.25">
      <c r="A78">
        <v>9405694</v>
      </c>
      <c r="B78" t="s">
        <v>15</v>
      </c>
      <c r="C78" s="1">
        <v>42898</v>
      </c>
      <c r="D78" s="2">
        <f>YEAR(C78)</f>
        <v>2017</v>
      </c>
      <c r="E78">
        <v>165000</v>
      </c>
      <c r="F78" t="s">
        <v>16</v>
      </c>
      <c r="G78">
        <v>1980</v>
      </c>
      <c r="H78">
        <v>9200</v>
      </c>
      <c r="I78" t="s">
        <v>46</v>
      </c>
      <c r="J78">
        <v>76</v>
      </c>
      <c r="K78">
        <v>60076</v>
      </c>
      <c r="L78">
        <v>1300</v>
      </c>
      <c r="M78">
        <v>5</v>
      </c>
      <c r="N78">
        <v>2</v>
      </c>
      <c r="O78">
        <v>0</v>
      </c>
      <c r="P78" t="s">
        <v>18</v>
      </c>
      <c r="Q78">
        <v>2</v>
      </c>
      <c r="R78">
        <v>0</v>
      </c>
      <c r="S78" t="s">
        <v>21</v>
      </c>
      <c r="T78">
        <v>2</v>
      </c>
      <c r="U78">
        <v>0</v>
      </c>
    </row>
    <row r="79" spans="1:21" x14ac:dyDescent="0.25">
      <c r="A79">
        <v>9498270</v>
      </c>
      <c r="B79" t="s">
        <v>15</v>
      </c>
      <c r="C79" s="1">
        <v>42984</v>
      </c>
      <c r="D79" s="2">
        <f>YEAR(C79)</f>
        <v>2017</v>
      </c>
      <c r="E79">
        <v>153000</v>
      </c>
      <c r="F79" t="s">
        <v>16</v>
      </c>
      <c r="G79">
        <v>1984</v>
      </c>
      <c r="H79">
        <v>5406</v>
      </c>
      <c r="I79" t="s">
        <v>69</v>
      </c>
      <c r="J79">
        <v>76</v>
      </c>
      <c r="K79">
        <v>60077</v>
      </c>
      <c r="L79">
        <v>1200</v>
      </c>
      <c r="M79">
        <v>5</v>
      </c>
      <c r="N79">
        <v>2</v>
      </c>
      <c r="O79">
        <v>0</v>
      </c>
      <c r="P79" t="s">
        <v>18</v>
      </c>
      <c r="Q79">
        <v>2</v>
      </c>
      <c r="R79">
        <v>0</v>
      </c>
      <c r="S79" t="s">
        <v>21</v>
      </c>
      <c r="T79">
        <v>2</v>
      </c>
      <c r="U79">
        <v>0</v>
      </c>
    </row>
    <row r="80" spans="1:21" x14ac:dyDescent="0.25">
      <c r="A80">
        <v>9638927</v>
      </c>
      <c r="B80" t="s">
        <v>15</v>
      </c>
      <c r="C80" s="1">
        <v>42934</v>
      </c>
      <c r="D80" s="2">
        <f>YEAR(C80)</f>
        <v>2017</v>
      </c>
      <c r="E80">
        <v>122000</v>
      </c>
      <c r="F80" t="s">
        <v>16</v>
      </c>
      <c r="G80">
        <v>1984</v>
      </c>
      <c r="H80">
        <v>5406</v>
      </c>
      <c r="I80" t="s">
        <v>69</v>
      </c>
      <c r="J80">
        <v>76</v>
      </c>
      <c r="K80">
        <v>60077</v>
      </c>
      <c r="L80">
        <v>900</v>
      </c>
      <c r="M80">
        <v>5</v>
      </c>
      <c r="N80">
        <v>1</v>
      </c>
      <c r="O80">
        <v>0</v>
      </c>
      <c r="P80" t="s">
        <v>18</v>
      </c>
      <c r="Q80">
        <v>1</v>
      </c>
      <c r="R80">
        <v>0</v>
      </c>
      <c r="S80" t="s">
        <v>21</v>
      </c>
      <c r="T80">
        <v>1</v>
      </c>
      <c r="U80">
        <v>0</v>
      </c>
    </row>
    <row r="81" spans="1:21" x14ac:dyDescent="0.25">
      <c r="A81">
        <v>9489802</v>
      </c>
      <c r="B81" t="s">
        <v>15</v>
      </c>
      <c r="C81" s="1">
        <v>43349</v>
      </c>
      <c r="D81" s="2">
        <f>YEAR(C81)</f>
        <v>2018</v>
      </c>
      <c r="E81">
        <v>223000</v>
      </c>
      <c r="F81" t="s">
        <v>16</v>
      </c>
      <c r="G81">
        <v>1987</v>
      </c>
      <c r="H81">
        <v>9625</v>
      </c>
      <c r="I81" t="s">
        <v>71</v>
      </c>
      <c r="J81">
        <v>76</v>
      </c>
      <c r="K81">
        <v>60077</v>
      </c>
      <c r="L81">
        <v>2138</v>
      </c>
      <c r="M81">
        <v>7</v>
      </c>
      <c r="N81">
        <v>2</v>
      </c>
      <c r="O81">
        <v>1</v>
      </c>
      <c r="P81" t="s">
        <v>18</v>
      </c>
      <c r="Q81">
        <v>3</v>
      </c>
      <c r="R81">
        <v>0</v>
      </c>
      <c r="S81" t="s">
        <v>21</v>
      </c>
      <c r="T81">
        <v>2</v>
      </c>
      <c r="U81">
        <v>0</v>
      </c>
    </row>
    <row r="82" spans="1:21" x14ac:dyDescent="0.25">
      <c r="A82">
        <v>10045003</v>
      </c>
      <c r="B82" t="s">
        <v>15</v>
      </c>
      <c r="C82" s="1">
        <v>43441</v>
      </c>
      <c r="D82" s="2">
        <f>YEAR(C82)</f>
        <v>2018</v>
      </c>
      <c r="E82">
        <v>216000</v>
      </c>
      <c r="F82" t="s">
        <v>16</v>
      </c>
      <c r="G82">
        <v>1989</v>
      </c>
      <c r="H82">
        <v>4747</v>
      </c>
      <c r="I82" t="s">
        <v>49</v>
      </c>
      <c r="J82">
        <v>76</v>
      </c>
      <c r="K82">
        <v>60076</v>
      </c>
      <c r="L82">
        <v>1500</v>
      </c>
      <c r="M82">
        <v>5</v>
      </c>
      <c r="N82">
        <v>2</v>
      </c>
      <c r="O82">
        <v>0</v>
      </c>
      <c r="P82" t="s">
        <v>18</v>
      </c>
      <c r="Q82">
        <v>2</v>
      </c>
      <c r="R82">
        <v>0</v>
      </c>
      <c r="S82" t="s">
        <v>21</v>
      </c>
      <c r="T82">
        <v>1</v>
      </c>
      <c r="U82">
        <v>0</v>
      </c>
    </row>
    <row r="83" spans="1:21" x14ac:dyDescent="0.25">
      <c r="A83">
        <v>9641302</v>
      </c>
      <c r="B83" t="s">
        <v>15</v>
      </c>
      <c r="C83" s="1">
        <v>42944</v>
      </c>
      <c r="D83" s="2">
        <f>YEAR(C83)</f>
        <v>2017</v>
      </c>
      <c r="E83">
        <v>196000</v>
      </c>
      <c r="F83" t="s">
        <v>16</v>
      </c>
      <c r="G83">
        <v>1990</v>
      </c>
      <c r="H83">
        <v>4757</v>
      </c>
      <c r="I83" t="s">
        <v>49</v>
      </c>
      <c r="J83">
        <v>76</v>
      </c>
      <c r="K83">
        <v>60076</v>
      </c>
      <c r="L83">
        <v>2000</v>
      </c>
      <c r="M83">
        <v>6</v>
      </c>
      <c r="N83">
        <v>2</v>
      </c>
      <c r="O83">
        <v>0</v>
      </c>
      <c r="P83" t="s">
        <v>18</v>
      </c>
      <c r="Q83">
        <v>2</v>
      </c>
      <c r="R83">
        <v>0</v>
      </c>
      <c r="S83" t="s">
        <v>21</v>
      </c>
      <c r="T83">
        <v>1</v>
      </c>
      <c r="U83">
        <v>0</v>
      </c>
    </row>
    <row r="84" spans="1:21" x14ac:dyDescent="0.25">
      <c r="A84">
        <v>9361788</v>
      </c>
      <c r="B84" t="s">
        <v>15</v>
      </c>
      <c r="C84" s="1">
        <v>42797</v>
      </c>
      <c r="D84" s="2">
        <f>YEAR(C84)</f>
        <v>2017</v>
      </c>
      <c r="E84">
        <v>228000</v>
      </c>
      <c r="F84" t="s">
        <v>16</v>
      </c>
      <c r="G84">
        <v>1990</v>
      </c>
      <c r="H84">
        <v>4757</v>
      </c>
      <c r="I84" t="s">
        <v>49</v>
      </c>
      <c r="J84">
        <v>76</v>
      </c>
      <c r="K84">
        <v>60076</v>
      </c>
      <c r="L84">
        <v>1960</v>
      </c>
      <c r="M84">
        <v>6</v>
      </c>
      <c r="N84">
        <v>2</v>
      </c>
      <c r="O84">
        <v>0</v>
      </c>
      <c r="P84" t="s">
        <v>18</v>
      </c>
      <c r="Q84">
        <v>2</v>
      </c>
      <c r="R84">
        <v>0</v>
      </c>
      <c r="S84" t="s">
        <v>21</v>
      </c>
      <c r="T84">
        <v>1</v>
      </c>
      <c r="U84">
        <v>0</v>
      </c>
    </row>
    <row r="85" spans="1:21" x14ac:dyDescent="0.25">
      <c r="A85">
        <v>9590006</v>
      </c>
      <c r="B85" t="s">
        <v>15</v>
      </c>
      <c r="C85" s="1">
        <v>42947</v>
      </c>
      <c r="D85" s="2">
        <f>YEAR(C85)</f>
        <v>2017</v>
      </c>
      <c r="E85">
        <v>230000</v>
      </c>
      <c r="F85" t="s">
        <v>16</v>
      </c>
      <c r="G85">
        <v>1990</v>
      </c>
      <c r="H85">
        <v>4757</v>
      </c>
      <c r="I85" t="s">
        <v>49</v>
      </c>
      <c r="J85">
        <v>76</v>
      </c>
      <c r="K85">
        <v>60076</v>
      </c>
      <c r="L85">
        <v>1900</v>
      </c>
      <c r="M85">
        <v>6</v>
      </c>
      <c r="N85">
        <v>2</v>
      </c>
      <c r="O85">
        <v>0</v>
      </c>
      <c r="P85" t="s">
        <v>18</v>
      </c>
      <c r="Q85">
        <v>2</v>
      </c>
      <c r="R85">
        <v>0</v>
      </c>
      <c r="S85" t="s">
        <v>21</v>
      </c>
      <c r="T85">
        <v>1</v>
      </c>
      <c r="U85">
        <v>0</v>
      </c>
    </row>
    <row r="86" spans="1:21" x14ac:dyDescent="0.25">
      <c r="A86">
        <v>10019426</v>
      </c>
      <c r="B86" t="s">
        <v>15</v>
      </c>
      <c r="C86" s="1">
        <v>43340</v>
      </c>
      <c r="D86" s="2">
        <f>YEAR(C86)</f>
        <v>2018</v>
      </c>
      <c r="E86">
        <v>249900</v>
      </c>
      <c r="F86" t="s">
        <v>16</v>
      </c>
      <c r="G86">
        <v>1990</v>
      </c>
      <c r="H86">
        <v>4757</v>
      </c>
      <c r="I86" t="s">
        <v>48</v>
      </c>
      <c r="J86">
        <v>76</v>
      </c>
      <c r="K86">
        <v>60076</v>
      </c>
      <c r="L86">
        <v>1900</v>
      </c>
      <c r="M86">
        <v>6</v>
      </c>
      <c r="N86">
        <v>2</v>
      </c>
      <c r="O86">
        <v>0</v>
      </c>
      <c r="P86" t="s">
        <v>18</v>
      </c>
      <c r="Q86">
        <v>2</v>
      </c>
      <c r="R86">
        <v>0</v>
      </c>
      <c r="S86" t="s">
        <v>21</v>
      </c>
      <c r="T86">
        <v>1</v>
      </c>
      <c r="U86">
        <v>0</v>
      </c>
    </row>
    <row r="87" spans="1:21" x14ac:dyDescent="0.25">
      <c r="A87">
        <v>10140986</v>
      </c>
      <c r="B87" t="s">
        <v>15</v>
      </c>
      <c r="C87" s="1">
        <v>43497</v>
      </c>
      <c r="D87" s="2">
        <f>YEAR(C87)</f>
        <v>2019</v>
      </c>
      <c r="E87">
        <v>229000</v>
      </c>
      <c r="F87" t="s">
        <v>16</v>
      </c>
      <c r="G87">
        <v>1997</v>
      </c>
      <c r="H87">
        <v>5000</v>
      </c>
      <c r="I87" t="s">
        <v>72</v>
      </c>
      <c r="J87">
        <v>76</v>
      </c>
      <c r="K87">
        <v>60077</v>
      </c>
      <c r="L87">
        <v>1450</v>
      </c>
      <c r="M87">
        <v>5</v>
      </c>
      <c r="N87">
        <v>2</v>
      </c>
      <c r="O87">
        <v>0</v>
      </c>
      <c r="P87" t="s">
        <v>18</v>
      </c>
      <c r="Q87">
        <v>2</v>
      </c>
      <c r="R87">
        <v>0</v>
      </c>
      <c r="S87" t="s">
        <v>21</v>
      </c>
      <c r="T87">
        <v>1</v>
      </c>
      <c r="U87">
        <v>0</v>
      </c>
    </row>
    <row r="88" spans="1:21" x14ac:dyDescent="0.25">
      <c r="A88">
        <v>9375488</v>
      </c>
      <c r="B88" t="s">
        <v>15</v>
      </c>
      <c r="C88" s="1">
        <v>42832</v>
      </c>
      <c r="D88" s="2">
        <f>YEAR(C88)</f>
        <v>2017</v>
      </c>
      <c r="E88">
        <v>198500</v>
      </c>
      <c r="F88" t="s">
        <v>16</v>
      </c>
      <c r="G88">
        <v>1997</v>
      </c>
      <c r="H88">
        <v>5000</v>
      </c>
      <c r="I88" t="s">
        <v>72</v>
      </c>
      <c r="J88">
        <v>76</v>
      </c>
      <c r="K88">
        <v>60077</v>
      </c>
      <c r="L88">
        <v>1240</v>
      </c>
      <c r="M88">
        <v>5</v>
      </c>
      <c r="N88">
        <v>1</v>
      </c>
      <c r="O88">
        <v>0</v>
      </c>
      <c r="P88" t="s">
        <v>18</v>
      </c>
      <c r="Q88">
        <v>2</v>
      </c>
      <c r="R88">
        <v>0</v>
      </c>
      <c r="S88" t="s">
        <v>21</v>
      </c>
      <c r="T88">
        <v>1</v>
      </c>
      <c r="U88">
        <v>0</v>
      </c>
    </row>
    <row r="89" spans="1:21" x14ac:dyDescent="0.25">
      <c r="A89">
        <v>9804820</v>
      </c>
      <c r="B89" t="s">
        <v>15</v>
      </c>
      <c r="C89" s="1">
        <v>43185</v>
      </c>
      <c r="D89" s="2">
        <f>YEAR(C89)</f>
        <v>2018</v>
      </c>
      <c r="E89">
        <v>160000</v>
      </c>
      <c r="F89" t="s">
        <v>16</v>
      </c>
      <c r="G89">
        <v>1997</v>
      </c>
      <c r="H89">
        <v>5000</v>
      </c>
      <c r="I89" t="s">
        <v>66</v>
      </c>
      <c r="J89">
        <v>76</v>
      </c>
      <c r="K89">
        <v>60077</v>
      </c>
      <c r="L89">
        <v>1050</v>
      </c>
      <c r="M89">
        <v>4</v>
      </c>
      <c r="N89">
        <v>1</v>
      </c>
      <c r="O89">
        <v>0</v>
      </c>
      <c r="P89" t="s">
        <v>18</v>
      </c>
      <c r="Q89">
        <v>1</v>
      </c>
      <c r="R89">
        <v>0</v>
      </c>
      <c r="S89" t="s">
        <v>21</v>
      </c>
      <c r="T89">
        <v>1</v>
      </c>
      <c r="U89">
        <v>0</v>
      </c>
    </row>
    <row r="90" spans="1:21" x14ac:dyDescent="0.25">
      <c r="A90">
        <v>9780054</v>
      </c>
      <c r="B90" t="s">
        <v>15</v>
      </c>
      <c r="C90" s="1">
        <v>43073</v>
      </c>
      <c r="D90" s="2">
        <f>YEAR(C90)</f>
        <v>2017</v>
      </c>
      <c r="E90">
        <v>220100</v>
      </c>
      <c r="F90" t="s">
        <v>16</v>
      </c>
      <c r="G90">
        <v>1998</v>
      </c>
      <c r="H90">
        <v>7400</v>
      </c>
      <c r="I90" t="s">
        <v>70</v>
      </c>
      <c r="J90">
        <v>76</v>
      </c>
      <c r="K90">
        <v>60076</v>
      </c>
      <c r="L90">
        <v>1800</v>
      </c>
      <c r="M90">
        <v>6</v>
      </c>
      <c r="N90">
        <v>2</v>
      </c>
      <c r="O90">
        <v>0</v>
      </c>
      <c r="P90" t="s">
        <v>18</v>
      </c>
      <c r="Q90">
        <v>2</v>
      </c>
      <c r="R90">
        <v>0</v>
      </c>
      <c r="S90" t="s">
        <v>21</v>
      </c>
      <c r="T90">
        <v>1</v>
      </c>
      <c r="U90">
        <v>0</v>
      </c>
    </row>
    <row r="91" spans="1:21" x14ac:dyDescent="0.25">
      <c r="A91">
        <v>9942269</v>
      </c>
      <c r="B91" t="s">
        <v>15</v>
      </c>
      <c r="C91" s="1">
        <v>43271</v>
      </c>
      <c r="D91" s="2">
        <f>YEAR(C91)</f>
        <v>2018</v>
      </c>
      <c r="E91">
        <v>239500</v>
      </c>
      <c r="F91" t="s">
        <v>16</v>
      </c>
      <c r="G91">
        <v>1998</v>
      </c>
      <c r="H91">
        <v>7400</v>
      </c>
      <c r="I91" t="s">
        <v>69</v>
      </c>
      <c r="J91">
        <v>76</v>
      </c>
      <c r="K91">
        <v>60076</v>
      </c>
      <c r="L91">
        <v>1400</v>
      </c>
      <c r="M91">
        <v>4</v>
      </c>
      <c r="N91">
        <v>2</v>
      </c>
      <c r="O91">
        <v>0</v>
      </c>
      <c r="P91" t="s">
        <v>18</v>
      </c>
      <c r="Q91">
        <v>2</v>
      </c>
      <c r="R91">
        <v>0</v>
      </c>
      <c r="S91" t="s">
        <v>21</v>
      </c>
      <c r="T91">
        <v>1</v>
      </c>
      <c r="U91">
        <v>0</v>
      </c>
    </row>
    <row r="92" spans="1:21" x14ac:dyDescent="0.25">
      <c r="A92">
        <v>9846601</v>
      </c>
      <c r="B92" t="s">
        <v>15</v>
      </c>
      <c r="C92" s="1">
        <v>43181</v>
      </c>
      <c r="D92" s="2">
        <f>YEAR(C92)</f>
        <v>2018</v>
      </c>
      <c r="E92">
        <v>190000</v>
      </c>
      <c r="F92" t="s">
        <v>16</v>
      </c>
      <c r="G92">
        <v>1998</v>
      </c>
      <c r="H92">
        <v>7400</v>
      </c>
      <c r="I92" t="s">
        <v>69</v>
      </c>
      <c r="J92">
        <v>76</v>
      </c>
      <c r="K92">
        <v>60076</v>
      </c>
      <c r="L92">
        <v>1100</v>
      </c>
      <c r="M92">
        <v>5</v>
      </c>
      <c r="N92">
        <v>1</v>
      </c>
      <c r="O92">
        <v>1</v>
      </c>
      <c r="P92" t="s">
        <v>18</v>
      </c>
      <c r="Q92">
        <v>2</v>
      </c>
      <c r="R92">
        <v>0</v>
      </c>
      <c r="S92" t="s">
        <v>21</v>
      </c>
      <c r="T92">
        <v>1</v>
      </c>
      <c r="U92">
        <v>0</v>
      </c>
    </row>
    <row r="93" spans="1:21" x14ac:dyDescent="0.25">
      <c r="A93">
        <v>9400648</v>
      </c>
      <c r="B93" t="s">
        <v>15</v>
      </c>
      <c r="C93" s="1">
        <v>42832</v>
      </c>
      <c r="D93" s="2">
        <f>YEAR(C93)</f>
        <v>2017</v>
      </c>
      <c r="E93">
        <v>300000</v>
      </c>
      <c r="F93" t="s">
        <v>16</v>
      </c>
      <c r="G93">
        <v>1999</v>
      </c>
      <c r="H93">
        <v>5005</v>
      </c>
      <c r="I93" t="s">
        <v>73</v>
      </c>
      <c r="J93">
        <v>76</v>
      </c>
      <c r="K93">
        <v>60077</v>
      </c>
      <c r="L93">
        <v>1800</v>
      </c>
      <c r="M93">
        <v>6</v>
      </c>
      <c r="N93">
        <v>2</v>
      </c>
      <c r="O93">
        <v>0</v>
      </c>
      <c r="P93" t="s">
        <v>18</v>
      </c>
      <c r="Q93">
        <v>3</v>
      </c>
      <c r="R93">
        <v>0</v>
      </c>
      <c r="S93" t="s">
        <v>21</v>
      </c>
      <c r="T93">
        <v>2</v>
      </c>
      <c r="U93">
        <v>0</v>
      </c>
    </row>
    <row r="94" spans="1:21" x14ac:dyDescent="0.25">
      <c r="A94">
        <v>9981756</v>
      </c>
      <c r="B94" t="s">
        <v>15</v>
      </c>
      <c r="C94" s="1">
        <v>43325</v>
      </c>
      <c r="D94" s="2">
        <f>YEAR(C94)</f>
        <v>2018</v>
      </c>
      <c r="E94">
        <v>250000</v>
      </c>
      <c r="F94" t="s">
        <v>16</v>
      </c>
      <c r="G94">
        <v>2000</v>
      </c>
      <c r="H94">
        <v>7450</v>
      </c>
      <c r="I94" t="s">
        <v>69</v>
      </c>
      <c r="J94">
        <v>76</v>
      </c>
      <c r="K94">
        <v>60076</v>
      </c>
      <c r="L94">
        <v>1456</v>
      </c>
      <c r="M94">
        <v>5</v>
      </c>
      <c r="N94">
        <v>2</v>
      </c>
      <c r="O94">
        <v>0</v>
      </c>
      <c r="P94" t="s">
        <v>18</v>
      </c>
      <c r="Q94">
        <v>2</v>
      </c>
      <c r="R94">
        <v>0</v>
      </c>
      <c r="S94" t="s">
        <v>21</v>
      </c>
      <c r="T94">
        <v>1</v>
      </c>
      <c r="U94">
        <v>0</v>
      </c>
    </row>
    <row r="95" spans="1:21" x14ac:dyDescent="0.25">
      <c r="A95">
        <v>9915063</v>
      </c>
      <c r="B95" t="s">
        <v>15</v>
      </c>
      <c r="C95" s="1">
        <v>43255</v>
      </c>
      <c r="D95" s="2">
        <f>YEAR(C95)</f>
        <v>2018</v>
      </c>
      <c r="E95">
        <v>217500</v>
      </c>
      <c r="F95" t="s">
        <v>16</v>
      </c>
      <c r="G95">
        <v>2000</v>
      </c>
      <c r="H95">
        <v>7450</v>
      </c>
      <c r="I95" t="s">
        <v>69</v>
      </c>
      <c r="J95">
        <v>76</v>
      </c>
      <c r="K95">
        <v>60076</v>
      </c>
      <c r="L95">
        <v>1400</v>
      </c>
      <c r="M95">
        <v>5</v>
      </c>
      <c r="N95">
        <v>2</v>
      </c>
      <c r="O95">
        <v>0</v>
      </c>
      <c r="P95" t="s">
        <v>18</v>
      </c>
      <c r="Q95">
        <v>2</v>
      </c>
      <c r="R95">
        <v>0</v>
      </c>
      <c r="S95" t="s">
        <v>21</v>
      </c>
      <c r="T95">
        <v>1</v>
      </c>
      <c r="U95">
        <v>0</v>
      </c>
    </row>
    <row r="96" spans="1:21" x14ac:dyDescent="0.25">
      <c r="A96">
        <v>9750364</v>
      </c>
      <c r="B96" t="s">
        <v>15</v>
      </c>
      <c r="C96" s="1">
        <v>43066</v>
      </c>
      <c r="D96" s="2">
        <f>YEAR(C96)</f>
        <v>2017</v>
      </c>
      <c r="E96">
        <v>227000</v>
      </c>
      <c r="F96" t="s">
        <v>16</v>
      </c>
      <c r="G96">
        <v>2000</v>
      </c>
      <c r="H96">
        <v>7450</v>
      </c>
      <c r="I96" t="s">
        <v>69</v>
      </c>
      <c r="J96">
        <v>76</v>
      </c>
      <c r="K96">
        <v>60076</v>
      </c>
      <c r="L96">
        <v>1400</v>
      </c>
      <c r="M96">
        <v>5</v>
      </c>
      <c r="N96">
        <v>2</v>
      </c>
      <c r="O96">
        <v>0</v>
      </c>
      <c r="P96" t="s">
        <v>18</v>
      </c>
      <c r="Q96">
        <v>2</v>
      </c>
      <c r="R96">
        <v>0</v>
      </c>
      <c r="S96" t="s">
        <v>21</v>
      </c>
      <c r="T96">
        <v>1</v>
      </c>
      <c r="U96">
        <v>0</v>
      </c>
    </row>
    <row r="97" spans="1:21" x14ac:dyDescent="0.25">
      <c r="A97">
        <v>9918198</v>
      </c>
      <c r="B97" t="s">
        <v>15</v>
      </c>
      <c r="C97" s="1">
        <v>43249</v>
      </c>
      <c r="D97" s="2">
        <f>YEAR(C97)</f>
        <v>2018</v>
      </c>
      <c r="E97">
        <v>220000</v>
      </c>
      <c r="F97" t="s">
        <v>16</v>
      </c>
      <c r="G97">
        <v>2000</v>
      </c>
      <c r="H97">
        <v>7450</v>
      </c>
      <c r="I97" t="s">
        <v>69</v>
      </c>
      <c r="J97">
        <v>76</v>
      </c>
      <c r="K97">
        <v>60076</v>
      </c>
      <c r="L97">
        <v>1400</v>
      </c>
      <c r="M97">
        <v>5</v>
      </c>
      <c r="N97">
        <v>2</v>
      </c>
      <c r="O97">
        <v>0</v>
      </c>
      <c r="P97" t="s">
        <v>18</v>
      </c>
      <c r="Q97">
        <v>2</v>
      </c>
      <c r="R97">
        <v>0</v>
      </c>
      <c r="S97" t="s">
        <v>21</v>
      </c>
      <c r="T97">
        <v>1</v>
      </c>
      <c r="U97">
        <v>0</v>
      </c>
    </row>
    <row r="98" spans="1:21" x14ac:dyDescent="0.25">
      <c r="A98">
        <v>10026782</v>
      </c>
      <c r="B98" t="s">
        <v>15</v>
      </c>
      <c r="C98" s="1">
        <v>43355</v>
      </c>
      <c r="D98" s="2">
        <f>YEAR(C98)</f>
        <v>2018</v>
      </c>
      <c r="E98">
        <v>255000</v>
      </c>
      <c r="F98" t="s">
        <v>16</v>
      </c>
      <c r="G98">
        <v>2000</v>
      </c>
      <c r="H98">
        <v>7450</v>
      </c>
      <c r="I98" t="s">
        <v>70</v>
      </c>
      <c r="J98">
        <v>76</v>
      </c>
      <c r="K98">
        <v>60076</v>
      </c>
      <c r="L98">
        <v>1400</v>
      </c>
      <c r="M98">
        <v>5</v>
      </c>
      <c r="N98">
        <v>2</v>
      </c>
      <c r="O98">
        <v>0</v>
      </c>
      <c r="P98" t="s">
        <v>18</v>
      </c>
      <c r="Q98">
        <v>2</v>
      </c>
      <c r="R98">
        <v>0</v>
      </c>
      <c r="S98" t="s">
        <v>21</v>
      </c>
      <c r="T98">
        <v>1</v>
      </c>
      <c r="U98">
        <v>0</v>
      </c>
    </row>
    <row r="99" spans="1:21" x14ac:dyDescent="0.25">
      <c r="A99">
        <v>10080740</v>
      </c>
      <c r="B99" t="s">
        <v>15</v>
      </c>
      <c r="C99" s="1">
        <v>43423</v>
      </c>
      <c r="D99" s="2">
        <f>YEAR(C99)</f>
        <v>2018</v>
      </c>
      <c r="E99">
        <v>155000</v>
      </c>
      <c r="F99" t="s">
        <v>16</v>
      </c>
      <c r="G99">
        <v>2000</v>
      </c>
      <c r="H99">
        <v>7450</v>
      </c>
      <c r="I99" t="s">
        <v>69</v>
      </c>
      <c r="J99">
        <v>76</v>
      </c>
      <c r="K99">
        <v>60076</v>
      </c>
      <c r="L99">
        <v>972</v>
      </c>
      <c r="M99">
        <v>4</v>
      </c>
      <c r="N99">
        <v>1</v>
      </c>
      <c r="O99">
        <v>0</v>
      </c>
      <c r="P99" t="s">
        <v>18</v>
      </c>
      <c r="Q99">
        <v>1</v>
      </c>
      <c r="R99">
        <v>0</v>
      </c>
      <c r="S99" t="s">
        <v>21</v>
      </c>
      <c r="T99">
        <v>1</v>
      </c>
      <c r="U99">
        <v>0</v>
      </c>
    </row>
    <row r="100" spans="1:21" x14ac:dyDescent="0.25">
      <c r="A100">
        <v>9476656</v>
      </c>
      <c r="B100" t="s">
        <v>15</v>
      </c>
      <c r="C100" s="1">
        <v>42804</v>
      </c>
      <c r="D100" s="2">
        <f>YEAR(C100)</f>
        <v>2017</v>
      </c>
      <c r="E100">
        <v>215000</v>
      </c>
      <c r="F100" t="s">
        <v>16</v>
      </c>
      <c r="G100">
        <v>2001</v>
      </c>
      <c r="H100">
        <v>5055</v>
      </c>
      <c r="I100" t="s">
        <v>55</v>
      </c>
      <c r="J100">
        <v>76</v>
      </c>
      <c r="K100">
        <v>60077</v>
      </c>
      <c r="L100">
        <v>1248</v>
      </c>
      <c r="M100">
        <v>5</v>
      </c>
      <c r="N100">
        <v>2</v>
      </c>
      <c r="O100">
        <v>0</v>
      </c>
      <c r="P100" t="s">
        <v>18</v>
      </c>
      <c r="Q100">
        <v>2</v>
      </c>
      <c r="R100">
        <v>0</v>
      </c>
      <c r="S100" t="s">
        <v>21</v>
      </c>
      <c r="T100">
        <v>1</v>
      </c>
      <c r="U100">
        <v>0</v>
      </c>
    </row>
    <row r="101" spans="1:21" x14ac:dyDescent="0.25">
      <c r="A101">
        <v>9782899</v>
      </c>
      <c r="B101" t="s">
        <v>15</v>
      </c>
      <c r="C101" s="1">
        <v>43167</v>
      </c>
      <c r="D101" s="2">
        <f>YEAR(C101)</f>
        <v>2018</v>
      </c>
      <c r="E101">
        <v>245000</v>
      </c>
      <c r="F101" t="s">
        <v>16</v>
      </c>
      <c r="G101">
        <v>2002</v>
      </c>
      <c r="H101">
        <v>5055</v>
      </c>
      <c r="I101" t="s">
        <v>74</v>
      </c>
      <c r="J101">
        <v>76</v>
      </c>
      <c r="K101">
        <v>60077</v>
      </c>
      <c r="L101">
        <v>1597</v>
      </c>
      <c r="M101">
        <v>5</v>
      </c>
      <c r="N101">
        <v>2</v>
      </c>
      <c r="O101">
        <v>0</v>
      </c>
      <c r="P101" t="s">
        <v>18</v>
      </c>
      <c r="Q101">
        <v>2</v>
      </c>
      <c r="R101">
        <v>0</v>
      </c>
      <c r="S101" t="s">
        <v>21</v>
      </c>
      <c r="T101">
        <v>1</v>
      </c>
      <c r="U101">
        <v>0</v>
      </c>
    </row>
    <row r="102" spans="1:21" x14ac:dyDescent="0.25">
      <c r="A102">
        <v>9377598</v>
      </c>
      <c r="B102" t="s">
        <v>15</v>
      </c>
      <c r="C102" s="1">
        <v>42836</v>
      </c>
      <c r="D102" s="2">
        <f>YEAR(C102)</f>
        <v>2017</v>
      </c>
      <c r="E102">
        <v>172000</v>
      </c>
      <c r="F102" t="s">
        <v>16</v>
      </c>
      <c r="G102">
        <v>2002</v>
      </c>
      <c r="H102">
        <v>7450</v>
      </c>
      <c r="I102" t="s">
        <v>69</v>
      </c>
      <c r="J102">
        <v>76</v>
      </c>
      <c r="K102">
        <v>60076</v>
      </c>
      <c r="L102">
        <v>972</v>
      </c>
      <c r="M102">
        <v>4</v>
      </c>
      <c r="N102">
        <v>1</v>
      </c>
      <c r="O102">
        <v>0</v>
      </c>
      <c r="P102" t="s">
        <v>18</v>
      </c>
      <c r="Q102">
        <v>1</v>
      </c>
      <c r="R102">
        <v>0</v>
      </c>
      <c r="S102" t="s">
        <v>21</v>
      </c>
      <c r="T102">
        <v>1</v>
      </c>
      <c r="U102">
        <v>0</v>
      </c>
    </row>
    <row r="103" spans="1:21" x14ac:dyDescent="0.25">
      <c r="A103">
        <v>9769798</v>
      </c>
      <c r="B103" t="s">
        <v>15</v>
      </c>
      <c r="C103" s="1">
        <v>43262</v>
      </c>
      <c r="D103" s="2">
        <f>YEAR(C103)</f>
        <v>2018</v>
      </c>
      <c r="E103">
        <v>230000</v>
      </c>
      <c r="F103" t="s">
        <v>16</v>
      </c>
      <c r="G103">
        <v>2004</v>
      </c>
      <c r="H103">
        <v>8000</v>
      </c>
      <c r="I103" t="s">
        <v>30</v>
      </c>
      <c r="J103">
        <v>76</v>
      </c>
      <c r="K103">
        <v>60076</v>
      </c>
      <c r="L103">
        <v>1500</v>
      </c>
      <c r="M103">
        <v>5</v>
      </c>
      <c r="N103">
        <v>2</v>
      </c>
      <c r="O103">
        <v>0</v>
      </c>
      <c r="P103" t="s">
        <v>18</v>
      </c>
      <c r="Q103">
        <v>2</v>
      </c>
      <c r="R103">
        <v>0</v>
      </c>
      <c r="S103" t="s">
        <v>21</v>
      </c>
      <c r="T103">
        <v>1</v>
      </c>
      <c r="U103">
        <v>0</v>
      </c>
    </row>
    <row r="104" spans="1:21" x14ac:dyDescent="0.25">
      <c r="A104">
        <v>9627975</v>
      </c>
      <c r="B104" t="s">
        <v>15</v>
      </c>
      <c r="C104" s="1">
        <v>42930</v>
      </c>
      <c r="D104" s="2">
        <f>YEAR(C104)</f>
        <v>2017</v>
      </c>
      <c r="E104">
        <v>267000</v>
      </c>
      <c r="F104" t="s">
        <v>16</v>
      </c>
      <c r="G104">
        <v>2004</v>
      </c>
      <c r="H104">
        <v>5105</v>
      </c>
      <c r="I104" t="s">
        <v>55</v>
      </c>
      <c r="J104">
        <v>76</v>
      </c>
      <c r="K104">
        <v>60077</v>
      </c>
      <c r="L104">
        <v>1500</v>
      </c>
      <c r="M104">
        <v>5</v>
      </c>
      <c r="N104">
        <v>2</v>
      </c>
      <c r="O104">
        <v>0</v>
      </c>
      <c r="P104" t="s">
        <v>18</v>
      </c>
      <c r="Q104">
        <v>2</v>
      </c>
      <c r="R104">
        <v>0</v>
      </c>
      <c r="S104" t="s">
        <v>21</v>
      </c>
      <c r="T104">
        <v>2</v>
      </c>
      <c r="U104">
        <v>0</v>
      </c>
    </row>
    <row r="105" spans="1:21" x14ac:dyDescent="0.25">
      <c r="A105">
        <v>9665984</v>
      </c>
      <c r="B105" t="s">
        <v>15</v>
      </c>
      <c r="C105" s="1">
        <v>42977</v>
      </c>
      <c r="D105" s="2">
        <f>YEAR(C105)</f>
        <v>2017</v>
      </c>
      <c r="E105">
        <v>242500</v>
      </c>
      <c r="F105" t="s">
        <v>16</v>
      </c>
      <c r="G105">
        <v>2004</v>
      </c>
      <c r="H105">
        <v>5105</v>
      </c>
      <c r="I105" t="s">
        <v>55</v>
      </c>
      <c r="J105">
        <v>76</v>
      </c>
      <c r="K105">
        <v>60077</v>
      </c>
      <c r="L105">
        <v>1349</v>
      </c>
      <c r="M105">
        <v>5</v>
      </c>
      <c r="N105">
        <v>2</v>
      </c>
      <c r="O105">
        <v>0</v>
      </c>
      <c r="P105" t="s">
        <v>18</v>
      </c>
      <c r="Q105">
        <v>2</v>
      </c>
      <c r="R105">
        <v>0</v>
      </c>
      <c r="S105" t="s">
        <v>21</v>
      </c>
      <c r="T105">
        <v>1</v>
      </c>
      <c r="U105">
        <v>0</v>
      </c>
    </row>
    <row r="106" spans="1:21" x14ac:dyDescent="0.25">
      <c r="A106">
        <v>9660760</v>
      </c>
      <c r="B106" t="s">
        <v>15</v>
      </c>
      <c r="C106" s="1">
        <v>42958</v>
      </c>
      <c r="D106" s="2">
        <f>YEAR(C106)</f>
        <v>2017</v>
      </c>
      <c r="E106">
        <v>230000</v>
      </c>
      <c r="F106" t="s">
        <v>16</v>
      </c>
      <c r="G106">
        <v>2004</v>
      </c>
      <c r="H106">
        <v>5105</v>
      </c>
      <c r="I106" t="s">
        <v>55</v>
      </c>
      <c r="J106">
        <v>76</v>
      </c>
      <c r="K106">
        <v>60077</v>
      </c>
      <c r="L106">
        <v>1327</v>
      </c>
      <c r="M106">
        <v>5</v>
      </c>
      <c r="N106">
        <v>1</v>
      </c>
      <c r="O106">
        <v>0</v>
      </c>
      <c r="P106" t="s">
        <v>18</v>
      </c>
      <c r="Q106">
        <v>2</v>
      </c>
      <c r="R106">
        <v>0</v>
      </c>
      <c r="S106" t="s">
        <v>21</v>
      </c>
      <c r="T106">
        <v>1</v>
      </c>
      <c r="U106">
        <v>0</v>
      </c>
    </row>
    <row r="107" spans="1:21" x14ac:dyDescent="0.25">
      <c r="A107">
        <v>9472690</v>
      </c>
      <c r="B107" t="s">
        <v>15</v>
      </c>
      <c r="C107" s="1">
        <v>42907</v>
      </c>
      <c r="D107" s="2">
        <f>YEAR(C107)</f>
        <v>2017</v>
      </c>
      <c r="E107">
        <v>188000</v>
      </c>
      <c r="F107" t="s">
        <v>16</v>
      </c>
      <c r="G107">
        <v>2004</v>
      </c>
      <c r="H107">
        <v>5105</v>
      </c>
      <c r="I107" t="s">
        <v>74</v>
      </c>
      <c r="J107">
        <v>76</v>
      </c>
      <c r="K107">
        <v>60077</v>
      </c>
      <c r="L107">
        <v>1236</v>
      </c>
      <c r="M107">
        <v>5</v>
      </c>
      <c r="N107">
        <v>1</v>
      </c>
      <c r="O107">
        <v>0</v>
      </c>
      <c r="P107" t="s">
        <v>18</v>
      </c>
      <c r="Q107">
        <v>2</v>
      </c>
      <c r="R107">
        <v>0</v>
      </c>
      <c r="S107" t="s">
        <v>21</v>
      </c>
      <c r="T107">
        <v>1</v>
      </c>
      <c r="U107">
        <v>0</v>
      </c>
    </row>
    <row r="108" spans="1:21" x14ac:dyDescent="0.25">
      <c r="A108">
        <v>9812451</v>
      </c>
      <c r="B108" t="s">
        <v>15</v>
      </c>
      <c r="C108" s="1">
        <v>43124</v>
      </c>
      <c r="D108" s="2">
        <f>YEAR(C108)</f>
        <v>2018</v>
      </c>
      <c r="E108">
        <v>342500</v>
      </c>
      <c r="F108" t="s">
        <v>16</v>
      </c>
      <c r="G108">
        <v>2005</v>
      </c>
      <c r="H108">
        <v>5155</v>
      </c>
      <c r="I108" t="s">
        <v>55</v>
      </c>
      <c r="J108">
        <v>76</v>
      </c>
      <c r="K108">
        <v>60077</v>
      </c>
      <c r="L108">
        <v>2010</v>
      </c>
      <c r="M108">
        <v>6</v>
      </c>
      <c r="N108">
        <v>2</v>
      </c>
      <c r="O108">
        <v>0</v>
      </c>
      <c r="P108" t="s">
        <v>18</v>
      </c>
      <c r="Q108">
        <v>3</v>
      </c>
      <c r="R108">
        <v>0</v>
      </c>
      <c r="S108" t="s">
        <v>21</v>
      </c>
      <c r="T108">
        <v>2</v>
      </c>
      <c r="U108">
        <v>0</v>
      </c>
    </row>
    <row r="109" spans="1:21" x14ac:dyDescent="0.25">
      <c r="A109">
        <v>9693746</v>
      </c>
      <c r="B109" t="s">
        <v>15</v>
      </c>
      <c r="C109" s="1">
        <v>43012</v>
      </c>
      <c r="D109" s="2">
        <f>YEAR(C109)</f>
        <v>2017</v>
      </c>
      <c r="E109">
        <v>325000</v>
      </c>
      <c r="F109" t="s">
        <v>16</v>
      </c>
      <c r="G109">
        <v>2005</v>
      </c>
      <c r="H109">
        <v>5155</v>
      </c>
      <c r="I109" t="s">
        <v>55</v>
      </c>
      <c r="J109">
        <v>76</v>
      </c>
      <c r="K109">
        <v>60077</v>
      </c>
      <c r="L109">
        <v>1899</v>
      </c>
      <c r="M109">
        <v>5</v>
      </c>
      <c r="N109">
        <v>2</v>
      </c>
      <c r="O109">
        <v>0</v>
      </c>
      <c r="P109" t="s">
        <v>18</v>
      </c>
      <c r="Q109">
        <v>2</v>
      </c>
      <c r="R109">
        <v>0</v>
      </c>
      <c r="S109" t="s">
        <v>21</v>
      </c>
      <c r="T109">
        <v>2</v>
      </c>
      <c r="U109">
        <v>0</v>
      </c>
    </row>
    <row r="110" spans="1:21" x14ac:dyDescent="0.25">
      <c r="A110">
        <v>10047528</v>
      </c>
      <c r="B110" t="s">
        <v>15</v>
      </c>
      <c r="C110" s="1">
        <v>43336</v>
      </c>
      <c r="D110" s="2">
        <f>YEAR(C110)</f>
        <v>2018</v>
      </c>
      <c r="E110">
        <v>260000</v>
      </c>
      <c r="F110" t="s">
        <v>16</v>
      </c>
      <c r="G110">
        <v>2005</v>
      </c>
      <c r="H110">
        <v>4953</v>
      </c>
      <c r="I110" t="s">
        <v>66</v>
      </c>
      <c r="J110">
        <v>76</v>
      </c>
      <c r="K110">
        <v>60077</v>
      </c>
      <c r="L110">
        <v>1610</v>
      </c>
      <c r="M110">
        <v>6</v>
      </c>
      <c r="N110">
        <v>2</v>
      </c>
      <c r="O110">
        <v>0</v>
      </c>
      <c r="P110" t="s">
        <v>18</v>
      </c>
      <c r="Q110">
        <v>2</v>
      </c>
      <c r="R110">
        <v>0</v>
      </c>
      <c r="S110" t="s">
        <v>21</v>
      </c>
      <c r="T110">
        <v>1</v>
      </c>
      <c r="U110">
        <v>0</v>
      </c>
    </row>
    <row r="111" spans="1:21" x14ac:dyDescent="0.25">
      <c r="A111">
        <v>9956591</v>
      </c>
      <c r="B111" t="s">
        <v>15</v>
      </c>
      <c r="C111" s="1">
        <v>43266</v>
      </c>
      <c r="D111" s="2">
        <f>YEAR(C111)</f>
        <v>2018</v>
      </c>
      <c r="E111">
        <v>295000</v>
      </c>
      <c r="F111" t="s">
        <v>16</v>
      </c>
      <c r="G111">
        <v>2005</v>
      </c>
      <c r="H111">
        <v>5155</v>
      </c>
      <c r="I111" t="s">
        <v>55</v>
      </c>
      <c r="J111">
        <v>76</v>
      </c>
      <c r="K111">
        <v>60077</v>
      </c>
      <c r="L111">
        <v>1597</v>
      </c>
      <c r="M111">
        <v>5</v>
      </c>
      <c r="N111">
        <v>2</v>
      </c>
      <c r="O111">
        <v>0</v>
      </c>
      <c r="P111" t="s">
        <v>18</v>
      </c>
      <c r="Q111">
        <v>2</v>
      </c>
      <c r="R111">
        <v>0</v>
      </c>
      <c r="S111" t="s">
        <v>21</v>
      </c>
      <c r="T111">
        <v>1</v>
      </c>
      <c r="U111">
        <v>0</v>
      </c>
    </row>
    <row r="112" spans="1:21" x14ac:dyDescent="0.25">
      <c r="A112">
        <v>9830196</v>
      </c>
      <c r="B112" t="s">
        <v>15</v>
      </c>
      <c r="C112" s="1">
        <v>43166</v>
      </c>
      <c r="D112" s="2">
        <f>YEAR(C112)</f>
        <v>2018</v>
      </c>
      <c r="E112">
        <v>240000</v>
      </c>
      <c r="F112" t="s">
        <v>16</v>
      </c>
      <c r="G112">
        <v>2005</v>
      </c>
      <c r="H112">
        <v>8000</v>
      </c>
      <c r="I112" t="s">
        <v>75</v>
      </c>
      <c r="J112">
        <v>76</v>
      </c>
      <c r="K112">
        <v>60076</v>
      </c>
      <c r="L112">
        <v>1500</v>
      </c>
      <c r="M112">
        <v>5</v>
      </c>
      <c r="N112">
        <v>2</v>
      </c>
      <c r="O112">
        <v>0</v>
      </c>
      <c r="P112" t="s">
        <v>18</v>
      </c>
      <c r="Q112">
        <v>2</v>
      </c>
      <c r="R112">
        <v>0</v>
      </c>
      <c r="S112" t="s">
        <v>21</v>
      </c>
      <c r="T112">
        <v>2</v>
      </c>
      <c r="U112">
        <v>0</v>
      </c>
    </row>
    <row r="113" spans="1:21" x14ac:dyDescent="0.25">
      <c r="A113">
        <v>9918867</v>
      </c>
      <c r="B113" t="s">
        <v>15</v>
      </c>
      <c r="C113" s="1">
        <v>43249</v>
      </c>
      <c r="D113" s="2">
        <f>YEAR(C113)</f>
        <v>2018</v>
      </c>
      <c r="E113">
        <v>240000</v>
      </c>
      <c r="F113" t="s">
        <v>16</v>
      </c>
      <c r="G113">
        <v>2005</v>
      </c>
      <c r="H113">
        <v>8000</v>
      </c>
      <c r="I113" t="s">
        <v>30</v>
      </c>
      <c r="J113">
        <v>76</v>
      </c>
      <c r="K113">
        <v>60076</v>
      </c>
      <c r="L113">
        <v>1375</v>
      </c>
      <c r="M113">
        <v>5</v>
      </c>
      <c r="N113">
        <v>2</v>
      </c>
      <c r="O113">
        <v>0</v>
      </c>
      <c r="P113" t="s">
        <v>18</v>
      </c>
      <c r="Q113">
        <v>2</v>
      </c>
      <c r="R113">
        <v>0</v>
      </c>
      <c r="S113" t="s">
        <v>21</v>
      </c>
      <c r="T113">
        <v>1</v>
      </c>
      <c r="U113">
        <v>0</v>
      </c>
    </row>
    <row r="114" spans="1:21" x14ac:dyDescent="0.25">
      <c r="A114">
        <v>10008374</v>
      </c>
      <c r="B114" t="s">
        <v>15</v>
      </c>
      <c r="C114" s="1">
        <v>43405</v>
      </c>
      <c r="D114" s="2">
        <f>YEAR(C114)</f>
        <v>2018</v>
      </c>
      <c r="E114">
        <v>277500</v>
      </c>
      <c r="F114" t="s">
        <v>16</v>
      </c>
      <c r="G114">
        <v>2005</v>
      </c>
      <c r="H114">
        <v>5155</v>
      </c>
      <c r="I114" t="s">
        <v>55</v>
      </c>
      <c r="J114">
        <v>76</v>
      </c>
      <c r="K114">
        <v>60077</v>
      </c>
      <c r="L114">
        <v>1300</v>
      </c>
      <c r="M114">
        <v>5</v>
      </c>
      <c r="N114">
        <v>2</v>
      </c>
      <c r="O114">
        <v>0</v>
      </c>
      <c r="P114" t="s">
        <v>18</v>
      </c>
      <c r="Q114">
        <v>2</v>
      </c>
      <c r="R114">
        <v>0</v>
      </c>
      <c r="S114" t="s">
        <v>21</v>
      </c>
      <c r="T114">
        <v>2</v>
      </c>
      <c r="U114">
        <v>0</v>
      </c>
    </row>
    <row r="115" spans="1:21" x14ac:dyDescent="0.25">
      <c r="A115">
        <v>9722504</v>
      </c>
      <c r="B115" t="s">
        <v>15</v>
      </c>
      <c r="C115" s="1">
        <v>43125</v>
      </c>
      <c r="D115" s="2">
        <f>YEAR(C115)</f>
        <v>2018</v>
      </c>
      <c r="E115">
        <v>202000</v>
      </c>
      <c r="F115" t="s">
        <v>16</v>
      </c>
      <c r="G115">
        <v>2005</v>
      </c>
      <c r="H115">
        <v>5040</v>
      </c>
      <c r="I115" t="s">
        <v>76</v>
      </c>
      <c r="J115">
        <v>76</v>
      </c>
      <c r="K115">
        <v>60077</v>
      </c>
      <c r="L115">
        <v>1300</v>
      </c>
      <c r="M115">
        <v>5</v>
      </c>
      <c r="N115">
        <v>2</v>
      </c>
      <c r="O115">
        <v>0</v>
      </c>
      <c r="P115" t="s">
        <v>18</v>
      </c>
      <c r="Q115">
        <v>2</v>
      </c>
      <c r="R115">
        <v>0</v>
      </c>
      <c r="S115" t="s">
        <v>21</v>
      </c>
      <c r="T115">
        <v>1</v>
      </c>
      <c r="U115">
        <v>0</v>
      </c>
    </row>
    <row r="116" spans="1:21" x14ac:dyDescent="0.25">
      <c r="A116">
        <v>10022660</v>
      </c>
      <c r="B116" t="s">
        <v>15</v>
      </c>
      <c r="C116" s="1">
        <v>43398</v>
      </c>
      <c r="D116" s="2">
        <f>YEAR(C116)</f>
        <v>2018</v>
      </c>
      <c r="E116">
        <v>245000</v>
      </c>
      <c r="F116" t="s">
        <v>16</v>
      </c>
      <c r="G116">
        <v>2005</v>
      </c>
      <c r="H116">
        <v>5155</v>
      </c>
      <c r="I116" t="s">
        <v>55</v>
      </c>
      <c r="J116">
        <v>76</v>
      </c>
      <c r="K116">
        <v>60077</v>
      </c>
      <c r="L116">
        <v>1248</v>
      </c>
      <c r="M116">
        <v>5</v>
      </c>
      <c r="N116">
        <v>2</v>
      </c>
      <c r="O116">
        <v>0</v>
      </c>
      <c r="P116" t="s">
        <v>18</v>
      </c>
      <c r="Q116">
        <v>2</v>
      </c>
      <c r="R116">
        <v>0</v>
      </c>
      <c r="S116" t="s">
        <v>21</v>
      </c>
      <c r="T116">
        <v>1</v>
      </c>
      <c r="U116">
        <v>0</v>
      </c>
    </row>
    <row r="117" spans="1:21" x14ac:dyDescent="0.25">
      <c r="A117">
        <v>9848175</v>
      </c>
      <c r="B117" t="s">
        <v>15</v>
      </c>
      <c r="C117" s="1">
        <v>43195</v>
      </c>
      <c r="D117" s="2">
        <f>YEAR(C117)</f>
        <v>2018</v>
      </c>
      <c r="E117">
        <v>212500</v>
      </c>
      <c r="F117" t="s">
        <v>16</v>
      </c>
      <c r="G117">
        <v>2005</v>
      </c>
      <c r="H117">
        <v>5155</v>
      </c>
      <c r="I117" t="s">
        <v>55</v>
      </c>
      <c r="J117">
        <v>76</v>
      </c>
      <c r="K117">
        <v>60077</v>
      </c>
      <c r="L117">
        <v>1198</v>
      </c>
      <c r="M117">
        <v>5</v>
      </c>
      <c r="N117">
        <v>1</v>
      </c>
      <c r="O117">
        <v>0</v>
      </c>
      <c r="P117" t="s">
        <v>18</v>
      </c>
      <c r="Q117">
        <v>2</v>
      </c>
      <c r="R117">
        <v>0</v>
      </c>
      <c r="S117" t="s">
        <v>21</v>
      </c>
      <c r="T117">
        <v>1</v>
      </c>
      <c r="U117">
        <v>0</v>
      </c>
    </row>
    <row r="118" spans="1:21" x14ac:dyDescent="0.25">
      <c r="A118">
        <v>9806570</v>
      </c>
      <c r="B118" t="s">
        <v>15</v>
      </c>
      <c r="C118" s="1">
        <v>43122</v>
      </c>
      <c r="D118" s="2">
        <f>YEAR(C118)</f>
        <v>2018</v>
      </c>
      <c r="E118">
        <v>710000</v>
      </c>
      <c r="F118" t="s">
        <v>16</v>
      </c>
      <c r="G118">
        <v>2006</v>
      </c>
      <c r="H118">
        <v>9655</v>
      </c>
      <c r="I118" t="s">
        <v>77</v>
      </c>
      <c r="J118">
        <v>76</v>
      </c>
      <c r="K118">
        <v>60077</v>
      </c>
      <c r="L118">
        <v>2943</v>
      </c>
      <c r="M118">
        <v>8</v>
      </c>
      <c r="N118">
        <v>2</v>
      </c>
      <c r="O118">
        <v>1</v>
      </c>
      <c r="P118" t="s">
        <v>18</v>
      </c>
      <c r="Q118">
        <v>3</v>
      </c>
      <c r="R118">
        <v>0</v>
      </c>
      <c r="S118" t="s">
        <v>21</v>
      </c>
      <c r="T118">
        <v>2</v>
      </c>
      <c r="U118">
        <v>0</v>
      </c>
    </row>
    <row r="119" spans="1:21" x14ac:dyDescent="0.25">
      <c r="A119">
        <v>9471795</v>
      </c>
      <c r="B119" t="s">
        <v>15</v>
      </c>
      <c r="C119" s="1">
        <v>42853</v>
      </c>
      <c r="D119" s="2">
        <f>YEAR(C119)</f>
        <v>2017</v>
      </c>
      <c r="E119">
        <v>420000</v>
      </c>
      <c r="F119" t="s">
        <v>16</v>
      </c>
      <c r="G119">
        <v>2006</v>
      </c>
      <c r="H119">
        <v>4953</v>
      </c>
      <c r="I119" t="s">
        <v>66</v>
      </c>
      <c r="J119">
        <v>76</v>
      </c>
      <c r="K119">
        <v>60077</v>
      </c>
      <c r="L119">
        <v>2765</v>
      </c>
      <c r="M119">
        <v>7</v>
      </c>
      <c r="N119">
        <v>2</v>
      </c>
      <c r="O119">
        <v>1</v>
      </c>
      <c r="P119" t="s">
        <v>18</v>
      </c>
      <c r="Q119">
        <v>3</v>
      </c>
      <c r="R119">
        <v>0</v>
      </c>
      <c r="S119" t="s">
        <v>21</v>
      </c>
      <c r="T119">
        <v>2</v>
      </c>
      <c r="U119">
        <v>0</v>
      </c>
    </row>
    <row r="120" spans="1:21" x14ac:dyDescent="0.25">
      <c r="A120">
        <v>10021092</v>
      </c>
      <c r="B120" t="s">
        <v>15</v>
      </c>
      <c r="C120" s="1">
        <v>43462</v>
      </c>
      <c r="D120" s="2">
        <f>YEAR(C120)</f>
        <v>2018</v>
      </c>
      <c r="E120">
        <v>465000</v>
      </c>
      <c r="F120" t="s">
        <v>16</v>
      </c>
      <c r="G120">
        <v>2006</v>
      </c>
      <c r="H120">
        <v>9655</v>
      </c>
      <c r="I120" t="s">
        <v>78</v>
      </c>
      <c r="J120">
        <v>76</v>
      </c>
      <c r="K120">
        <v>60077</v>
      </c>
      <c r="L120">
        <v>2150</v>
      </c>
      <c r="M120">
        <v>8</v>
      </c>
      <c r="N120">
        <v>2</v>
      </c>
      <c r="O120">
        <v>1</v>
      </c>
      <c r="P120" t="s">
        <v>18</v>
      </c>
      <c r="Q120">
        <v>3</v>
      </c>
      <c r="R120">
        <v>0</v>
      </c>
      <c r="S120" t="s">
        <v>21</v>
      </c>
      <c r="T120">
        <v>2</v>
      </c>
      <c r="U120">
        <v>0</v>
      </c>
    </row>
    <row r="121" spans="1:21" x14ac:dyDescent="0.25">
      <c r="A121">
        <v>9602317</v>
      </c>
      <c r="B121" t="s">
        <v>15</v>
      </c>
      <c r="C121" s="1">
        <v>42902</v>
      </c>
      <c r="D121" s="2">
        <f>YEAR(C121)</f>
        <v>2017</v>
      </c>
      <c r="E121">
        <v>395000</v>
      </c>
      <c r="F121" t="s">
        <v>16</v>
      </c>
      <c r="G121">
        <v>2006</v>
      </c>
      <c r="H121">
        <v>9360</v>
      </c>
      <c r="I121" t="s">
        <v>36</v>
      </c>
      <c r="J121">
        <v>76</v>
      </c>
      <c r="K121">
        <v>60077</v>
      </c>
      <c r="L121">
        <v>2120</v>
      </c>
      <c r="M121">
        <v>6</v>
      </c>
      <c r="N121">
        <v>2</v>
      </c>
      <c r="O121">
        <v>0</v>
      </c>
      <c r="P121" t="s">
        <v>18</v>
      </c>
      <c r="Q121">
        <v>2</v>
      </c>
      <c r="R121">
        <v>0</v>
      </c>
      <c r="S121" t="s">
        <v>21</v>
      </c>
      <c r="T121">
        <v>2</v>
      </c>
      <c r="U121">
        <v>0</v>
      </c>
    </row>
    <row r="122" spans="1:21" x14ac:dyDescent="0.25">
      <c r="A122">
        <v>9601069</v>
      </c>
      <c r="B122" t="s">
        <v>15</v>
      </c>
      <c r="C122" s="1">
        <v>42901</v>
      </c>
      <c r="D122" s="2">
        <f>YEAR(C122)</f>
        <v>2017</v>
      </c>
      <c r="E122">
        <v>380000</v>
      </c>
      <c r="F122" t="s">
        <v>16</v>
      </c>
      <c r="G122">
        <v>2006</v>
      </c>
      <c r="H122">
        <v>9350</v>
      </c>
      <c r="I122" t="s">
        <v>36</v>
      </c>
      <c r="J122">
        <v>76</v>
      </c>
      <c r="K122">
        <v>60077</v>
      </c>
      <c r="L122">
        <v>2047</v>
      </c>
      <c r="M122">
        <v>7</v>
      </c>
      <c r="N122">
        <v>2</v>
      </c>
      <c r="O122">
        <v>0</v>
      </c>
      <c r="P122" t="s">
        <v>18</v>
      </c>
      <c r="Q122">
        <v>2</v>
      </c>
      <c r="R122">
        <v>0</v>
      </c>
      <c r="S122" t="s">
        <v>21</v>
      </c>
      <c r="T122">
        <v>2</v>
      </c>
      <c r="U122">
        <v>0</v>
      </c>
    </row>
    <row r="123" spans="1:21" x14ac:dyDescent="0.25">
      <c r="A123">
        <v>9880810</v>
      </c>
      <c r="B123" t="s">
        <v>15</v>
      </c>
      <c r="C123" s="1">
        <v>43276</v>
      </c>
      <c r="D123" s="2">
        <f>YEAR(C123)</f>
        <v>2018</v>
      </c>
      <c r="E123">
        <v>235000</v>
      </c>
      <c r="F123" t="s">
        <v>16</v>
      </c>
      <c r="G123">
        <v>2006</v>
      </c>
      <c r="H123">
        <v>4953</v>
      </c>
      <c r="I123" t="s">
        <v>66</v>
      </c>
      <c r="J123">
        <v>76</v>
      </c>
      <c r="K123">
        <v>60077</v>
      </c>
      <c r="L123">
        <v>1873</v>
      </c>
      <c r="M123">
        <v>6</v>
      </c>
      <c r="N123">
        <v>2</v>
      </c>
      <c r="O123">
        <v>0</v>
      </c>
      <c r="P123" t="s">
        <v>18</v>
      </c>
      <c r="Q123">
        <v>2</v>
      </c>
      <c r="R123">
        <v>0</v>
      </c>
      <c r="S123" t="s">
        <v>21</v>
      </c>
      <c r="T123">
        <v>1</v>
      </c>
      <c r="U123">
        <v>0</v>
      </c>
    </row>
    <row r="124" spans="1:21" x14ac:dyDescent="0.25">
      <c r="A124">
        <v>9744699</v>
      </c>
      <c r="B124" t="s">
        <v>15</v>
      </c>
      <c r="C124" s="1">
        <v>43088</v>
      </c>
      <c r="D124" s="2">
        <f>YEAR(C124)</f>
        <v>2017</v>
      </c>
      <c r="E124">
        <v>420000</v>
      </c>
      <c r="F124" t="s">
        <v>16</v>
      </c>
      <c r="G124">
        <v>2006</v>
      </c>
      <c r="H124">
        <v>9655</v>
      </c>
      <c r="I124" t="s">
        <v>77</v>
      </c>
      <c r="J124">
        <v>76</v>
      </c>
      <c r="K124">
        <v>60077</v>
      </c>
      <c r="L124">
        <v>1800</v>
      </c>
      <c r="M124">
        <v>6</v>
      </c>
      <c r="N124">
        <v>2</v>
      </c>
      <c r="O124">
        <v>0</v>
      </c>
      <c r="P124" t="s">
        <v>18</v>
      </c>
      <c r="Q124">
        <v>3</v>
      </c>
      <c r="R124">
        <v>0</v>
      </c>
      <c r="S124" t="s">
        <v>21</v>
      </c>
      <c r="T124">
        <v>2</v>
      </c>
      <c r="U124">
        <v>0</v>
      </c>
    </row>
    <row r="125" spans="1:21" x14ac:dyDescent="0.25">
      <c r="A125">
        <v>9480942</v>
      </c>
      <c r="B125" t="s">
        <v>15</v>
      </c>
      <c r="C125" s="1">
        <v>42877</v>
      </c>
      <c r="D125" s="2">
        <f>YEAR(C125)</f>
        <v>2017</v>
      </c>
      <c r="E125">
        <v>365000</v>
      </c>
      <c r="F125" t="s">
        <v>16</v>
      </c>
      <c r="G125">
        <v>2006</v>
      </c>
      <c r="H125">
        <v>9715</v>
      </c>
      <c r="I125" t="s">
        <v>78</v>
      </c>
      <c r="J125">
        <v>76</v>
      </c>
      <c r="K125">
        <v>60077</v>
      </c>
      <c r="L125">
        <v>1793</v>
      </c>
      <c r="M125">
        <v>5</v>
      </c>
      <c r="N125">
        <v>2</v>
      </c>
      <c r="O125">
        <v>0</v>
      </c>
      <c r="P125" t="s">
        <v>18</v>
      </c>
      <c r="Q125">
        <v>2</v>
      </c>
      <c r="R125">
        <v>0</v>
      </c>
      <c r="S125" t="s">
        <v>21</v>
      </c>
      <c r="T125">
        <v>1</v>
      </c>
      <c r="U125">
        <v>0</v>
      </c>
    </row>
    <row r="126" spans="1:21" x14ac:dyDescent="0.25">
      <c r="A126">
        <v>9566226</v>
      </c>
      <c r="B126" t="s">
        <v>15</v>
      </c>
      <c r="C126" s="1">
        <v>42870</v>
      </c>
      <c r="D126" s="2">
        <f>YEAR(C126)</f>
        <v>2017</v>
      </c>
      <c r="E126">
        <v>271000</v>
      </c>
      <c r="F126" t="s">
        <v>16</v>
      </c>
      <c r="G126">
        <v>2006</v>
      </c>
      <c r="H126">
        <v>5155</v>
      </c>
      <c r="I126" t="s">
        <v>74</v>
      </c>
      <c r="J126">
        <v>76</v>
      </c>
      <c r="K126">
        <v>60077</v>
      </c>
      <c r="L126">
        <v>1777</v>
      </c>
      <c r="M126">
        <v>5</v>
      </c>
      <c r="N126">
        <v>2</v>
      </c>
      <c r="O126">
        <v>0</v>
      </c>
      <c r="P126" t="s">
        <v>18</v>
      </c>
      <c r="Q126">
        <v>2</v>
      </c>
      <c r="R126">
        <v>0</v>
      </c>
      <c r="S126" t="s">
        <v>21</v>
      </c>
      <c r="T126">
        <v>3</v>
      </c>
      <c r="U126">
        <v>0</v>
      </c>
    </row>
    <row r="127" spans="1:21" x14ac:dyDescent="0.25">
      <c r="A127">
        <v>10052706</v>
      </c>
      <c r="B127" t="s">
        <v>15</v>
      </c>
      <c r="C127" s="1">
        <v>43419</v>
      </c>
      <c r="D127" s="2">
        <f>YEAR(C127)</f>
        <v>2018</v>
      </c>
      <c r="E127">
        <v>273000</v>
      </c>
      <c r="F127" t="s">
        <v>16</v>
      </c>
      <c r="G127">
        <v>2006</v>
      </c>
      <c r="H127">
        <v>4953</v>
      </c>
      <c r="I127" t="s">
        <v>66</v>
      </c>
      <c r="J127">
        <v>76</v>
      </c>
      <c r="K127">
        <v>60077</v>
      </c>
      <c r="L127">
        <v>1703</v>
      </c>
      <c r="M127">
        <v>5</v>
      </c>
      <c r="N127">
        <v>2</v>
      </c>
      <c r="O127">
        <v>0</v>
      </c>
      <c r="P127" t="s">
        <v>18</v>
      </c>
      <c r="Q127">
        <v>2</v>
      </c>
      <c r="R127">
        <v>0</v>
      </c>
      <c r="S127" t="s">
        <v>21</v>
      </c>
      <c r="T127">
        <v>1</v>
      </c>
      <c r="U127">
        <v>0</v>
      </c>
    </row>
    <row r="128" spans="1:21" x14ac:dyDescent="0.25">
      <c r="A128">
        <v>9760762</v>
      </c>
      <c r="B128" t="s">
        <v>15</v>
      </c>
      <c r="C128" s="1">
        <v>43105</v>
      </c>
      <c r="D128" s="2">
        <f>YEAR(C128)</f>
        <v>2018</v>
      </c>
      <c r="E128">
        <v>340000</v>
      </c>
      <c r="F128" t="s">
        <v>16</v>
      </c>
      <c r="G128">
        <v>2006</v>
      </c>
      <c r="H128">
        <v>9715</v>
      </c>
      <c r="I128" t="s">
        <v>78</v>
      </c>
      <c r="J128">
        <v>76</v>
      </c>
      <c r="K128">
        <v>60077</v>
      </c>
      <c r="L128">
        <v>1639</v>
      </c>
      <c r="M128">
        <v>5</v>
      </c>
      <c r="N128">
        <v>2</v>
      </c>
      <c r="O128">
        <v>0</v>
      </c>
      <c r="P128" t="s">
        <v>18</v>
      </c>
      <c r="Q128">
        <v>2</v>
      </c>
      <c r="R128">
        <v>0</v>
      </c>
      <c r="S128" t="s">
        <v>21</v>
      </c>
      <c r="T128">
        <v>2</v>
      </c>
      <c r="U128">
        <v>0</v>
      </c>
    </row>
    <row r="129" spans="1:21" x14ac:dyDescent="0.25">
      <c r="A129">
        <v>9714641</v>
      </c>
      <c r="B129" t="s">
        <v>15</v>
      </c>
      <c r="C129" s="1">
        <v>42978</v>
      </c>
      <c r="D129" s="2">
        <f>YEAR(C129)</f>
        <v>2017</v>
      </c>
      <c r="E129">
        <v>245000</v>
      </c>
      <c r="F129" t="s">
        <v>16</v>
      </c>
      <c r="G129">
        <v>2006</v>
      </c>
      <c r="H129">
        <v>4953</v>
      </c>
      <c r="I129" t="s">
        <v>66</v>
      </c>
      <c r="J129">
        <v>76</v>
      </c>
      <c r="K129">
        <v>60077</v>
      </c>
      <c r="L129">
        <v>1630</v>
      </c>
      <c r="M129">
        <v>5</v>
      </c>
      <c r="N129">
        <v>2</v>
      </c>
      <c r="O129">
        <v>0</v>
      </c>
      <c r="P129" t="s">
        <v>18</v>
      </c>
      <c r="Q129">
        <v>2</v>
      </c>
      <c r="R129">
        <v>0</v>
      </c>
      <c r="S129" t="s">
        <v>21</v>
      </c>
      <c r="T129">
        <v>1</v>
      </c>
      <c r="U129">
        <v>0</v>
      </c>
    </row>
    <row r="130" spans="1:21" x14ac:dyDescent="0.25">
      <c r="A130">
        <v>10057337</v>
      </c>
      <c r="B130" t="s">
        <v>15</v>
      </c>
      <c r="C130" s="1">
        <v>43402</v>
      </c>
      <c r="D130" s="2">
        <f>YEAR(C130)</f>
        <v>2018</v>
      </c>
      <c r="E130">
        <v>266500</v>
      </c>
      <c r="F130" t="s">
        <v>16</v>
      </c>
      <c r="G130">
        <v>2006</v>
      </c>
      <c r="H130">
        <v>9350</v>
      </c>
      <c r="I130" t="s">
        <v>36</v>
      </c>
      <c r="J130">
        <v>76</v>
      </c>
      <c r="K130">
        <v>60077</v>
      </c>
      <c r="L130">
        <v>1536</v>
      </c>
      <c r="M130">
        <v>5</v>
      </c>
      <c r="N130">
        <v>2</v>
      </c>
      <c r="O130">
        <v>0</v>
      </c>
      <c r="P130" t="s">
        <v>18</v>
      </c>
      <c r="Q130">
        <v>2</v>
      </c>
      <c r="R130">
        <v>0</v>
      </c>
      <c r="S130" t="s">
        <v>21</v>
      </c>
      <c r="T130">
        <v>1</v>
      </c>
      <c r="U130">
        <v>0</v>
      </c>
    </row>
    <row r="131" spans="1:21" x14ac:dyDescent="0.25">
      <c r="A131">
        <v>9662731</v>
      </c>
      <c r="B131" t="s">
        <v>15</v>
      </c>
      <c r="C131" s="1">
        <v>42930</v>
      </c>
      <c r="D131" s="2">
        <f>YEAR(C131)</f>
        <v>2017</v>
      </c>
      <c r="E131">
        <v>280000</v>
      </c>
      <c r="F131" t="s">
        <v>16</v>
      </c>
      <c r="G131">
        <v>2006</v>
      </c>
      <c r="H131">
        <v>9655</v>
      </c>
      <c r="I131" t="s">
        <v>77</v>
      </c>
      <c r="J131">
        <v>76</v>
      </c>
      <c r="K131">
        <v>60077</v>
      </c>
      <c r="L131">
        <v>1514</v>
      </c>
      <c r="M131">
        <v>5</v>
      </c>
      <c r="N131">
        <v>2</v>
      </c>
      <c r="O131">
        <v>0</v>
      </c>
      <c r="P131" t="s">
        <v>18</v>
      </c>
      <c r="Q131">
        <v>2</v>
      </c>
      <c r="R131">
        <v>0</v>
      </c>
      <c r="S131" t="s">
        <v>21</v>
      </c>
      <c r="T131">
        <v>2</v>
      </c>
      <c r="U131">
        <v>0</v>
      </c>
    </row>
    <row r="132" spans="1:21" x14ac:dyDescent="0.25">
      <c r="A132">
        <v>10135506</v>
      </c>
      <c r="B132" t="s">
        <v>15</v>
      </c>
      <c r="C132" s="1">
        <v>43472</v>
      </c>
      <c r="D132" s="2">
        <f>YEAR(C132)</f>
        <v>2019</v>
      </c>
      <c r="E132">
        <v>275000</v>
      </c>
      <c r="F132" t="s">
        <v>16</v>
      </c>
      <c r="G132">
        <v>2006</v>
      </c>
      <c r="H132">
        <v>9655</v>
      </c>
      <c r="I132" t="s">
        <v>77</v>
      </c>
      <c r="J132">
        <v>76</v>
      </c>
      <c r="K132">
        <v>60077</v>
      </c>
      <c r="L132">
        <v>1514</v>
      </c>
      <c r="M132">
        <v>5</v>
      </c>
      <c r="N132">
        <v>2</v>
      </c>
      <c r="O132">
        <v>0</v>
      </c>
      <c r="P132" t="s">
        <v>18</v>
      </c>
      <c r="Q132">
        <v>2</v>
      </c>
      <c r="R132">
        <v>0</v>
      </c>
      <c r="S132" t="s">
        <v>21</v>
      </c>
      <c r="T132">
        <v>1</v>
      </c>
      <c r="U132">
        <v>0</v>
      </c>
    </row>
    <row r="133" spans="1:21" x14ac:dyDescent="0.25">
      <c r="A133">
        <v>9626228</v>
      </c>
      <c r="B133" t="s">
        <v>15</v>
      </c>
      <c r="C133" s="1">
        <v>42929</v>
      </c>
      <c r="D133" s="2">
        <f>YEAR(C133)</f>
        <v>2017</v>
      </c>
      <c r="E133">
        <v>340000</v>
      </c>
      <c r="F133" t="s">
        <v>16</v>
      </c>
      <c r="G133">
        <v>2006</v>
      </c>
      <c r="H133">
        <v>9655</v>
      </c>
      <c r="I133" t="s">
        <v>77</v>
      </c>
      <c r="J133">
        <v>76</v>
      </c>
      <c r="K133">
        <v>60077</v>
      </c>
      <c r="L133">
        <v>1488</v>
      </c>
      <c r="M133">
        <v>5</v>
      </c>
      <c r="N133">
        <v>2</v>
      </c>
      <c r="O133">
        <v>0</v>
      </c>
      <c r="P133" t="s">
        <v>18</v>
      </c>
      <c r="Q133">
        <v>2</v>
      </c>
      <c r="R133">
        <v>0</v>
      </c>
      <c r="S133" t="s">
        <v>21</v>
      </c>
      <c r="T133">
        <v>1</v>
      </c>
      <c r="U133">
        <v>0</v>
      </c>
    </row>
    <row r="134" spans="1:21" x14ac:dyDescent="0.25">
      <c r="A134">
        <v>9227259</v>
      </c>
      <c r="B134" t="s">
        <v>15</v>
      </c>
      <c r="C134" s="1">
        <v>42901</v>
      </c>
      <c r="D134" s="2">
        <f>YEAR(C134)</f>
        <v>2017</v>
      </c>
      <c r="E134">
        <v>337000</v>
      </c>
      <c r="F134" t="s">
        <v>16</v>
      </c>
      <c r="G134">
        <v>2006</v>
      </c>
      <c r="H134">
        <v>9655</v>
      </c>
      <c r="I134" t="s">
        <v>77</v>
      </c>
      <c r="J134">
        <v>76</v>
      </c>
      <c r="K134">
        <v>60077</v>
      </c>
      <c r="L134">
        <v>1458</v>
      </c>
      <c r="M134">
        <v>5</v>
      </c>
      <c r="N134">
        <v>2</v>
      </c>
      <c r="O134">
        <v>0</v>
      </c>
      <c r="P134" t="s">
        <v>18</v>
      </c>
      <c r="Q134">
        <v>2</v>
      </c>
      <c r="R134">
        <v>0</v>
      </c>
      <c r="S134" t="s">
        <v>21</v>
      </c>
      <c r="T134">
        <v>1</v>
      </c>
      <c r="U134">
        <v>0</v>
      </c>
    </row>
    <row r="135" spans="1:21" x14ac:dyDescent="0.25">
      <c r="A135">
        <v>9887359</v>
      </c>
      <c r="B135" t="s">
        <v>15</v>
      </c>
      <c r="C135" s="1">
        <v>43252</v>
      </c>
      <c r="D135" s="2">
        <f>YEAR(C135)</f>
        <v>2018</v>
      </c>
      <c r="E135">
        <v>270000</v>
      </c>
      <c r="F135" t="s">
        <v>16</v>
      </c>
      <c r="G135">
        <v>2006</v>
      </c>
      <c r="H135">
        <v>8200</v>
      </c>
      <c r="I135" t="s">
        <v>69</v>
      </c>
      <c r="J135">
        <v>76</v>
      </c>
      <c r="K135">
        <v>60077</v>
      </c>
      <c r="L135">
        <v>1438</v>
      </c>
      <c r="M135">
        <v>5</v>
      </c>
      <c r="N135">
        <v>2</v>
      </c>
      <c r="O135">
        <v>0</v>
      </c>
      <c r="P135" t="s">
        <v>18</v>
      </c>
      <c r="Q135">
        <v>2</v>
      </c>
      <c r="R135">
        <v>0</v>
      </c>
      <c r="S135" t="s">
        <v>21</v>
      </c>
      <c r="T135">
        <v>1</v>
      </c>
      <c r="U135">
        <v>0</v>
      </c>
    </row>
    <row r="136" spans="1:21" x14ac:dyDescent="0.25">
      <c r="A136">
        <v>10069457</v>
      </c>
      <c r="B136" t="s">
        <v>15</v>
      </c>
      <c r="C136" s="1">
        <v>43370</v>
      </c>
      <c r="D136" s="2">
        <f>YEAR(C136)</f>
        <v>2018</v>
      </c>
      <c r="E136">
        <v>262950</v>
      </c>
      <c r="F136" t="s">
        <v>16</v>
      </c>
      <c r="G136">
        <v>2006</v>
      </c>
      <c r="H136">
        <v>9655</v>
      </c>
      <c r="I136" t="s">
        <v>77</v>
      </c>
      <c r="J136">
        <v>76</v>
      </c>
      <c r="K136">
        <v>60077</v>
      </c>
      <c r="L136">
        <v>1270</v>
      </c>
      <c r="M136">
        <v>5</v>
      </c>
      <c r="N136">
        <v>2</v>
      </c>
      <c r="O136">
        <v>0</v>
      </c>
      <c r="P136" t="s">
        <v>18</v>
      </c>
      <c r="Q136">
        <v>2</v>
      </c>
      <c r="R136">
        <v>0</v>
      </c>
      <c r="S136" t="s">
        <v>21</v>
      </c>
      <c r="T136">
        <v>1</v>
      </c>
      <c r="U136">
        <v>0</v>
      </c>
    </row>
    <row r="137" spans="1:21" x14ac:dyDescent="0.25">
      <c r="A137">
        <v>9743861</v>
      </c>
      <c r="B137" t="s">
        <v>15</v>
      </c>
      <c r="C137" s="1">
        <v>43045</v>
      </c>
      <c r="D137" s="2">
        <f>YEAR(C137)</f>
        <v>2017</v>
      </c>
      <c r="E137">
        <v>225000</v>
      </c>
      <c r="F137" t="s">
        <v>16</v>
      </c>
      <c r="G137">
        <v>2006</v>
      </c>
      <c r="H137">
        <v>9655</v>
      </c>
      <c r="I137" t="s">
        <v>77</v>
      </c>
      <c r="J137">
        <v>76</v>
      </c>
      <c r="K137">
        <v>60077</v>
      </c>
      <c r="L137">
        <v>1269</v>
      </c>
      <c r="M137">
        <v>4</v>
      </c>
      <c r="N137">
        <v>2</v>
      </c>
      <c r="O137">
        <v>0</v>
      </c>
      <c r="P137" t="s">
        <v>18</v>
      </c>
      <c r="Q137">
        <v>2</v>
      </c>
      <c r="R137">
        <v>0</v>
      </c>
      <c r="S137" t="s">
        <v>21</v>
      </c>
      <c r="T137">
        <v>1</v>
      </c>
      <c r="U137">
        <v>0</v>
      </c>
    </row>
    <row r="138" spans="1:21" x14ac:dyDescent="0.25">
      <c r="A138">
        <v>9786455</v>
      </c>
      <c r="B138" t="s">
        <v>15</v>
      </c>
      <c r="C138" s="1">
        <v>43189</v>
      </c>
      <c r="D138" s="2">
        <f>YEAR(C138)</f>
        <v>2018</v>
      </c>
      <c r="E138">
        <v>245000</v>
      </c>
      <c r="F138" t="s">
        <v>16</v>
      </c>
      <c r="G138">
        <v>2006</v>
      </c>
      <c r="H138">
        <v>9655</v>
      </c>
      <c r="I138" t="s">
        <v>77</v>
      </c>
      <c r="J138">
        <v>76</v>
      </c>
      <c r="K138">
        <v>60077</v>
      </c>
      <c r="L138">
        <v>1269</v>
      </c>
      <c r="M138">
        <v>5</v>
      </c>
      <c r="N138">
        <v>2</v>
      </c>
      <c r="O138">
        <v>0</v>
      </c>
      <c r="P138" t="s">
        <v>18</v>
      </c>
      <c r="Q138">
        <v>2</v>
      </c>
      <c r="R138">
        <v>0</v>
      </c>
      <c r="S138" t="s">
        <v>21</v>
      </c>
      <c r="T138">
        <v>1</v>
      </c>
      <c r="U138">
        <v>0</v>
      </c>
    </row>
    <row r="139" spans="1:21" x14ac:dyDescent="0.25">
      <c r="A139">
        <v>9281614</v>
      </c>
      <c r="B139" t="s">
        <v>15</v>
      </c>
      <c r="C139" s="1">
        <v>42839</v>
      </c>
      <c r="D139" s="2">
        <f>YEAR(C139)</f>
        <v>2017</v>
      </c>
      <c r="E139">
        <v>280000</v>
      </c>
      <c r="F139" t="s">
        <v>16</v>
      </c>
      <c r="G139">
        <v>2006</v>
      </c>
      <c r="H139">
        <v>9655</v>
      </c>
      <c r="I139" t="s">
        <v>77</v>
      </c>
      <c r="J139">
        <v>76</v>
      </c>
      <c r="K139">
        <v>60077</v>
      </c>
      <c r="L139">
        <v>1269</v>
      </c>
      <c r="M139">
        <v>5</v>
      </c>
      <c r="N139">
        <v>2</v>
      </c>
      <c r="O139">
        <v>0</v>
      </c>
      <c r="P139" t="s">
        <v>18</v>
      </c>
      <c r="Q139">
        <v>2</v>
      </c>
      <c r="R139">
        <v>0</v>
      </c>
      <c r="S139" t="s">
        <v>21</v>
      </c>
      <c r="T139">
        <v>1</v>
      </c>
      <c r="U139">
        <v>0</v>
      </c>
    </row>
    <row r="140" spans="1:21" x14ac:dyDescent="0.25">
      <c r="A140">
        <v>9933449</v>
      </c>
      <c r="B140" t="s">
        <v>15</v>
      </c>
      <c r="C140" s="1">
        <v>43293</v>
      </c>
      <c r="D140" s="2">
        <f>YEAR(C140)</f>
        <v>2018</v>
      </c>
      <c r="E140">
        <v>300000</v>
      </c>
      <c r="F140" t="s">
        <v>16</v>
      </c>
      <c r="G140">
        <v>2006</v>
      </c>
      <c r="H140">
        <v>9715</v>
      </c>
      <c r="I140" t="s">
        <v>77</v>
      </c>
      <c r="J140">
        <v>76</v>
      </c>
      <c r="K140">
        <v>60077</v>
      </c>
      <c r="L140">
        <v>1240</v>
      </c>
      <c r="M140">
        <v>4</v>
      </c>
      <c r="N140">
        <v>2</v>
      </c>
      <c r="O140">
        <v>0</v>
      </c>
      <c r="P140" t="s">
        <v>18</v>
      </c>
      <c r="Q140">
        <v>2</v>
      </c>
      <c r="R140">
        <v>0</v>
      </c>
      <c r="S140" t="s">
        <v>21</v>
      </c>
      <c r="T140">
        <v>1</v>
      </c>
      <c r="U140">
        <v>0</v>
      </c>
    </row>
    <row r="141" spans="1:21" x14ac:dyDescent="0.25">
      <c r="A141">
        <v>9852424</v>
      </c>
      <c r="B141" t="s">
        <v>15</v>
      </c>
      <c r="C141" s="1">
        <v>43223</v>
      </c>
      <c r="D141" s="2">
        <f>YEAR(C141)</f>
        <v>2018</v>
      </c>
      <c r="E141">
        <v>260000</v>
      </c>
      <c r="F141" t="s">
        <v>16</v>
      </c>
      <c r="G141">
        <v>2006</v>
      </c>
      <c r="H141">
        <v>9715</v>
      </c>
      <c r="I141" t="s">
        <v>77</v>
      </c>
      <c r="J141">
        <v>76</v>
      </c>
      <c r="K141">
        <v>60077</v>
      </c>
      <c r="L141">
        <v>1169</v>
      </c>
      <c r="M141">
        <v>5</v>
      </c>
      <c r="N141">
        <v>2</v>
      </c>
      <c r="O141">
        <v>0</v>
      </c>
      <c r="P141" t="s">
        <v>18</v>
      </c>
      <c r="Q141">
        <v>2</v>
      </c>
      <c r="R141">
        <v>0</v>
      </c>
      <c r="S141" t="s">
        <v>21</v>
      </c>
      <c r="T141">
        <v>1</v>
      </c>
      <c r="U141">
        <v>0</v>
      </c>
    </row>
    <row r="142" spans="1:21" x14ac:dyDescent="0.25">
      <c r="A142">
        <v>9379945</v>
      </c>
      <c r="B142" t="s">
        <v>15</v>
      </c>
      <c r="C142" s="1">
        <v>42822</v>
      </c>
      <c r="D142" s="2">
        <f>YEAR(C142)</f>
        <v>2017</v>
      </c>
      <c r="E142">
        <v>269000</v>
      </c>
      <c r="F142" t="s">
        <v>16</v>
      </c>
      <c r="G142">
        <v>2006</v>
      </c>
      <c r="H142">
        <v>9655</v>
      </c>
      <c r="I142" t="s">
        <v>77</v>
      </c>
      <c r="J142">
        <v>76</v>
      </c>
      <c r="K142">
        <v>60077</v>
      </c>
      <c r="L142">
        <v>1143</v>
      </c>
      <c r="M142">
        <v>5</v>
      </c>
      <c r="N142">
        <v>2</v>
      </c>
      <c r="O142">
        <v>0</v>
      </c>
      <c r="P142" t="s">
        <v>18</v>
      </c>
      <c r="Q142">
        <v>2</v>
      </c>
      <c r="R142">
        <v>0</v>
      </c>
      <c r="S142" t="s">
        <v>21</v>
      </c>
      <c r="T142">
        <v>2</v>
      </c>
      <c r="U142">
        <v>0</v>
      </c>
    </row>
    <row r="143" spans="1:21" x14ac:dyDescent="0.25">
      <c r="A143">
        <v>9982079</v>
      </c>
      <c r="B143" t="s">
        <v>15</v>
      </c>
      <c r="C143" s="1">
        <v>43392</v>
      </c>
      <c r="D143" s="2">
        <f>YEAR(C143)</f>
        <v>2018</v>
      </c>
      <c r="E143">
        <v>250000</v>
      </c>
      <c r="F143" t="s">
        <v>16</v>
      </c>
      <c r="G143">
        <v>2006</v>
      </c>
      <c r="H143">
        <v>9655</v>
      </c>
      <c r="I143" t="s">
        <v>77</v>
      </c>
      <c r="J143">
        <v>76</v>
      </c>
      <c r="K143">
        <v>60077</v>
      </c>
      <c r="L143">
        <v>1142</v>
      </c>
      <c r="M143">
        <v>5</v>
      </c>
      <c r="N143">
        <v>2</v>
      </c>
      <c r="O143">
        <v>0</v>
      </c>
      <c r="P143" t="s">
        <v>18</v>
      </c>
      <c r="Q143">
        <v>2</v>
      </c>
      <c r="R143">
        <v>0</v>
      </c>
      <c r="S143" t="s">
        <v>21</v>
      </c>
      <c r="T143">
        <v>1</v>
      </c>
      <c r="U143">
        <v>0</v>
      </c>
    </row>
    <row r="144" spans="1:21" x14ac:dyDescent="0.25">
      <c r="A144">
        <v>9656376</v>
      </c>
      <c r="B144" t="s">
        <v>15</v>
      </c>
      <c r="C144" s="1">
        <v>42943</v>
      </c>
      <c r="D144" s="2">
        <f>YEAR(C144)</f>
        <v>2017</v>
      </c>
      <c r="E144">
        <v>258500</v>
      </c>
      <c r="F144" t="s">
        <v>16</v>
      </c>
      <c r="G144">
        <v>2006</v>
      </c>
      <c r="H144">
        <v>9655</v>
      </c>
      <c r="I144" t="s">
        <v>77</v>
      </c>
      <c r="J144">
        <v>76</v>
      </c>
      <c r="K144">
        <v>60077</v>
      </c>
      <c r="L144">
        <v>1140</v>
      </c>
      <c r="M144">
        <v>4</v>
      </c>
      <c r="N144">
        <v>2</v>
      </c>
      <c r="O144">
        <v>0</v>
      </c>
      <c r="P144" t="s">
        <v>18</v>
      </c>
      <c r="Q144">
        <v>2</v>
      </c>
      <c r="R144">
        <v>0</v>
      </c>
      <c r="S144" t="s">
        <v>21</v>
      </c>
      <c r="T144">
        <v>1</v>
      </c>
      <c r="U144">
        <v>0</v>
      </c>
    </row>
    <row r="145" spans="1:21" x14ac:dyDescent="0.25">
      <c r="A145">
        <v>9776272</v>
      </c>
      <c r="B145" t="s">
        <v>15</v>
      </c>
      <c r="C145" s="1">
        <v>43098</v>
      </c>
      <c r="D145" s="2">
        <f>YEAR(C145)</f>
        <v>2017</v>
      </c>
      <c r="E145">
        <v>225000</v>
      </c>
      <c r="F145" t="s">
        <v>16</v>
      </c>
      <c r="G145">
        <v>2006</v>
      </c>
      <c r="H145">
        <v>9655</v>
      </c>
      <c r="I145" t="s">
        <v>78</v>
      </c>
      <c r="J145">
        <v>76</v>
      </c>
      <c r="K145">
        <v>60077</v>
      </c>
      <c r="L145">
        <v>1124</v>
      </c>
      <c r="M145">
        <v>5</v>
      </c>
      <c r="N145">
        <v>2</v>
      </c>
      <c r="O145">
        <v>0</v>
      </c>
      <c r="P145" t="s">
        <v>18</v>
      </c>
      <c r="Q145">
        <v>2</v>
      </c>
      <c r="R145">
        <v>0</v>
      </c>
      <c r="S145" t="s">
        <v>21</v>
      </c>
      <c r="T145">
        <v>1</v>
      </c>
      <c r="U145">
        <v>0</v>
      </c>
    </row>
    <row r="146" spans="1:21" x14ac:dyDescent="0.25">
      <c r="A146">
        <v>9685033</v>
      </c>
      <c r="B146" t="s">
        <v>15</v>
      </c>
      <c r="C146" s="1">
        <v>43007</v>
      </c>
      <c r="D146" s="2">
        <f>YEAR(C146)</f>
        <v>2017</v>
      </c>
      <c r="E146">
        <v>237000</v>
      </c>
      <c r="F146" t="s">
        <v>16</v>
      </c>
      <c r="G146">
        <v>2006</v>
      </c>
      <c r="H146">
        <v>9715</v>
      </c>
      <c r="I146" t="s">
        <v>77</v>
      </c>
      <c r="J146">
        <v>76</v>
      </c>
      <c r="K146">
        <v>60077</v>
      </c>
      <c r="L146">
        <v>1124</v>
      </c>
      <c r="M146">
        <v>5</v>
      </c>
      <c r="N146">
        <v>2</v>
      </c>
      <c r="O146">
        <v>0</v>
      </c>
      <c r="P146" t="s">
        <v>18</v>
      </c>
      <c r="Q146">
        <v>2</v>
      </c>
      <c r="R146">
        <v>0</v>
      </c>
      <c r="S146" t="s">
        <v>21</v>
      </c>
      <c r="T146">
        <v>1</v>
      </c>
      <c r="U146">
        <v>0</v>
      </c>
    </row>
    <row r="147" spans="1:21" x14ac:dyDescent="0.25">
      <c r="A147">
        <v>9617940</v>
      </c>
      <c r="B147" t="s">
        <v>15</v>
      </c>
      <c r="C147" s="1">
        <v>42937</v>
      </c>
      <c r="D147" s="2">
        <f>YEAR(C147)</f>
        <v>2017</v>
      </c>
      <c r="E147">
        <v>210000</v>
      </c>
      <c r="F147" t="s">
        <v>16</v>
      </c>
      <c r="G147">
        <v>2006</v>
      </c>
      <c r="H147">
        <v>9655</v>
      </c>
      <c r="I147" t="s">
        <v>78</v>
      </c>
      <c r="J147">
        <v>76</v>
      </c>
      <c r="K147">
        <v>60077</v>
      </c>
      <c r="L147">
        <v>733</v>
      </c>
      <c r="M147">
        <v>4</v>
      </c>
      <c r="N147">
        <v>1</v>
      </c>
      <c r="O147">
        <v>0</v>
      </c>
      <c r="P147" t="s">
        <v>18</v>
      </c>
      <c r="Q147">
        <v>1</v>
      </c>
      <c r="R147">
        <v>0</v>
      </c>
      <c r="S147" t="s">
        <v>21</v>
      </c>
      <c r="T147">
        <v>1</v>
      </c>
      <c r="U147">
        <v>0</v>
      </c>
    </row>
    <row r="148" spans="1:21" x14ac:dyDescent="0.25">
      <c r="A148">
        <v>9291718</v>
      </c>
      <c r="B148" t="s">
        <v>15</v>
      </c>
      <c r="C148" s="1">
        <v>42824</v>
      </c>
      <c r="D148" s="2">
        <f>YEAR(C148)</f>
        <v>2017</v>
      </c>
      <c r="E148">
        <v>221000</v>
      </c>
      <c r="F148" t="s">
        <v>16</v>
      </c>
      <c r="G148">
        <v>2007</v>
      </c>
      <c r="H148">
        <v>4953</v>
      </c>
      <c r="I148" t="s">
        <v>72</v>
      </c>
      <c r="J148">
        <v>76</v>
      </c>
      <c r="K148">
        <v>60077</v>
      </c>
      <c r="L148">
        <v>1850</v>
      </c>
      <c r="M148">
        <v>6</v>
      </c>
      <c r="N148">
        <v>2</v>
      </c>
      <c r="O148">
        <v>0</v>
      </c>
      <c r="P148" t="s">
        <v>18</v>
      </c>
      <c r="Q148">
        <v>2</v>
      </c>
      <c r="R148">
        <v>0</v>
      </c>
      <c r="S148" t="s">
        <v>21</v>
      </c>
      <c r="T148">
        <v>2</v>
      </c>
      <c r="U148">
        <v>0</v>
      </c>
    </row>
    <row r="149" spans="1:21" x14ac:dyDescent="0.25">
      <c r="A149">
        <v>9634489</v>
      </c>
      <c r="B149" t="s">
        <v>15</v>
      </c>
      <c r="C149" s="1">
        <v>42992</v>
      </c>
      <c r="D149" s="2">
        <f>YEAR(C149)</f>
        <v>2017</v>
      </c>
      <c r="E149">
        <v>460000</v>
      </c>
      <c r="F149" t="s">
        <v>16</v>
      </c>
      <c r="G149">
        <v>2007</v>
      </c>
      <c r="H149">
        <v>9655</v>
      </c>
      <c r="I149" t="s">
        <v>77</v>
      </c>
      <c r="J149">
        <v>76</v>
      </c>
      <c r="K149">
        <v>60077</v>
      </c>
      <c r="L149">
        <v>1659</v>
      </c>
      <c r="M149">
        <v>4</v>
      </c>
      <c r="N149">
        <v>2</v>
      </c>
      <c r="O149">
        <v>0</v>
      </c>
      <c r="P149" t="s">
        <v>18</v>
      </c>
      <c r="Q149">
        <v>2</v>
      </c>
      <c r="R149">
        <v>0</v>
      </c>
      <c r="S149" t="s">
        <v>21</v>
      </c>
      <c r="T149">
        <v>1</v>
      </c>
      <c r="U149">
        <v>0</v>
      </c>
    </row>
    <row r="150" spans="1:21" x14ac:dyDescent="0.25">
      <c r="A150">
        <v>9841029</v>
      </c>
      <c r="B150" t="s">
        <v>15</v>
      </c>
      <c r="C150" s="1">
        <v>43160</v>
      </c>
      <c r="D150" s="2">
        <f>YEAR(C150)</f>
        <v>2018</v>
      </c>
      <c r="E150">
        <v>250000</v>
      </c>
      <c r="F150" t="s">
        <v>16</v>
      </c>
      <c r="G150">
        <v>2007</v>
      </c>
      <c r="H150">
        <v>5000</v>
      </c>
      <c r="I150" t="s">
        <v>66</v>
      </c>
      <c r="J150">
        <v>76</v>
      </c>
      <c r="K150">
        <v>60077</v>
      </c>
      <c r="L150">
        <v>1435</v>
      </c>
      <c r="M150">
        <v>6</v>
      </c>
      <c r="N150">
        <v>2</v>
      </c>
      <c r="O150">
        <v>0</v>
      </c>
      <c r="P150" t="s">
        <v>18</v>
      </c>
      <c r="Q150">
        <v>2</v>
      </c>
      <c r="R150">
        <v>0</v>
      </c>
      <c r="S150" t="s">
        <v>21</v>
      </c>
      <c r="T150">
        <v>2</v>
      </c>
      <c r="U150">
        <v>0</v>
      </c>
    </row>
    <row r="151" spans="1:21" x14ac:dyDescent="0.25">
      <c r="A151">
        <v>9906524</v>
      </c>
      <c r="B151" t="s">
        <v>15</v>
      </c>
      <c r="C151" s="1">
        <v>43216</v>
      </c>
      <c r="D151" s="2">
        <f>YEAR(C151)</f>
        <v>2018</v>
      </c>
      <c r="E151">
        <v>275000</v>
      </c>
      <c r="F151" t="s">
        <v>16</v>
      </c>
      <c r="G151">
        <v>2007</v>
      </c>
      <c r="H151">
        <v>9715</v>
      </c>
      <c r="I151" t="s">
        <v>77</v>
      </c>
      <c r="J151">
        <v>76</v>
      </c>
      <c r="K151">
        <v>60077</v>
      </c>
      <c r="L151">
        <v>1240</v>
      </c>
      <c r="M151">
        <v>5</v>
      </c>
      <c r="N151">
        <v>2</v>
      </c>
      <c r="O151">
        <v>0</v>
      </c>
      <c r="P151" t="s">
        <v>18</v>
      </c>
      <c r="Q151">
        <v>2</v>
      </c>
      <c r="R151">
        <v>0</v>
      </c>
      <c r="S151" t="s">
        <v>21</v>
      </c>
      <c r="T151">
        <v>1</v>
      </c>
      <c r="U151">
        <v>0</v>
      </c>
    </row>
    <row r="152" spans="1:21" x14ac:dyDescent="0.25">
      <c r="A152">
        <v>9924873</v>
      </c>
      <c r="B152" t="s">
        <v>15</v>
      </c>
      <c r="C152" s="1">
        <v>43257</v>
      </c>
      <c r="D152" s="2">
        <f>YEAR(C152)</f>
        <v>2018</v>
      </c>
      <c r="E152">
        <v>227500</v>
      </c>
      <c r="F152" t="s">
        <v>16</v>
      </c>
      <c r="G152">
        <v>2007</v>
      </c>
      <c r="H152">
        <v>9715</v>
      </c>
      <c r="I152" t="s">
        <v>77</v>
      </c>
      <c r="J152">
        <v>76</v>
      </c>
      <c r="K152">
        <v>60077</v>
      </c>
      <c r="L152">
        <v>968</v>
      </c>
      <c r="M152">
        <v>4</v>
      </c>
      <c r="N152">
        <v>1</v>
      </c>
      <c r="O152">
        <v>1</v>
      </c>
      <c r="P152" t="s">
        <v>18</v>
      </c>
      <c r="Q152">
        <v>1</v>
      </c>
      <c r="R152">
        <v>0</v>
      </c>
      <c r="S152" t="s">
        <v>21</v>
      </c>
      <c r="T152">
        <v>1</v>
      </c>
      <c r="U152">
        <v>0</v>
      </c>
    </row>
    <row r="153" spans="1:21" x14ac:dyDescent="0.25">
      <c r="A153">
        <v>9911209</v>
      </c>
      <c r="B153" t="s">
        <v>15</v>
      </c>
      <c r="C153" s="1">
        <v>43264</v>
      </c>
      <c r="D153" s="2">
        <f>YEAR(C153)</f>
        <v>2018</v>
      </c>
      <c r="E153">
        <v>359000</v>
      </c>
      <c r="F153" t="s">
        <v>16</v>
      </c>
      <c r="G153">
        <v>2008</v>
      </c>
      <c r="H153">
        <v>9655</v>
      </c>
      <c r="I153" t="s">
        <v>77</v>
      </c>
      <c r="J153">
        <v>76</v>
      </c>
      <c r="K153">
        <v>60077</v>
      </c>
      <c r="L153">
        <v>1700</v>
      </c>
      <c r="M153">
        <v>6</v>
      </c>
      <c r="N153">
        <v>2</v>
      </c>
      <c r="O153">
        <v>0</v>
      </c>
      <c r="P153" t="s">
        <v>18</v>
      </c>
      <c r="Q153">
        <v>3</v>
      </c>
      <c r="R153">
        <v>0</v>
      </c>
      <c r="S153" t="s">
        <v>21</v>
      </c>
      <c r="T153">
        <v>2</v>
      </c>
      <c r="U153">
        <v>0</v>
      </c>
    </row>
    <row r="154" spans="1:21" x14ac:dyDescent="0.25">
      <c r="A154">
        <v>9253160</v>
      </c>
      <c r="B154" t="s">
        <v>15</v>
      </c>
      <c r="C154" s="1">
        <v>42844</v>
      </c>
      <c r="D154" s="2">
        <f>YEAR(C154)</f>
        <v>2017</v>
      </c>
      <c r="E154">
        <v>400000</v>
      </c>
      <c r="F154" t="s">
        <v>16</v>
      </c>
      <c r="G154">
        <v>2008</v>
      </c>
      <c r="H154">
        <v>9655</v>
      </c>
      <c r="I154" t="s">
        <v>77</v>
      </c>
      <c r="J154">
        <v>76</v>
      </c>
      <c r="K154">
        <v>60077</v>
      </c>
      <c r="L154">
        <v>1675</v>
      </c>
      <c r="M154">
        <v>6</v>
      </c>
      <c r="N154">
        <v>2</v>
      </c>
      <c r="O154">
        <v>0</v>
      </c>
      <c r="P154" t="s">
        <v>18</v>
      </c>
      <c r="Q154">
        <v>3</v>
      </c>
      <c r="R154">
        <v>0</v>
      </c>
      <c r="S154" t="s">
        <v>21</v>
      </c>
      <c r="T154">
        <v>2</v>
      </c>
      <c r="U154">
        <v>0</v>
      </c>
    </row>
    <row r="155" spans="1:21" x14ac:dyDescent="0.25">
      <c r="A155">
        <v>9891038</v>
      </c>
      <c r="B155" t="s">
        <v>15</v>
      </c>
      <c r="C155" s="1">
        <v>43266</v>
      </c>
      <c r="D155" s="2">
        <f>YEAR(C155)</f>
        <v>2018</v>
      </c>
      <c r="E155">
        <v>400000</v>
      </c>
      <c r="F155" t="s">
        <v>16</v>
      </c>
      <c r="G155">
        <v>2008</v>
      </c>
      <c r="H155">
        <v>9715</v>
      </c>
      <c r="I155" t="s">
        <v>77</v>
      </c>
      <c r="J155">
        <v>76</v>
      </c>
      <c r="K155">
        <v>60077</v>
      </c>
      <c r="L155">
        <v>1465</v>
      </c>
      <c r="M155">
        <v>5</v>
      </c>
      <c r="N155">
        <v>2</v>
      </c>
      <c r="O155">
        <v>0</v>
      </c>
      <c r="P155" t="s">
        <v>18</v>
      </c>
      <c r="Q155">
        <v>2</v>
      </c>
      <c r="R155">
        <v>0</v>
      </c>
      <c r="S155" t="s">
        <v>21</v>
      </c>
      <c r="T155">
        <v>1</v>
      </c>
      <c r="U155">
        <v>0</v>
      </c>
    </row>
    <row r="156" spans="1:21" x14ac:dyDescent="0.25">
      <c r="A156">
        <v>9822714</v>
      </c>
      <c r="B156" t="s">
        <v>15</v>
      </c>
      <c r="C156" s="1">
        <v>43166</v>
      </c>
      <c r="D156" s="2">
        <f>YEAR(C156)</f>
        <v>2018</v>
      </c>
      <c r="E156">
        <v>236500</v>
      </c>
      <c r="F156" t="s">
        <v>16</v>
      </c>
      <c r="G156">
        <v>2008</v>
      </c>
      <c r="H156">
        <v>4953</v>
      </c>
      <c r="I156" t="s">
        <v>66</v>
      </c>
      <c r="J156">
        <v>76</v>
      </c>
      <c r="K156">
        <v>60077</v>
      </c>
      <c r="L156">
        <v>1408</v>
      </c>
      <c r="M156">
        <v>4</v>
      </c>
      <c r="N156">
        <v>2</v>
      </c>
      <c r="O156">
        <v>0</v>
      </c>
      <c r="P156" t="s">
        <v>18</v>
      </c>
      <c r="Q156">
        <v>2</v>
      </c>
      <c r="R156">
        <v>0</v>
      </c>
      <c r="S156" t="s">
        <v>21</v>
      </c>
      <c r="T156">
        <v>1</v>
      </c>
      <c r="U156">
        <v>0</v>
      </c>
    </row>
    <row r="157" spans="1:21" x14ac:dyDescent="0.25">
      <c r="A157">
        <v>9733976</v>
      </c>
      <c r="B157" t="s">
        <v>15</v>
      </c>
      <c r="C157" s="1">
        <v>43046</v>
      </c>
      <c r="D157" s="2">
        <f>YEAR(C157)</f>
        <v>2017</v>
      </c>
      <c r="E157">
        <v>230000</v>
      </c>
      <c r="F157" t="s">
        <v>16</v>
      </c>
      <c r="G157">
        <v>2008</v>
      </c>
      <c r="H157">
        <v>9715</v>
      </c>
      <c r="I157" t="s">
        <v>77</v>
      </c>
      <c r="J157">
        <v>76</v>
      </c>
      <c r="K157">
        <v>60077</v>
      </c>
      <c r="L157">
        <v>1384</v>
      </c>
      <c r="M157">
        <v>5</v>
      </c>
      <c r="N157">
        <v>2</v>
      </c>
      <c r="O157">
        <v>0</v>
      </c>
      <c r="P157" t="s">
        <v>18</v>
      </c>
      <c r="Q157">
        <v>1</v>
      </c>
      <c r="R157">
        <v>0</v>
      </c>
      <c r="S157" t="s">
        <v>21</v>
      </c>
      <c r="T157">
        <v>1</v>
      </c>
      <c r="U157">
        <v>0</v>
      </c>
    </row>
    <row r="158" spans="1:21" x14ac:dyDescent="0.25">
      <c r="A158">
        <v>9776373</v>
      </c>
      <c r="B158" t="s">
        <v>15</v>
      </c>
      <c r="C158" s="1">
        <v>43280</v>
      </c>
      <c r="D158" s="2">
        <f>YEAR(C158)</f>
        <v>2018</v>
      </c>
      <c r="E158">
        <v>242000</v>
      </c>
      <c r="F158" t="s">
        <v>16</v>
      </c>
      <c r="G158">
        <v>2008</v>
      </c>
      <c r="H158">
        <v>9715</v>
      </c>
      <c r="I158" t="s">
        <v>77</v>
      </c>
      <c r="J158">
        <v>76</v>
      </c>
      <c r="K158">
        <v>60077</v>
      </c>
      <c r="L158">
        <v>1269</v>
      </c>
      <c r="M158">
        <v>5</v>
      </c>
      <c r="N158">
        <v>2</v>
      </c>
      <c r="O158">
        <v>0</v>
      </c>
      <c r="P158" t="s">
        <v>18</v>
      </c>
      <c r="Q158">
        <v>2</v>
      </c>
      <c r="R158">
        <v>0</v>
      </c>
      <c r="S158" t="s">
        <v>21</v>
      </c>
      <c r="T158">
        <v>1</v>
      </c>
      <c r="U158">
        <v>0</v>
      </c>
    </row>
    <row r="159" spans="1:21" x14ac:dyDescent="0.25">
      <c r="A159">
        <v>9742746</v>
      </c>
      <c r="B159" t="s">
        <v>15</v>
      </c>
      <c r="C159" s="1">
        <v>43027</v>
      </c>
      <c r="D159" s="2">
        <f>YEAR(C159)</f>
        <v>2017</v>
      </c>
      <c r="E159">
        <v>270000</v>
      </c>
      <c r="F159" t="s">
        <v>16</v>
      </c>
      <c r="G159">
        <v>2008</v>
      </c>
      <c r="H159">
        <v>9715</v>
      </c>
      <c r="I159" t="s">
        <v>77</v>
      </c>
      <c r="J159">
        <v>76</v>
      </c>
      <c r="K159">
        <v>60077</v>
      </c>
      <c r="L159">
        <v>1269</v>
      </c>
      <c r="M159">
        <v>5</v>
      </c>
      <c r="N159">
        <v>2</v>
      </c>
      <c r="O159">
        <v>0</v>
      </c>
      <c r="P159" t="s">
        <v>18</v>
      </c>
      <c r="Q159">
        <v>2</v>
      </c>
      <c r="R159">
        <v>0</v>
      </c>
      <c r="S159" t="s">
        <v>21</v>
      </c>
      <c r="T159">
        <v>1</v>
      </c>
      <c r="U159">
        <v>0</v>
      </c>
    </row>
    <row r="160" spans="1:21" x14ac:dyDescent="0.25">
      <c r="A160">
        <v>9802453</v>
      </c>
      <c r="B160" t="s">
        <v>15</v>
      </c>
      <c r="C160" s="1">
        <v>43189</v>
      </c>
      <c r="D160" s="2">
        <f>YEAR(C160)</f>
        <v>2018</v>
      </c>
      <c r="E160">
        <v>285000</v>
      </c>
      <c r="F160" t="s">
        <v>16</v>
      </c>
      <c r="G160">
        <v>2008</v>
      </c>
      <c r="H160">
        <v>9725</v>
      </c>
      <c r="I160" t="s">
        <v>78</v>
      </c>
      <c r="J160">
        <v>76</v>
      </c>
      <c r="K160">
        <v>60077</v>
      </c>
      <c r="L160">
        <v>1204</v>
      </c>
      <c r="M160">
        <v>5</v>
      </c>
      <c r="N160">
        <v>2</v>
      </c>
      <c r="O160">
        <v>0</v>
      </c>
      <c r="P160" t="s">
        <v>18</v>
      </c>
      <c r="Q160">
        <v>2</v>
      </c>
      <c r="R160">
        <v>0</v>
      </c>
      <c r="S160" t="s">
        <v>21</v>
      </c>
      <c r="T160">
        <v>2</v>
      </c>
      <c r="U160">
        <v>0</v>
      </c>
    </row>
    <row r="161" spans="1:21" x14ac:dyDescent="0.25">
      <c r="A161">
        <v>9802596</v>
      </c>
      <c r="B161" t="s">
        <v>15</v>
      </c>
      <c r="C161" s="1">
        <v>43266</v>
      </c>
      <c r="D161" s="2">
        <f>YEAR(C161)</f>
        <v>2018</v>
      </c>
      <c r="E161">
        <v>240000</v>
      </c>
      <c r="F161" t="s">
        <v>16</v>
      </c>
      <c r="G161">
        <v>2008</v>
      </c>
      <c r="H161">
        <v>9715</v>
      </c>
      <c r="I161" t="s">
        <v>77</v>
      </c>
      <c r="J161">
        <v>76</v>
      </c>
      <c r="K161">
        <v>60077</v>
      </c>
      <c r="L161">
        <v>1142</v>
      </c>
      <c r="M161">
        <v>5</v>
      </c>
      <c r="N161">
        <v>2</v>
      </c>
      <c r="O161">
        <v>0</v>
      </c>
      <c r="P161" t="s">
        <v>18</v>
      </c>
      <c r="Q161">
        <v>2</v>
      </c>
      <c r="R161">
        <v>0</v>
      </c>
      <c r="S161" t="s">
        <v>21</v>
      </c>
      <c r="T161">
        <v>1</v>
      </c>
      <c r="U161">
        <v>0</v>
      </c>
    </row>
    <row r="162" spans="1:21" x14ac:dyDescent="0.25">
      <c r="A162">
        <v>9990815</v>
      </c>
      <c r="B162" t="s">
        <v>15</v>
      </c>
      <c r="C162" s="1">
        <v>43424</v>
      </c>
      <c r="D162" s="2">
        <f>YEAR(C162)</f>
        <v>2018</v>
      </c>
      <c r="E162">
        <v>245000</v>
      </c>
      <c r="F162" t="s">
        <v>16</v>
      </c>
      <c r="G162">
        <v>2008</v>
      </c>
      <c r="H162">
        <v>9715</v>
      </c>
      <c r="I162" t="s">
        <v>77</v>
      </c>
      <c r="J162">
        <v>76</v>
      </c>
      <c r="K162">
        <v>60077</v>
      </c>
      <c r="L162">
        <v>1142</v>
      </c>
      <c r="M162">
        <v>5</v>
      </c>
      <c r="N162">
        <v>2</v>
      </c>
      <c r="O162">
        <v>0</v>
      </c>
      <c r="P162" t="s">
        <v>18</v>
      </c>
      <c r="Q162">
        <v>2</v>
      </c>
      <c r="R162">
        <v>0</v>
      </c>
      <c r="S162" t="s">
        <v>21</v>
      </c>
      <c r="T162">
        <v>1</v>
      </c>
      <c r="U162">
        <v>0</v>
      </c>
    </row>
    <row r="163" spans="1:21" x14ac:dyDescent="0.25">
      <c r="A163">
        <v>9372487</v>
      </c>
      <c r="B163" t="s">
        <v>15</v>
      </c>
      <c r="C163" s="1">
        <v>42913</v>
      </c>
      <c r="D163" s="2">
        <f>YEAR(C163)</f>
        <v>2017</v>
      </c>
      <c r="E163">
        <v>265000</v>
      </c>
      <c r="F163" t="s">
        <v>16</v>
      </c>
      <c r="G163">
        <v>2008</v>
      </c>
      <c r="H163">
        <v>9715</v>
      </c>
      <c r="I163" t="s">
        <v>77</v>
      </c>
      <c r="J163">
        <v>76</v>
      </c>
      <c r="K163">
        <v>60077</v>
      </c>
      <c r="L163">
        <v>1000</v>
      </c>
      <c r="M163">
        <v>4</v>
      </c>
      <c r="N163">
        <v>1</v>
      </c>
      <c r="O163">
        <v>0</v>
      </c>
      <c r="P163" t="s">
        <v>18</v>
      </c>
      <c r="Q163">
        <v>1</v>
      </c>
      <c r="R163">
        <v>0</v>
      </c>
      <c r="S163" t="s">
        <v>21</v>
      </c>
      <c r="T163">
        <v>1</v>
      </c>
      <c r="U163">
        <v>0</v>
      </c>
    </row>
    <row r="164" spans="1:21" x14ac:dyDescent="0.25">
      <c r="A164">
        <v>9882098</v>
      </c>
      <c r="B164" t="s">
        <v>15</v>
      </c>
      <c r="C164" s="1">
        <v>43230</v>
      </c>
      <c r="D164" s="2">
        <f>YEAR(C164)</f>
        <v>2018</v>
      </c>
      <c r="E164">
        <v>215000</v>
      </c>
      <c r="F164" t="s">
        <v>16</v>
      </c>
      <c r="G164">
        <v>2008</v>
      </c>
      <c r="H164">
        <v>9725</v>
      </c>
      <c r="I164" t="s">
        <v>77</v>
      </c>
      <c r="J164">
        <v>76</v>
      </c>
      <c r="K164">
        <v>60077</v>
      </c>
      <c r="L164">
        <v>801</v>
      </c>
      <c r="M164">
        <v>4</v>
      </c>
      <c r="N164">
        <v>1</v>
      </c>
      <c r="O164">
        <v>0</v>
      </c>
      <c r="P164" t="s">
        <v>18</v>
      </c>
      <c r="Q164">
        <v>1</v>
      </c>
      <c r="R164">
        <v>0</v>
      </c>
      <c r="S164" t="s">
        <v>21</v>
      </c>
      <c r="T164">
        <v>1</v>
      </c>
      <c r="U164">
        <v>0</v>
      </c>
    </row>
    <row r="165" spans="1:21" x14ac:dyDescent="0.25">
      <c r="A165">
        <v>9749680</v>
      </c>
      <c r="B165" t="s">
        <v>15</v>
      </c>
      <c r="C165" s="1">
        <v>43221</v>
      </c>
      <c r="D165" s="2">
        <f>YEAR(C165)</f>
        <v>2018</v>
      </c>
      <c r="E165">
        <v>435000</v>
      </c>
      <c r="F165" t="s">
        <v>16</v>
      </c>
      <c r="G165">
        <v>2010</v>
      </c>
      <c r="H165">
        <v>9725</v>
      </c>
      <c r="I165" t="s">
        <v>77</v>
      </c>
      <c r="J165">
        <v>76</v>
      </c>
      <c r="K165">
        <v>60077</v>
      </c>
      <c r="L165">
        <v>1700</v>
      </c>
      <c r="M165">
        <v>6</v>
      </c>
      <c r="N165">
        <v>2</v>
      </c>
      <c r="O165">
        <v>0</v>
      </c>
      <c r="P165" t="s">
        <v>18</v>
      </c>
      <c r="Q165">
        <v>3</v>
      </c>
      <c r="R165">
        <v>0</v>
      </c>
      <c r="S165" t="s">
        <v>21</v>
      </c>
      <c r="T165">
        <v>2</v>
      </c>
      <c r="U165">
        <v>0</v>
      </c>
    </row>
    <row r="166" spans="1:21" x14ac:dyDescent="0.25">
      <c r="A166">
        <v>9473577</v>
      </c>
      <c r="B166" t="s">
        <v>15</v>
      </c>
      <c r="C166" s="1">
        <v>42842</v>
      </c>
      <c r="D166" s="2">
        <f>YEAR(C166)</f>
        <v>2017</v>
      </c>
      <c r="E166">
        <v>285000</v>
      </c>
      <c r="F166" t="s">
        <v>16</v>
      </c>
      <c r="G166">
        <v>2010</v>
      </c>
      <c r="H166">
        <v>9725</v>
      </c>
      <c r="I166" t="s">
        <v>78</v>
      </c>
      <c r="J166">
        <v>76</v>
      </c>
      <c r="K166">
        <v>60077</v>
      </c>
      <c r="L166">
        <v>1351</v>
      </c>
      <c r="M166">
        <v>6</v>
      </c>
      <c r="N166">
        <v>2</v>
      </c>
      <c r="O166">
        <v>0</v>
      </c>
      <c r="P166" t="s">
        <v>18</v>
      </c>
      <c r="Q166">
        <v>2</v>
      </c>
      <c r="R166">
        <v>0</v>
      </c>
      <c r="S166" t="s">
        <v>21</v>
      </c>
      <c r="T166">
        <v>1</v>
      </c>
      <c r="U166">
        <v>0</v>
      </c>
    </row>
    <row r="167" spans="1:21" x14ac:dyDescent="0.25">
      <c r="A167">
        <v>9570015</v>
      </c>
      <c r="B167" t="s">
        <v>15</v>
      </c>
      <c r="C167" s="1">
        <v>42877</v>
      </c>
      <c r="D167" s="2">
        <f>YEAR(C167)</f>
        <v>2017</v>
      </c>
      <c r="E167">
        <v>280000</v>
      </c>
      <c r="F167" t="s">
        <v>16</v>
      </c>
      <c r="G167">
        <v>1977</v>
      </c>
      <c r="H167">
        <v>8020</v>
      </c>
      <c r="I167" t="s">
        <v>30</v>
      </c>
      <c r="J167">
        <v>76</v>
      </c>
      <c r="K167">
        <v>60076</v>
      </c>
      <c r="L167">
        <v>1600</v>
      </c>
      <c r="M167">
        <v>7</v>
      </c>
      <c r="N167">
        <v>2</v>
      </c>
      <c r="O167">
        <v>2</v>
      </c>
      <c r="P167" t="s">
        <v>79</v>
      </c>
      <c r="Q167">
        <v>3</v>
      </c>
      <c r="R167">
        <v>0</v>
      </c>
      <c r="S167" t="s">
        <v>21</v>
      </c>
      <c r="T167">
        <v>1</v>
      </c>
      <c r="U167">
        <v>0</v>
      </c>
    </row>
    <row r="168" spans="1:21" x14ac:dyDescent="0.25">
      <c r="A168">
        <v>9851021</v>
      </c>
      <c r="B168" t="s">
        <v>15</v>
      </c>
      <c r="C168" s="1">
        <v>43189</v>
      </c>
      <c r="D168" s="2">
        <f>YEAR(C168)</f>
        <v>2018</v>
      </c>
      <c r="E168">
        <v>196000</v>
      </c>
      <c r="F168" t="s">
        <v>16</v>
      </c>
      <c r="G168">
        <v>1928</v>
      </c>
      <c r="H168">
        <v>8911</v>
      </c>
      <c r="I168" t="s">
        <v>17</v>
      </c>
      <c r="J168">
        <v>76</v>
      </c>
      <c r="K168">
        <v>60077</v>
      </c>
      <c r="L168">
        <v>1450</v>
      </c>
      <c r="M168">
        <v>5</v>
      </c>
      <c r="N168">
        <v>2</v>
      </c>
      <c r="O168">
        <v>0</v>
      </c>
      <c r="P168" t="s">
        <v>18</v>
      </c>
      <c r="Q168">
        <v>2</v>
      </c>
      <c r="R168">
        <v>0</v>
      </c>
      <c r="S168" t="s">
        <v>22</v>
      </c>
      <c r="T168">
        <v>1</v>
      </c>
      <c r="U168">
        <v>0</v>
      </c>
    </row>
    <row r="169" spans="1:21" x14ac:dyDescent="0.25">
      <c r="A169">
        <v>9573908</v>
      </c>
      <c r="B169" t="s">
        <v>15</v>
      </c>
      <c r="C169" s="1">
        <v>42877</v>
      </c>
      <c r="D169" s="2">
        <f>YEAR(C169)</f>
        <v>2017</v>
      </c>
      <c r="E169">
        <v>134000</v>
      </c>
      <c r="F169" t="s">
        <v>16</v>
      </c>
      <c r="G169">
        <v>1966</v>
      </c>
      <c r="H169">
        <v>8460</v>
      </c>
      <c r="I169" t="s">
        <v>20</v>
      </c>
      <c r="J169">
        <v>76</v>
      </c>
      <c r="K169">
        <v>60077</v>
      </c>
      <c r="L169">
        <v>1020</v>
      </c>
      <c r="M169">
        <v>5</v>
      </c>
      <c r="N169">
        <v>1</v>
      </c>
      <c r="O169">
        <v>0</v>
      </c>
      <c r="P169" t="s">
        <v>18</v>
      </c>
      <c r="Q169">
        <v>2</v>
      </c>
      <c r="R169">
        <v>0</v>
      </c>
      <c r="S169" t="s">
        <v>19</v>
      </c>
      <c r="T169">
        <v>0</v>
      </c>
      <c r="U169">
        <v>0</v>
      </c>
    </row>
    <row r="170" spans="1:21" x14ac:dyDescent="0.25">
      <c r="A170">
        <v>9911397</v>
      </c>
      <c r="B170" t="s">
        <v>15</v>
      </c>
      <c r="C170" s="1">
        <v>43258</v>
      </c>
      <c r="D170" s="2">
        <f>YEAR(C170)</f>
        <v>2018</v>
      </c>
      <c r="E170">
        <v>119900</v>
      </c>
      <c r="F170" t="s">
        <v>16</v>
      </c>
      <c r="G170">
        <v>1966</v>
      </c>
      <c r="H170">
        <v>7861</v>
      </c>
      <c r="I170" t="s">
        <v>46</v>
      </c>
      <c r="J170">
        <v>76</v>
      </c>
      <c r="K170">
        <v>60077</v>
      </c>
      <c r="L170">
        <v>1000</v>
      </c>
      <c r="M170">
        <v>4</v>
      </c>
      <c r="N170">
        <v>1</v>
      </c>
      <c r="O170">
        <v>0</v>
      </c>
      <c r="P170" t="s">
        <v>18</v>
      </c>
      <c r="Q170">
        <v>1</v>
      </c>
      <c r="R170">
        <v>0</v>
      </c>
      <c r="S170" t="s">
        <v>21</v>
      </c>
      <c r="T170">
        <v>1</v>
      </c>
      <c r="U170">
        <v>0</v>
      </c>
    </row>
    <row r="171" spans="1:21" x14ac:dyDescent="0.25">
      <c r="A171">
        <v>10079224</v>
      </c>
      <c r="B171" t="s">
        <v>15</v>
      </c>
      <c r="C171" s="1">
        <v>43509</v>
      </c>
      <c r="D171" s="2">
        <f>YEAR(C171)</f>
        <v>2019</v>
      </c>
      <c r="E171">
        <v>230000</v>
      </c>
      <c r="F171" t="s">
        <v>16</v>
      </c>
      <c r="G171">
        <v>1975</v>
      </c>
      <c r="H171">
        <v>9240</v>
      </c>
      <c r="I171" t="s">
        <v>62</v>
      </c>
      <c r="J171">
        <v>76</v>
      </c>
      <c r="K171">
        <v>60077</v>
      </c>
      <c r="L171">
        <v>1500</v>
      </c>
      <c r="M171">
        <v>5</v>
      </c>
      <c r="N171">
        <v>2</v>
      </c>
      <c r="O171">
        <v>0</v>
      </c>
      <c r="P171" t="s">
        <v>18</v>
      </c>
      <c r="Q171">
        <v>2</v>
      </c>
      <c r="R171">
        <v>0</v>
      </c>
      <c r="S171" t="s">
        <v>21</v>
      </c>
      <c r="T171">
        <v>1</v>
      </c>
      <c r="U171">
        <v>0</v>
      </c>
    </row>
    <row r="172" spans="1:21" x14ac:dyDescent="0.25">
      <c r="A172">
        <v>9589979</v>
      </c>
      <c r="B172" t="s">
        <v>15</v>
      </c>
      <c r="C172" s="1">
        <v>42867</v>
      </c>
      <c r="D172" s="2">
        <f>YEAR(C172)</f>
        <v>2017</v>
      </c>
      <c r="E172">
        <v>195000</v>
      </c>
      <c r="F172" t="s">
        <v>16</v>
      </c>
      <c r="G172">
        <v>1976</v>
      </c>
      <c r="H172">
        <v>9801</v>
      </c>
      <c r="I172" t="s">
        <v>62</v>
      </c>
      <c r="J172">
        <v>76</v>
      </c>
      <c r="K172">
        <v>60076</v>
      </c>
      <c r="L172">
        <v>1700</v>
      </c>
      <c r="M172">
        <v>5</v>
      </c>
      <c r="N172">
        <v>2</v>
      </c>
      <c r="O172">
        <v>0</v>
      </c>
      <c r="P172" t="s">
        <v>18</v>
      </c>
      <c r="Q172">
        <v>2</v>
      </c>
      <c r="R172">
        <v>0</v>
      </c>
      <c r="S172" t="s">
        <v>21</v>
      </c>
      <c r="T172">
        <v>2</v>
      </c>
      <c r="U172">
        <v>0</v>
      </c>
    </row>
    <row r="173" spans="1:21" x14ac:dyDescent="0.25">
      <c r="A173">
        <v>9780501</v>
      </c>
      <c r="B173" t="s">
        <v>15</v>
      </c>
      <c r="C173" s="1">
        <v>43108</v>
      </c>
      <c r="D173" s="2">
        <f>YEAR(C173)</f>
        <v>2018</v>
      </c>
      <c r="E173">
        <v>201000</v>
      </c>
      <c r="F173" t="s">
        <v>16</v>
      </c>
      <c r="G173">
        <v>1976</v>
      </c>
      <c r="H173">
        <v>9242</v>
      </c>
      <c r="I173" t="s">
        <v>62</v>
      </c>
      <c r="J173">
        <v>76</v>
      </c>
      <c r="K173">
        <v>60076</v>
      </c>
      <c r="L173">
        <v>1600</v>
      </c>
      <c r="M173">
        <v>5</v>
      </c>
      <c r="N173">
        <v>2</v>
      </c>
      <c r="O173">
        <v>0</v>
      </c>
      <c r="P173" t="s">
        <v>18</v>
      </c>
      <c r="Q173">
        <v>2</v>
      </c>
      <c r="R173">
        <v>0</v>
      </c>
      <c r="S173" t="s">
        <v>21</v>
      </c>
      <c r="T173">
        <v>1</v>
      </c>
      <c r="U173">
        <v>0</v>
      </c>
    </row>
    <row r="174" spans="1:21" x14ac:dyDescent="0.25">
      <c r="A174">
        <v>9906350</v>
      </c>
      <c r="B174" t="s">
        <v>15</v>
      </c>
      <c r="C174" s="1">
        <v>43272</v>
      </c>
      <c r="D174" s="2">
        <f>YEAR(C174)</f>
        <v>2018</v>
      </c>
      <c r="E174">
        <v>260000</v>
      </c>
      <c r="F174" t="s">
        <v>16</v>
      </c>
      <c r="G174">
        <v>1976</v>
      </c>
      <c r="H174">
        <v>9242</v>
      </c>
      <c r="I174" t="s">
        <v>62</v>
      </c>
      <c r="J174">
        <v>76</v>
      </c>
      <c r="K174">
        <v>60077</v>
      </c>
      <c r="L174">
        <v>1500</v>
      </c>
      <c r="M174">
        <v>5</v>
      </c>
      <c r="N174">
        <v>2</v>
      </c>
      <c r="O174">
        <v>0</v>
      </c>
      <c r="P174" t="s">
        <v>18</v>
      </c>
      <c r="Q174">
        <v>2</v>
      </c>
      <c r="R174">
        <v>0</v>
      </c>
      <c r="S174" t="s">
        <v>21</v>
      </c>
      <c r="T174">
        <v>1</v>
      </c>
      <c r="U174">
        <v>0</v>
      </c>
    </row>
    <row r="175" spans="1:21" x14ac:dyDescent="0.25">
      <c r="A175">
        <v>9819645</v>
      </c>
      <c r="B175" t="s">
        <v>15</v>
      </c>
      <c r="C175" s="1">
        <v>43206</v>
      </c>
      <c r="D175" s="2">
        <f>YEAR(C175)</f>
        <v>2018</v>
      </c>
      <c r="E175">
        <v>130000</v>
      </c>
      <c r="F175" t="s">
        <v>16</v>
      </c>
      <c r="G175">
        <v>1976</v>
      </c>
      <c r="H175">
        <v>4900</v>
      </c>
      <c r="I175" t="s">
        <v>45</v>
      </c>
      <c r="J175">
        <v>76</v>
      </c>
      <c r="K175">
        <v>60077</v>
      </c>
      <c r="L175">
        <v>1000</v>
      </c>
      <c r="M175">
        <v>4</v>
      </c>
      <c r="N175">
        <v>1</v>
      </c>
      <c r="O175">
        <v>0</v>
      </c>
      <c r="P175" t="s">
        <v>18</v>
      </c>
      <c r="Q175">
        <v>1</v>
      </c>
      <c r="R175">
        <v>0</v>
      </c>
      <c r="S175" t="s">
        <v>21</v>
      </c>
      <c r="T175">
        <v>1</v>
      </c>
      <c r="U175">
        <v>0</v>
      </c>
    </row>
    <row r="176" spans="1:21" x14ac:dyDescent="0.25">
      <c r="A176">
        <v>9688948</v>
      </c>
      <c r="B176" t="s">
        <v>15</v>
      </c>
      <c r="C176" s="1">
        <v>43011</v>
      </c>
      <c r="D176" s="2">
        <f>YEAR(C176)</f>
        <v>2017</v>
      </c>
      <c r="E176">
        <v>185000</v>
      </c>
      <c r="F176" t="s">
        <v>16</v>
      </c>
      <c r="G176">
        <v>1977</v>
      </c>
      <c r="H176">
        <v>9801</v>
      </c>
      <c r="I176" t="s">
        <v>61</v>
      </c>
      <c r="J176">
        <v>76</v>
      </c>
      <c r="K176">
        <v>60076</v>
      </c>
      <c r="L176">
        <v>1465</v>
      </c>
      <c r="M176">
        <v>5</v>
      </c>
      <c r="N176">
        <v>2</v>
      </c>
      <c r="O176">
        <v>0</v>
      </c>
      <c r="P176" t="s">
        <v>18</v>
      </c>
      <c r="Q176">
        <v>2</v>
      </c>
      <c r="R176">
        <v>0</v>
      </c>
      <c r="S176" t="s">
        <v>21</v>
      </c>
      <c r="T176">
        <v>2</v>
      </c>
      <c r="U176">
        <v>0</v>
      </c>
    </row>
    <row r="177" spans="1:21" x14ac:dyDescent="0.25">
      <c r="A177">
        <v>9704289</v>
      </c>
      <c r="B177" t="s">
        <v>15</v>
      </c>
      <c r="C177" s="1">
        <v>43014</v>
      </c>
      <c r="D177" s="2">
        <f>YEAR(C177)</f>
        <v>2017</v>
      </c>
      <c r="E177">
        <v>155500</v>
      </c>
      <c r="F177" t="s">
        <v>16</v>
      </c>
      <c r="G177">
        <v>1977</v>
      </c>
      <c r="H177">
        <v>5406</v>
      </c>
      <c r="I177" t="s">
        <v>69</v>
      </c>
      <c r="J177">
        <v>76</v>
      </c>
      <c r="K177">
        <v>60077</v>
      </c>
      <c r="L177">
        <v>1200</v>
      </c>
      <c r="M177">
        <v>5</v>
      </c>
      <c r="N177">
        <v>2</v>
      </c>
      <c r="O177">
        <v>0</v>
      </c>
      <c r="P177" t="s">
        <v>18</v>
      </c>
      <c r="Q177">
        <v>2</v>
      </c>
      <c r="R177">
        <v>0</v>
      </c>
      <c r="S177" t="s">
        <v>21</v>
      </c>
      <c r="T177">
        <v>2</v>
      </c>
      <c r="U177">
        <v>0</v>
      </c>
    </row>
    <row r="178" spans="1:21" x14ac:dyDescent="0.25">
      <c r="A178">
        <v>9940038</v>
      </c>
      <c r="B178" t="s">
        <v>15</v>
      </c>
      <c r="C178" s="1">
        <v>43290</v>
      </c>
      <c r="D178" s="2">
        <f>YEAR(C178)</f>
        <v>2018</v>
      </c>
      <c r="E178">
        <v>154000</v>
      </c>
      <c r="F178" t="s">
        <v>16</v>
      </c>
      <c r="G178">
        <v>1977</v>
      </c>
      <c r="H178">
        <v>4901</v>
      </c>
      <c r="I178" t="s">
        <v>63</v>
      </c>
      <c r="J178">
        <v>76</v>
      </c>
      <c r="K178">
        <v>60077</v>
      </c>
      <c r="L178">
        <v>1016</v>
      </c>
      <c r="M178">
        <v>5</v>
      </c>
      <c r="N178">
        <v>1</v>
      </c>
      <c r="O178">
        <v>0</v>
      </c>
      <c r="P178" t="s">
        <v>18</v>
      </c>
      <c r="Q178">
        <v>1</v>
      </c>
      <c r="R178">
        <v>0</v>
      </c>
      <c r="S178" t="s">
        <v>21</v>
      </c>
      <c r="T178">
        <v>1</v>
      </c>
      <c r="U178">
        <v>0</v>
      </c>
    </row>
    <row r="179" spans="1:21" x14ac:dyDescent="0.25">
      <c r="A179">
        <v>9489417</v>
      </c>
      <c r="B179" t="s">
        <v>15</v>
      </c>
      <c r="C179" s="1">
        <v>42864</v>
      </c>
      <c r="D179" s="2">
        <f>YEAR(C179)</f>
        <v>2017</v>
      </c>
      <c r="E179">
        <v>208000</v>
      </c>
      <c r="F179" t="s">
        <v>16</v>
      </c>
      <c r="G179">
        <v>1978</v>
      </c>
      <c r="H179">
        <v>9558</v>
      </c>
      <c r="I179" t="s">
        <v>62</v>
      </c>
      <c r="J179">
        <v>76</v>
      </c>
      <c r="K179">
        <v>60076</v>
      </c>
      <c r="L179">
        <v>2000</v>
      </c>
      <c r="M179">
        <v>6</v>
      </c>
      <c r="N179">
        <v>2</v>
      </c>
      <c r="O179">
        <v>0</v>
      </c>
      <c r="P179" t="s">
        <v>18</v>
      </c>
      <c r="Q179">
        <v>3</v>
      </c>
      <c r="R179">
        <v>0</v>
      </c>
      <c r="S179" t="s">
        <v>21</v>
      </c>
      <c r="T179">
        <v>2</v>
      </c>
      <c r="U179">
        <v>0</v>
      </c>
    </row>
    <row r="180" spans="1:21" x14ac:dyDescent="0.25">
      <c r="A180">
        <v>9927013</v>
      </c>
      <c r="B180" t="s">
        <v>15</v>
      </c>
      <c r="C180" s="1">
        <v>43320</v>
      </c>
      <c r="D180" s="2">
        <f>YEAR(C180)</f>
        <v>2018</v>
      </c>
      <c r="E180">
        <v>220000</v>
      </c>
      <c r="F180" t="s">
        <v>16</v>
      </c>
      <c r="G180">
        <v>1978</v>
      </c>
      <c r="H180">
        <v>9558</v>
      </c>
      <c r="I180" t="s">
        <v>62</v>
      </c>
      <c r="J180">
        <v>76</v>
      </c>
      <c r="K180">
        <v>60076</v>
      </c>
      <c r="L180">
        <v>1975</v>
      </c>
      <c r="M180">
        <v>6</v>
      </c>
      <c r="N180">
        <v>2</v>
      </c>
      <c r="O180">
        <v>0</v>
      </c>
      <c r="P180" t="s">
        <v>18</v>
      </c>
      <c r="Q180">
        <v>3</v>
      </c>
      <c r="R180">
        <v>0</v>
      </c>
      <c r="S180" t="s">
        <v>21</v>
      </c>
      <c r="T180">
        <v>2</v>
      </c>
      <c r="U180">
        <v>0</v>
      </c>
    </row>
    <row r="181" spans="1:21" x14ac:dyDescent="0.25">
      <c r="A181">
        <v>9903905</v>
      </c>
      <c r="B181" t="s">
        <v>15</v>
      </c>
      <c r="C181" s="1">
        <v>43277</v>
      </c>
      <c r="D181" s="2">
        <f>YEAR(C181)</f>
        <v>2018</v>
      </c>
      <c r="E181">
        <v>177000</v>
      </c>
      <c r="F181" t="s">
        <v>16</v>
      </c>
      <c r="G181">
        <v>1978</v>
      </c>
      <c r="H181">
        <v>9558</v>
      </c>
      <c r="I181" t="s">
        <v>62</v>
      </c>
      <c r="J181">
        <v>76</v>
      </c>
      <c r="K181">
        <v>60076</v>
      </c>
      <c r="L181">
        <v>1720</v>
      </c>
      <c r="M181">
        <v>5</v>
      </c>
      <c r="N181">
        <v>2</v>
      </c>
      <c r="O181">
        <v>0</v>
      </c>
      <c r="P181" t="s">
        <v>18</v>
      </c>
      <c r="Q181">
        <v>2</v>
      </c>
      <c r="R181">
        <v>0</v>
      </c>
      <c r="S181" t="s">
        <v>21</v>
      </c>
      <c r="T181">
        <v>2</v>
      </c>
      <c r="U181">
        <v>0</v>
      </c>
    </row>
    <row r="182" spans="1:21" x14ac:dyDescent="0.25">
      <c r="A182">
        <v>9302747</v>
      </c>
      <c r="B182" t="s">
        <v>15</v>
      </c>
      <c r="C182" s="1">
        <v>42887</v>
      </c>
      <c r="D182" s="2">
        <f>YEAR(C182)</f>
        <v>2017</v>
      </c>
      <c r="E182">
        <v>172000</v>
      </c>
      <c r="F182" t="s">
        <v>16</v>
      </c>
      <c r="G182">
        <v>1979</v>
      </c>
      <c r="H182">
        <v>9560</v>
      </c>
      <c r="I182" t="s">
        <v>61</v>
      </c>
      <c r="J182">
        <v>76</v>
      </c>
      <c r="K182">
        <v>60076</v>
      </c>
      <c r="L182">
        <v>1610</v>
      </c>
      <c r="M182">
        <v>5</v>
      </c>
      <c r="N182">
        <v>2</v>
      </c>
      <c r="O182">
        <v>0</v>
      </c>
      <c r="P182" t="s">
        <v>18</v>
      </c>
      <c r="Q182">
        <v>2</v>
      </c>
      <c r="R182">
        <v>0</v>
      </c>
      <c r="S182" t="s">
        <v>21</v>
      </c>
      <c r="T182">
        <v>2</v>
      </c>
      <c r="U182">
        <v>0</v>
      </c>
    </row>
    <row r="183" spans="1:21" x14ac:dyDescent="0.25">
      <c r="A183">
        <v>9623840</v>
      </c>
      <c r="B183" t="s">
        <v>15</v>
      </c>
      <c r="C183" s="1">
        <v>42922</v>
      </c>
      <c r="D183" s="2">
        <f>YEAR(C183)</f>
        <v>2017</v>
      </c>
      <c r="E183">
        <v>216000</v>
      </c>
      <c r="F183" t="s">
        <v>16</v>
      </c>
      <c r="G183">
        <v>1979</v>
      </c>
      <c r="H183">
        <v>9244</v>
      </c>
      <c r="I183" t="s">
        <v>62</v>
      </c>
      <c r="J183">
        <v>76</v>
      </c>
      <c r="K183">
        <v>60077</v>
      </c>
      <c r="L183">
        <v>1600</v>
      </c>
      <c r="M183">
        <v>5</v>
      </c>
      <c r="N183">
        <v>2</v>
      </c>
      <c r="O183">
        <v>0</v>
      </c>
      <c r="P183" t="s">
        <v>18</v>
      </c>
      <c r="Q183">
        <v>2</v>
      </c>
      <c r="R183">
        <v>0</v>
      </c>
      <c r="S183" t="s">
        <v>21</v>
      </c>
      <c r="T183">
        <v>1</v>
      </c>
      <c r="U183">
        <v>0</v>
      </c>
    </row>
    <row r="184" spans="1:21" x14ac:dyDescent="0.25">
      <c r="A184">
        <v>9336676</v>
      </c>
      <c r="B184" t="s">
        <v>15</v>
      </c>
      <c r="C184" s="1">
        <v>42800</v>
      </c>
      <c r="D184" s="2">
        <f>YEAR(C184)</f>
        <v>2017</v>
      </c>
      <c r="E184">
        <v>186500</v>
      </c>
      <c r="F184" t="s">
        <v>16</v>
      </c>
      <c r="G184">
        <v>1990</v>
      </c>
      <c r="H184">
        <v>4757</v>
      </c>
      <c r="I184" t="s">
        <v>49</v>
      </c>
      <c r="J184">
        <v>76</v>
      </c>
      <c r="K184">
        <v>60076</v>
      </c>
      <c r="L184">
        <v>1500</v>
      </c>
      <c r="M184">
        <v>5</v>
      </c>
      <c r="N184">
        <v>2</v>
      </c>
      <c r="O184">
        <v>0</v>
      </c>
      <c r="P184" t="s">
        <v>18</v>
      </c>
      <c r="Q184">
        <v>2</v>
      </c>
      <c r="R184">
        <v>0</v>
      </c>
      <c r="S184" t="s">
        <v>21</v>
      </c>
      <c r="T184">
        <v>1</v>
      </c>
      <c r="U184">
        <v>0</v>
      </c>
    </row>
    <row r="185" spans="1:21" x14ac:dyDescent="0.25">
      <c r="A185">
        <v>9336628</v>
      </c>
      <c r="B185" t="s">
        <v>15</v>
      </c>
      <c r="C185" s="1">
        <v>42859</v>
      </c>
      <c r="D185" s="2">
        <f>YEAR(C185)</f>
        <v>2017</v>
      </c>
      <c r="E185">
        <v>215000</v>
      </c>
      <c r="F185" t="s">
        <v>16</v>
      </c>
      <c r="G185">
        <v>1997</v>
      </c>
      <c r="H185">
        <v>5000</v>
      </c>
      <c r="I185" t="s">
        <v>66</v>
      </c>
      <c r="J185">
        <v>76</v>
      </c>
      <c r="K185">
        <v>60077</v>
      </c>
      <c r="L185">
        <v>1240</v>
      </c>
      <c r="M185">
        <v>5</v>
      </c>
      <c r="N185">
        <v>1</v>
      </c>
      <c r="O185">
        <v>0</v>
      </c>
      <c r="P185" t="s">
        <v>18</v>
      </c>
      <c r="Q185">
        <v>2</v>
      </c>
      <c r="R185">
        <v>0</v>
      </c>
      <c r="S185" t="s">
        <v>21</v>
      </c>
      <c r="T185">
        <v>1</v>
      </c>
      <c r="U185">
        <v>0</v>
      </c>
    </row>
    <row r="186" spans="1:21" x14ac:dyDescent="0.25">
      <c r="A186">
        <v>9933593</v>
      </c>
      <c r="B186" t="s">
        <v>15</v>
      </c>
      <c r="C186" s="1">
        <v>43278</v>
      </c>
      <c r="D186" s="2">
        <f>YEAR(C186)</f>
        <v>2018</v>
      </c>
      <c r="E186">
        <v>224900</v>
      </c>
      <c r="F186" t="s">
        <v>16</v>
      </c>
      <c r="G186">
        <v>1997</v>
      </c>
      <c r="H186">
        <v>5000</v>
      </c>
      <c r="I186" t="s">
        <v>66</v>
      </c>
      <c r="J186">
        <v>76</v>
      </c>
      <c r="K186">
        <v>60077</v>
      </c>
      <c r="L186">
        <v>1138</v>
      </c>
      <c r="M186">
        <v>5</v>
      </c>
      <c r="N186">
        <v>1</v>
      </c>
      <c r="O186">
        <v>0</v>
      </c>
      <c r="P186" t="s">
        <v>18</v>
      </c>
      <c r="Q186">
        <v>2</v>
      </c>
      <c r="R186">
        <v>0</v>
      </c>
      <c r="S186" t="s">
        <v>21</v>
      </c>
      <c r="T186">
        <v>1</v>
      </c>
      <c r="U186">
        <v>0</v>
      </c>
    </row>
    <row r="187" spans="1:21" x14ac:dyDescent="0.25">
      <c r="A187">
        <v>9559439</v>
      </c>
      <c r="B187" t="s">
        <v>15</v>
      </c>
      <c r="C187" s="1">
        <v>42888</v>
      </c>
      <c r="D187" s="2">
        <f>YEAR(C187)</f>
        <v>2017</v>
      </c>
      <c r="E187">
        <v>220000</v>
      </c>
      <c r="F187" t="s">
        <v>16</v>
      </c>
      <c r="G187">
        <v>1999</v>
      </c>
      <c r="H187">
        <v>5005</v>
      </c>
      <c r="I187" t="s">
        <v>73</v>
      </c>
      <c r="J187">
        <v>76</v>
      </c>
      <c r="K187">
        <v>60077</v>
      </c>
      <c r="L187">
        <v>1500</v>
      </c>
      <c r="M187">
        <v>5</v>
      </c>
      <c r="N187">
        <v>2</v>
      </c>
      <c r="O187">
        <v>0</v>
      </c>
      <c r="P187" t="s">
        <v>18</v>
      </c>
      <c r="Q187">
        <v>2</v>
      </c>
      <c r="R187">
        <v>0</v>
      </c>
      <c r="S187" t="s">
        <v>21</v>
      </c>
      <c r="T187">
        <v>1</v>
      </c>
      <c r="U187">
        <v>0</v>
      </c>
    </row>
    <row r="188" spans="1:21" x14ac:dyDescent="0.25">
      <c r="A188">
        <v>10079918</v>
      </c>
      <c r="B188" t="s">
        <v>15</v>
      </c>
      <c r="C188" s="1">
        <v>43446</v>
      </c>
      <c r="D188" s="2">
        <f>YEAR(C188)</f>
        <v>2018</v>
      </c>
      <c r="E188">
        <v>225000</v>
      </c>
      <c r="F188" t="s">
        <v>16</v>
      </c>
      <c r="G188">
        <v>2000</v>
      </c>
      <c r="H188">
        <v>7450</v>
      </c>
      <c r="I188" t="s">
        <v>69</v>
      </c>
      <c r="J188">
        <v>76</v>
      </c>
      <c r="K188">
        <v>60076</v>
      </c>
      <c r="L188">
        <v>1400</v>
      </c>
      <c r="M188">
        <v>5</v>
      </c>
      <c r="N188">
        <v>2</v>
      </c>
      <c r="O188">
        <v>0</v>
      </c>
      <c r="P188" t="s">
        <v>18</v>
      </c>
      <c r="Q188">
        <v>2</v>
      </c>
      <c r="R188">
        <v>0</v>
      </c>
      <c r="S188" t="s">
        <v>21</v>
      </c>
      <c r="T188">
        <v>1</v>
      </c>
      <c r="U188">
        <v>0</v>
      </c>
    </row>
    <row r="189" spans="1:21" x14ac:dyDescent="0.25">
      <c r="A189">
        <v>9514619</v>
      </c>
      <c r="B189" t="s">
        <v>15</v>
      </c>
      <c r="C189" s="1">
        <v>42866</v>
      </c>
      <c r="D189" s="2">
        <f>YEAR(C189)</f>
        <v>2017</v>
      </c>
      <c r="E189">
        <v>256500</v>
      </c>
      <c r="F189" t="s">
        <v>16</v>
      </c>
      <c r="G189">
        <v>2001</v>
      </c>
      <c r="H189">
        <v>5055</v>
      </c>
      <c r="I189" t="s">
        <v>55</v>
      </c>
      <c r="J189">
        <v>76</v>
      </c>
      <c r="K189">
        <v>60077</v>
      </c>
      <c r="L189">
        <v>1402</v>
      </c>
      <c r="M189">
        <v>5</v>
      </c>
      <c r="N189">
        <v>2</v>
      </c>
      <c r="O189">
        <v>0</v>
      </c>
      <c r="P189" t="s">
        <v>18</v>
      </c>
      <c r="Q189">
        <v>2</v>
      </c>
      <c r="R189">
        <v>0</v>
      </c>
      <c r="S189" t="s">
        <v>21</v>
      </c>
      <c r="T189">
        <v>1</v>
      </c>
      <c r="U189">
        <v>0</v>
      </c>
    </row>
    <row r="190" spans="1:21" x14ac:dyDescent="0.25">
      <c r="A190">
        <v>9771894</v>
      </c>
      <c r="B190" t="s">
        <v>15</v>
      </c>
      <c r="C190" s="1">
        <v>43038</v>
      </c>
      <c r="D190" s="2">
        <f>YEAR(C190)</f>
        <v>2017</v>
      </c>
      <c r="E190">
        <v>268500</v>
      </c>
      <c r="F190" t="s">
        <v>16</v>
      </c>
      <c r="G190">
        <v>2002</v>
      </c>
      <c r="H190">
        <v>5055</v>
      </c>
      <c r="I190" t="s">
        <v>74</v>
      </c>
      <c r="J190">
        <v>76</v>
      </c>
      <c r="K190">
        <v>60077</v>
      </c>
      <c r="L190">
        <v>1597</v>
      </c>
      <c r="M190">
        <v>5</v>
      </c>
      <c r="N190">
        <v>2</v>
      </c>
      <c r="O190">
        <v>0</v>
      </c>
      <c r="P190" t="s">
        <v>18</v>
      </c>
      <c r="Q190">
        <v>2</v>
      </c>
      <c r="R190">
        <v>0</v>
      </c>
      <c r="S190" t="s">
        <v>21</v>
      </c>
      <c r="T190">
        <v>1</v>
      </c>
      <c r="U190">
        <v>0</v>
      </c>
    </row>
    <row r="191" spans="1:21" x14ac:dyDescent="0.25">
      <c r="A191">
        <v>9884057</v>
      </c>
      <c r="B191" t="s">
        <v>15</v>
      </c>
      <c r="C191" s="1">
        <v>43263</v>
      </c>
      <c r="D191" s="2">
        <f>YEAR(C191)</f>
        <v>2018</v>
      </c>
      <c r="E191">
        <v>361700</v>
      </c>
      <c r="F191" t="s">
        <v>16</v>
      </c>
      <c r="G191">
        <v>2004</v>
      </c>
      <c r="H191">
        <v>5055</v>
      </c>
      <c r="I191" t="s">
        <v>55</v>
      </c>
      <c r="J191">
        <v>76</v>
      </c>
      <c r="K191">
        <v>60077</v>
      </c>
      <c r="L191">
        <v>2010</v>
      </c>
      <c r="M191">
        <v>6</v>
      </c>
      <c r="N191">
        <v>2</v>
      </c>
      <c r="O191">
        <v>0</v>
      </c>
      <c r="P191" t="s">
        <v>18</v>
      </c>
      <c r="Q191">
        <v>3</v>
      </c>
      <c r="R191">
        <v>0</v>
      </c>
      <c r="S191" t="s">
        <v>21</v>
      </c>
      <c r="T191">
        <v>2</v>
      </c>
      <c r="U191">
        <v>0</v>
      </c>
    </row>
    <row r="192" spans="1:21" x14ac:dyDescent="0.25">
      <c r="A192">
        <v>9593639</v>
      </c>
      <c r="B192" t="s">
        <v>15</v>
      </c>
      <c r="C192" s="1">
        <v>42885</v>
      </c>
      <c r="D192" s="2">
        <f>YEAR(C192)</f>
        <v>2017</v>
      </c>
      <c r="E192">
        <v>170000</v>
      </c>
      <c r="F192" t="s">
        <v>16</v>
      </c>
      <c r="G192">
        <v>2004</v>
      </c>
      <c r="H192">
        <v>5055</v>
      </c>
      <c r="I192" t="s">
        <v>55</v>
      </c>
      <c r="J192">
        <v>76</v>
      </c>
      <c r="K192">
        <v>60077</v>
      </c>
      <c r="L192">
        <v>978</v>
      </c>
      <c r="M192">
        <v>3</v>
      </c>
      <c r="N192">
        <v>1</v>
      </c>
      <c r="O192">
        <v>0</v>
      </c>
      <c r="P192" t="s">
        <v>18</v>
      </c>
      <c r="Q192">
        <v>1</v>
      </c>
      <c r="R192">
        <v>0</v>
      </c>
      <c r="S192" t="s">
        <v>21</v>
      </c>
      <c r="T192">
        <v>1</v>
      </c>
      <c r="U192">
        <v>0</v>
      </c>
    </row>
    <row r="193" spans="1:21" x14ac:dyDescent="0.25">
      <c r="A193">
        <v>10128619</v>
      </c>
      <c r="B193" t="s">
        <v>15</v>
      </c>
      <c r="C193" s="1">
        <v>43418</v>
      </c>
      <c r="D193" s="2">
        <f>YEAR(C193)</f>
        <v>2018</v>
      </c>
      <c r="E193">
        <v>180000</v>
      </c>
      <c r="F193" t="s">
        <v>16</v>
      </c>
      <c r="G193">
        <v>2004</v>
      </c>
      <c r="H193">
        <v>5155</v>
      </c>
      <c r="I193" t="s">
        <v>74</v>
      </c>
      <c r="J193">
        <v>76</v>
      </c>
      <c r="K193">
        <v>60077</v>
      </c>
      <c r="L193">
        <v>978</v>
      </c>
      <c r="M193">
        <v>3</v>
      </c>
      <c r="N193">
        <v>1</v>
      </c>
      <c r="O193">
        <v>0</v>
      </c>
      <c r="P193" t="s">
        <v>18</v>
      </c>
      <c r="Q193">
        <v>1</v>
      </c>
      <c r="R193">
        <v>0</v>
      </c>
      <c r="S193" t="s">
        <v>21</v>
      </c>
      <c r="T193">
        <v>1</v>
      </c>
      <c r="U193">
        <v>0</v>
      </c>
    </row>
    <row r="194" spans="1:21" x14ac:dyDescent="0.25">
      <c r="A194">
        <v>9625800</v>
      </c>
      <c r="B194" t="s">
        <v>15</v>
      </c>
      <c r="C194" s="1">
        <v>42930</v>
      </c>
      <c r="D194" s="2">
        <f>YEAR(C194)</f>
        <v>2017</v>
      </c>
      <c r="E194">
        <v>419000</v>
      </c>
      <c r="F194" t="s">
        <v>16</v>
      </c>
      <c r="G194">
        <v>2005</v>
      </c>
      <c r="H194">
        <v>9655</v>
      </c>
      <c r="I194" t="s">
        <v>78</v>
      </c>
      <c r="J194">
        <v>76</v>
      </c>
      <c r="K194">
        <v>60077</v>
      </c>
      <c r="L194">
        <v>1711</v>
      </c>
      <c r="M194">
        <v>6</v>
      </c>
      <c r="N194">
        <v>2</v>
      </c>
      <c r="O194">
        <v>0</v>
      </c>
      <c r="P194" t="s">
        <v>18</v>
      </c>
      <c r="Q194">
        <v>3</v>
      </c>
      <c r="R194">
        <v>0</v>
      </c>
      <c r="S194" t="s">
        <v>21</v>
      </c>
      <c r="T194">
        <v>2</v>
      </c>
      <c r="U194">
        <v>0</v>
      </c>
    </row>
    <row r="195" spans="1:21" x14ac:dyDescent="0.25">
      <c r="A195">
        <v>9652839</v>
      </c>
      <c r="B195" t="s">
        <v>15</v>
      </c>
      <c r="C195" s="1">
        <v>42944</v>
      </c>
      <c r="D195" s="2">
        <f>YEAR(C195)</f>
        <v>2017</v>
      </c>
      <c r="E195">
        <v>240000</v>
      </c>
      <c r="F195" t="s">
        <v>16</v>
      </c>
      <c r="G195">
        <v>2005</v>
      </c>
      <c r="H195">
        <v>4953</v>
      </c>
      <c r="I195" t="s">
        <v>66</v>
      </c>
      <c r="J195">
        <v>76</v>
      </c>
      <c r="K195">
        <v>60077</v>
      </c>
      <c r="L195">
        <v>1650</v>
      </c>
      <c r="M195">
        <v>6</v>
      </c>
      <c r="N195">
        <v>2</v>
      </c>
      <c r="O195">
        <v>0</v>
      </c>
      <c r="P195" t="s">
        <v>18</v>
      </c>
      <c r="Q195">
        <v>2</v>
      </c>
      <c r="R195">
        <v>0</v>
      </c>
      <c r="S195" t="s">
        <v>21</v>
      </c>
      <c r="T195">
        <v>1</v>
      </c>
      <c r="U195">
        <v>0</v>
      </c>
    </row>
    <row r="196" spans="1:21" x14ac:dyDescent="0.25">
      <c r="A196">
        <v>9679272</v>
      </c>
      <c r="B196" t="s">
        <v>15</v>
      </c>
      <c r="C196" s="1">
        <v>42992</v>
      </c>
      <c r="D196" s="2">
        <f>YEAR(C196)</f>
        <v>2017</v>
      </c>
      <c r="E196">
        <v>267500</v>
      </c>
      <c r="F196" t="s">
        <v>16</v>
      </c>
      <c r="G196">
        <v>2005</v>
      </c>
      <c r="H196">
        <v>5155</v>
      </c>
      <c r="I196" t="s">
        <v>55</v>
      </c>
      <c r="J196">
        <v>76</v>
      </c>
      <c r="K196">
        <v>60077</v>
      </c>
      <c r="L196">
        <v>1300</v>
      </c>
      <c r="M196">
        <v>5</v>
      </c>
      <c r="N196">
        <v>2</v>
      </c>
      <c r="O196">
        <v>0</v>
      </c>
      <c r="P196" t="s">
        <v>18</v>
      </c>
      <c r="Q196">
        <v>2</v>
      </c>
      <c r="R196">
        <v>0</v>
      </c>
      <c r="S196" t="s">
        <v>21</v>
      </c>
      <c r="T196">
        <v>1</v>
      </c>
      <c r="U196">
        <v>0</v>
      </c>
    </row>
    <row r="197" spans="1:21" x14ac:dyDescent="0.25">
      <c r="A197">
        <v>9495499</v>
      </c>
      <c r="B197" t="s">
        <v>15</v>
      </c>
      <c r="C197" s="1">
        <v>42907</v>
      </c>
      <c r="D197" s="2">
        <f>YEAR(C197)</f>
        <v>2017</v>
      </c>
      <c r="E197">
        <v>512000</v>
      </c>
      <c r="F197" t="s">
        <v>16</v>
      </c>
      <c r="G197">
        <v>2006</v>
      </c>
      <c r="H197">
        <v>9655</v>
      </c>
      <c r="I197" t="s">
        <v>78</v>
      </c>
      <c r="J197">
        <v>76</v>
      </c>
      <c r="K197">
        <v>60077</v>
      </c>
      <c r="L197">
        <v>2150</v>
      </c>
      <c r="M197">
        <v>8</v>
      </c>
      <c r="N197">
        <v>2</v>
      </c>
      <c r="O197">
        <v>1</v>
      </c>
      <c r="P197" t="s">
        <v>18</v>
      </c>
      <c r="Q197">
        <v>3</v>
      </c>
      <c r="R197">
        <v>0</v>
      </c>
      <c r="S197" t="s">
        <v>21</v>
      </c>
      <c r="T197">
        <v>2</v>
      </c>
      <c r="U197">
        <v>0</v>
      </c>
    </row>
    <row r="198" spans="1:21" x14ac:dyDescent="0.25">
      <c r="A198">
        <v>9835881</v>
      </c>
      <c r="B198" t="s">
        <v>15</v>
      </c>
      <c r="C198" s="1">
        <v>43179</v>
      </c>
      <c r="D198" s="2">
        <f>YEAR(C198)</f>
        <v>2018</v>
      </c>
      <c r="E198">
        <v>300000</v>
      </c>
      <c r="F198" t="s">
        <v>16</v>
      </c>
      <c r="G198">
        <v>2006</v>
      </c>
      <c r="H198">
        <v>9655</v>
      </c>
      <c r="I198" t="s">
        <v>77</v>
      </c>
      <c r="J198">
        <v>76</v>
      </c>
      <c r="K198">
        <v>60077</v>
      </c>
      <c r="L198">
        <v>1269</v>
      </c>
      <c r="M198">
        <v>5</v>
      </c>
      <c r="N198">
        <v>2</v>
      </c>
      <c r="O198">
        <v>0</v>
      </c>
      <c r="P198" t="s">
        <v>18</v>
      </c>
      <c r="Q198">
        <v>2</v>
      </c>
      <c r="R198">
        <v>0</v>
      </c>
      <c r="S198" t="s">
        <v>21</v>
      </c>
      <c r="T198">
        <v>2</v>
      </c>
      <c r="U198">
        <v>0</v>
      </c>
    </row>
    <row r="199" spans="1:21" x14ac:dyDescent="0.25">
      <c r="A199">
        <v>9673799</v>
      </c>
      <c r="B199" t="s">
        <v>15</v>
      </c>
      <c r="C199" s="1">
        <v>42944</v>
      </c>
      <c r="D199" s="2">
        <f>YEAR(C199)</f>
        <v>2017</v>
      </c>
      <c r="E199">
        <v>280000</v>
      </c>
      <c r="F199" t="s">
        <v>16</v>
      </c>
      <c r="G199">
        <v>2006</v>
      </c>
      <c r="H199">
        <v>9655</v>
      </c>
      <c r="I199" t="s">
        <v>78</v>
      </c>
      <c r="J199">
        <v>76</v>
      </c>
      <c r="K199">
        <v>60077</v>
      </c>
      <c r="L199">
        <v>1261</v>
      </c>
      <c r="M199">
        <v>5</v>
      </c>
      <c r="N199">
        <v>2</v>
      </c>
      <c r="O199">
        <v>0</v>
      </c>
      <c r="P199" t="s">
        <v>18</v>
      </c>
      <c r="Q199">
        <v>2</v>
      </c>
      <c r="R199">
        <v>0</v>
      </c>
      <c r="S199" t="s">
        <v>21</v>
      </c>
      <c r="T199">
        <v>1</v>
      </c>
      <c r="U199">
        <v>0</v>
      </c>
    </row>
    <row r="200" spans="1:21" x14ac:dyDescent="0.25">
      <c r="A200">
        <v>9586389</v>
      </c>
      <c r="B200" t="s">
        <v>15</v>
      </c>
      <c r="C200" s="1">
        <v>42902</v>
      </c>
      <c r="D200" s="2">
        <f>YEAR(C200)</f>
        <v>2017</v>
      </c>
      <c r="E200">
        <v>252500</v>
      </c>
      <c r="F200" t="s">
        <v>16</v>
      </c>
      <c r="G200">
        <v>2006</v>
      </c>
      <c r="H200">
        <v>5055</v>
      </c>
      <c r="I200" t="s">
        <v>74</v>
      </c>
      <c r="J200">
        <v>76</v>
      </c>
      <c r="K200">
        <v>60077</v>
      </c>
      <c r="L200">
        <v>1258</v>
      </c>
      <c r="M200">
        <v>5</v>
      </c>
      <c r="N200">
        <v>2</v>
      </c>
      <c r="O200">
        <v>0</v>
      </c>
      <c r="P200" t="s">
        <v>18</v>
      </c>
      <c r="Q200">
        <v>2</v>
      </c>
      <c r="R200">
        <v>0</v>
      </c>
      <c r="S200" t="s">
        <v>21</v>
      </c>
      <c r="T200">
        <v>1</v>
      </c>
      <c r="U200">
        <v>0</v>
      </c>
    </row>
    <row r="201" spans="1:21" x14ac:dyDescent="0.25">
      <c r="A201">
        <v>9562283</v>
      </c>
      <c r="B201" t="s">
        <v>15</v>
      </c>
      <c r="C201" s="1">
        <v>43097</v>
      </c>
      <c r="D201" s="2">
        <f>YEAR(C201)</f>
        <v>2017</v>
      </c>
      <c r="E201">
        <v>209000</v>
      </c>
      <c r="F201" t="s">
        <v>16</v>
      </c>
      <c r="G201">
        <v>2006</v>
      </c>
      <c r="H201">
        <v>9715</v>
      </c>
      <c r="I201" t="s">
        <v>77</v>
      </c>
      <c r="J201">
        <v>76</v>
      </c>
      <c r="K201">
        <v>60077</v>
      </c>
      <c r="L201">
        <v>801</v>
      </c>
      <c r="M201">
        <v>4</v>
      </c>
      <c r="N201">
        <v>1</v>
      </c>
      <c r="O201">
        <v>0</v>
      </c>
      <c r="P201" t="s">
        <v>18</v>
      </c>
      <c r="Q201">
        <v>1</v>
      </c>
      <c r="R201">
        <v>0</v>
      </c>
      <c r="S201" t="s">
        <v>21</v>
      </c>
      <c r="T201">
        <v>1</v>
      </c>
      <c r="U201">
        <v>0</v>
      </c>
    </row>
    <row r="202" spans="1:21" x14ac:dyDescent="0.25">
      <c r="A202">
        <v>9500033</v>
      </c>
      <c r="B202" t="s">
        <v>15</v>
      </c>
      <c r="C202" s="1">
        <v>42853</v>
      </c>
      <c r="D202" s="2">
        <f>YEAR(C202)</f>
        <v>2017</v>
      </c>
      <c r="E202">
        <v>360000</v>
      </c>
      <c r="F202" t="s">
        <v>16</v>
      </c>
      <c r="G202">
        <v>2007</v>
      </c>
      <c r="H202">
        <v>9715</v>
      </c>
      <c r="I202" t="s">
        <v>77</v>
      </c>
      <c r="J202">
        <v>76</v>
      </c>
      <c r="K202">
        <v>60077</v>
      </c>
      <c r="L202">
        <v>1698</v>
      </c>
      <c r="M202">
        <v>6</v>
      </c>
      <c r="N202">
        <v>2</v>
      </c>
      <c r="O202">
        <v>0</v>
      </c>
      <c r="P202" t="s">
        <v>18</v>
      </c>
      <c r="Q202">
        <v>3</v>
      </c>
      <c r="R202">
        <v>0</v>
      </c>
      <c r="S202" t="s">
        <v>21</v>
      </c>
      <c r="T202">
        <v>2</v>
      </c>
      <c r="U202">
        <v>0</v>
      </c>
    </row>
    <row r="203" spans="1:21" x14ac:dyDescent="0.25">
      <c r="A203">
        <v>9583773</v>
      </c>
      <c r="B203" t="s">
        <v>15</v>
      </c>
      <c r="C203" s="1">
        <v>42908</v>
      </c>
      <c r="D203" s="2">
        <f>YEAR(C203)</f>
        <v>2017</v>
      </c>
      <c r="E203">
        <v>311000</v>
      </c>
      <c r="F203" t="s">
        <v>16</v>
      </c>
      <c r="G203">
        <v>2007</v>
      </c>
      <c r="H203">
        <v>9715</v>
      </c>
      <c r="I203" t="s">
        <v>77</v>
      </c>
      <c r="J203">
        <v>76</v>
      </c>
      <c r="K203">
        <v>60077</v>
      </c>
      <c r="L203">
        <v>1300</v>
      </c>
      <c r="M203">
        <v>5</v>
      </c>
      <c r="N203">
        <v>2</v>
      </c>
      <c r="O203">
        <v>0</v>
      </c>
      <c r="P203" t="s">
        <v>18</v>
      </c>
      <c r="Q203">
        <v>2</v>
      </c>
      <c r="R203">
        <v>0</v>
      </c>
      <c r="S203" t="s">
        <v>21</v>
      </c>
      <c r="T203">
        <v>1</v>
      </c>
      <c r="U203">
        <v>0</v>
      </c>
    </row>
    <row r="204" spans="1:21" x14ac:dyDescent="0.25">
      <c r="A204">
        <v>9734639</v>
      </c>
      <c r="B204" t="s">
        <v>15</v>
      </c>
      <c r="C204" s="1">
        <v>43027</v>
      </c>
      <c r="D204" s="2">
        <f>YEAR(C204)</f>
        <v>2017</v>
      </c>
      <c r="E204">
        <v>217500</v>
      </c>
      <c r="F204" t="s">
        <v>16</v>
      </c>
      <c r="G204">
        <v>2007</v>
      </c>
      <c r="H204">
        <v>9715</v>
      </c>
      <c r="I204" t="s">
        <v>77</v>
      </c>
      <c r="J204">
        <v>76</v>
      </c>
      <c r="K204">
        <v>60077</v>
      </c>
      <c r="L204">
        <v>980</v>
      </c>
      <c r="M204">
        <v>4</v>
      </c>
      <c r="N204">
        <v>1</v>
      </c>
      <c r="O204">
        <v>0</v>
      </c>
      <c r="P204" t="s">
        <v>18</v>
      </c>
      <c r="Q204">
        <v>1</v>
      </c>
      <c r="R204">
        <v>0</v>
      </c>
      <c r="S204" t="s">
        <v>21</v>
      </c>
      <c r="T204">
        <v>1</v>
      </c>
      <c r="U204">
        <v>0</v>
      </c>
    </row>
    <row r="205" spans="1:21" x14ac:dyDescent="0.25">
      <c r="A205">
        <v>9740980</v>
      </c>
      <c r="B205" t="s">
        <v>15</v>
      </c>
      <c r="C205" s="1">
        <v>43005</v>
      </c>
      <c r="D205" s="2">
        <f>YEAR(C205)</f>
        <v>2017</v>
      </c>
      <c r="E205">
        <v>280000</v>
      </c>
      <c r="F205" t="s">
        <v>16</v>
      </c>
      <c r="G205">
        <v>2008</v>
      </c>
      <c r="H205">
        <v>9715</v>
      </c>
      <c r="I205" t="s">
        <v>77</v>
      </c>
      <c r="J205">
        <v>76</v>
      </c>
      <c r="K205">
        <v>60077</v>
      </c>
      <c r="L205">
        <v>1450</v>
      </c>
      <c r="M205">
        <v>5</v>
      </c>
      <c r="N205">
        <v>2</v>
      </c>
      <c r="O205">
        <v>0</v>
      </c>
      <c r="P205" t="s">
        <v>18</v>
      </c>
      <c r="Q205">
        <v>2</v>
      </c>
      <c r="R205">
        <v>0</v>
      </c>
      <c r="S205" t="s">
        <v>21</v>
      </c>
      <c r="T205">
        <v>1</v>
      </c>
      <c r="U205">
        <v>0</v>
      </c>
    </row>
    <row r="206" spans="1:21" x14ac:dyDescent="0.25">
      <c r="A206">
        <v>9575669</v>
      </c>
      <c r="B206" t="s">
        <v>15</v>
      </c>
      <c r="C206" s="1">
        <v>42860</v>
      </c>
      <c r="D206" s="2">
        <f>YEAR(C206)</f>
        <v>2017</v>
      </c>
      <c r="E206">
        <v>255000</v>
      </c>
      <c r="F206" t="s">
        <v>16</v>
      </c>
      <c r="G206">
        <v>2008</v>
      </c>
      <c r="H206">
        <v>9725</v>
      </c>
      <c r="I206" t="s">
        <v>77</v>
      </c>
      <c r="J206">
        <v>76</v>
      </c>
      <c r="K206">
        <v>60077</v>
      </c>
      <c r="L206">
        <v>1200</v>
      </c>
      <c r="M206">
        <v>5</v>
      </c>
      <c r="N206">
        <v>2</v>
      </c>
      <c r="O206">
        <v>0</v>
      </c>
      <c r="P206" t="s">
        <v>18</v>
      </c>
      <c r="Q206">
        <v>2</v>
      </c>
      <c r="R206">
        <v>0</v>
      </c>
      <c r="S206" t="s">
        <v>21</v>
      </c>
      <c r="T206">
        <v>1</v>
      </c>
      <c r="U206">
        <v>0</v>
      </c>
    </row>
    <row r="207" spans="1:21" x14ac:dyDescent="0.25">
      <c r="A207">
        <v>9715850</v>
      </c>
      <c r="B207" t="s">
        <v>15</v>
      </c>
      <c r="C207" s="1">
        <v>43089</v>
      </c>
      <c r="D207" s="2">
        <f>YEAR(C207)</f>
        <v>2017</v>
      </c>
      <c r="E207">
        <v>114429</v>
      </c>
      <c r="F207" t="s">
        <v>81</v>
      </c>
      <c r="G207">
        <v>1928</v>
      </c>
      <c r="H207">
        <v>9106</v>
      </c>
      <c r="I207" t="s">
        <v>82</v>
      </c>
      <c r="J207">
        <v>76</v>
      </c>
      <c r="K207">
        <v>60077</v>
      </c>
      <c r="L207">
        <v>1200</v>
      </c>
      <c r="M207">
        <v>5</v>
      </c>
      <c r="N207">
        <v>2</v>
      </c>
      <c r="O207">
        <v>0</v>
      </c>
      <c r="P207" t="s">
        <v>18</v>
      </c>
      <c r="Q207">
        <v>2</v>
      </c>
      <c r="R207">
        <v>0</v>
      </c>
      <c r="S207" t="s">
        <v>19</v>
      </c>
      <c r="T207">
        <v>0</v>
      </c>
      <c r="U207">
        <v>0</v>
      </c>
    </row>
    <row r="208" spans="1:21" x14ac:dyDescent="0.25">
      <c r="A208">
        <v>9773111</v>
      </c>
      <c r="B208" t="s">
        <v>15</v>
      </c>
      <c r="C208" s="1">
        <v>43160</v>
      </c>
      <c r="D208" s="2">
        <f>YEAR(C208)</f>
        <v>2018</v>
      </c>
      <c r="E208">
        <v>269000</v>
      </c>
      <c r="F208" t="s">
        <v>81</v>
      </c>
      <c r="G208">
        <v>2000</v>
      </c>
      <c r="H208">
        <v>7422</v>
      </c>
      <c r="I208" t="s">
        <v>69</v>
      </c>
      <c r="J208">
        <v>76</v>
      </c>
      <c r="K208">
        <v>60076</v>
      </c>
      <c r="L208">
        <v>1650</v>
      </c>
      <c r="M208">
        <v>5</v>
      </c>
      <c r="N208">
        <v>2</v>
      </c>
      <c r="O208">
        <v>0</v>
      </c>
      <c r="P208" t="s">
        <v>18</v>
      </c>
      <c r="Q208">
        <v>2</v>
      </c>
      <c r="R208">
        <v>0</v>
      </c>
      <c r="S208" t="s">
        <v>21</v>
      </c>
      <c r="T208">
        <v>1</v>
      </c>
      <c r="U208">
        <v>0</v>
      </c>
    </row>
    <row r="209" spans="1:21" x14ac:dyDescent="0.25">
      <c r="A209">
        <v>10042325</v>
      </c>
      <c r="B209" t="s">
        <v>15</v>
      </c>
      <c r="C209" s="1">
        <v>43353</v>
      </c>
      <c r="D209" s="2">
        <f>YEAR(C209)</f>
        <v>2018</v>
      </c>
      <c r="E209">
        <v>270000</v>
      </c>
      <c r="F209" t="s">
        <v>81</v>
      </c>
      <c r="G209">
        <v>1944</v>
      </c>
      <c r="H209">
        <v>8311</v>
      </c>
      <c r="I209" t="s">
        <v>84</v>
      </c>
      <c r="J209">
        <v>76</v>
      </c>
      <c r="K209">
        <v>60076</v>
      </c>
      <c r="L209">
        <v>1008</v>
      </c>
      <c r="M209">
        <v>6</v>
      </c>
      <c r="N209">
        <v>2</v>
      </c>
      <c r="O209">
        <v>0</v>
      </c>
      <c r="P209" t="s">
        <v>79</v>
      </c>
      <c r="Q209">
        <v>2</v>
      </c>
      <c r="R209">
        <v>0</v>
      </c>
      <c r="S209" t="s">
        <v>22</v>
      </c>
      <c r="T209">
        <v>1</v>
      </c>
      <c r="U209">
        <v>0</v>
      </c>
    </row>
    <row r="210" spans="1:21" x14ac:dyDescent="0.25">
      <c r="A210">
        <v>9395931</v>
      </c>
      <c r="B210" t="s">
        <v>15</v>
      </c>
      <c r="C210" s="1">
        <v>42856</v>
      </c>
      <c r="D210" s="2">
        <f>YEAR(C210)</f>
        <v>2017</v>
      </c>
      <c r="E210">
        <v>545000</v>
      </c>
      <c r="F210" t="s">
        <v>85</v>
      </c>
      <c r="G210">
        <v>1908</v>
      </c>
      <c r="H210">
        <v>1256</v>
      </c>
      <c r="I210" t="s">
        <v>86</v>
      </c>
      <c r="J210">
        <v>62</v>
      </c>
      <c r="K210">
        <v>60062</v>
      </c>
      <c r="L210">
        <v>3206</v>
      </c>
      <c r="M210">
        <v>9</v>
      </c>
      <c r="N210">
        <v>2</v>
      </c>
      <c r="O210">
        <v>1</v>
      </c>
      <c r="P210" t="s">
        <v>18</v>
      </c>
      <c r="Q210">
        <v>4</v>
      </c>
      <c r="R210">
        <v>0</v>
      </c>
      <c r="S210" t="s">
        <v>21</v>
      </c>
      <c r="T210">
        <v>2</v>
      </c>
      <c r="U210">
        <v>0</v>
      </c>
    </row>
    <row r="211" spans="1:21" x14ac:dyDescent="0.25">
      <c r="A211">
        <v>9833762</v>
      </c>
      <c r="B211" t="s">
        <v>15</v>
      </c>
      <c r="C211" s="1">
        <v>43283</v>
      </c>
      <c r="D211" s="2">
        <f>YEAR(C211)</f>
        <v>2018</v>
      </c>
      <c r="E211">
        <v>590000</v>
      </c>
      <c r="F211" t="s">
        <v>85</v>
      </c>
      <c r="G211">
        <v>1909</v>
      </c>
      <c r="H211">
        <v>2110</v>
      </c>
      <c r="I211" t="s">
        <v>87</v>
      </c>
      <c r="J211">
        <v>62</v>
      </c>
      <c r="K211">
        <v>60062</v>
      </c>
      <c r="L211">
        <v>2422</v>
      </c>
      <c r="M211">
        <v>8</v>
      </c>
      <c r="N211">
        <v>2</v>
      </c>
      <c r="O211">
        <v>1</v>
      </c>
      <c r="P211" t="s">
        <v>18</v>
      </c>
      <c r="Q211">
        <v>5</v>
      </c>
      <c r="R211">
        <v>0</v>
      </c>
      <c r="S211" t="s">
        <v>22</v>
      </c>
      <c r="T211">
        <v>2</v>
      </c>
      <c r="U211">
        <v>0</v>
      </c>
    </row>
    <row r="212" spans="1:21" x14ac:dyDescent="0.25">
      <c r="A212">
        <v>9826634</v>
      </c>
      <c r="B212" t="s">
        <v>15</v>
      </c>
      <c r="C212" s="1">
        <v>43178</v>
      </c>
      <c r="D212" s="2">
        <f>YEAR(C212)</f>
        <v>2018</v>
      </c>
      <c r="E212">
        <v>430000</v>
      </c>
      <c r="F212" t="s">
        <v>85</v>
      </c>
      <c r="G212">
        <v>1922</v>
      </c>
      <c r="H212">
        <v>962</v>
      </c>
      <c r="I212" t="s">
        <v>88</v>
      </c>
      <c r="J212">
        <v>62</v>
      </c>
      <c r="K212">
        <v>60062</v>
      </c>
      <c r="L212">
        <v>1797</v>
      </c>
      <c r="M212">
        <v>7</v>
      </c>
      <c r="N212">
        <v>1</v>
      </c>
      <c r="O212">
        <v>2</v>
      </c>
      <c r="P212" t="s">
        <v>18</v>
      </c>
      <c r="Q212">
        <v>3</v>
      </c>
      <c r="R212">
        <v>0</v>
      </c>
      <c r="S212" t="s">
        <v>22</v>
      </c>
      <c r="T212">
        <v>2</v>
      </c>
      <c r="U212">
        <v>0</v>
      </c>
    </row>
    <row r="213" spans="1:21" x14ac:dyDescent="0.25">
      <c r="A213">
        <v>9705137</v>
      </c>
      <c r="B213" t="s">
        <v>15</v>
      </c>
      <c r="C213" s="1">
        <v>42993</v>
      </c>
      <c r="D213" s="2">
        <f>YEAR(C213)</f>
        <v>2017</v>
      </c>
      <c r="E213">
        <v>469000</v>
      </c>
      <c r="F213" t="s">
        <v>85</v>
      </c>
      <c r="G213">
        <v>1924</v>
      </c>
      <c r="H213">
        <v>7812</v>
      </c>
      <c r="I213" t="s">
        <v>89</v>
      </c>
      <c r="J213">
        <v>76</v>
      </c>
      <c r="K213">
        <v>60076</v>
      </c>
      <c r="L213">
        <v>2400</v>
      </c>
      <c r="M213">
        <v>9</v>
      </c>
      <c r="N213">
        <v>3</v>
      </c>
      <c r="O213">
        <v>0</v>
      </c>
      <c r="P213" t="s">
        <v>18</v>
      </c>
      <c r="Q213">
        <v>4</v>
      </c>
      <c r="R213">
        <v>0</v>
      </c>
      <c r="S213" t="s">
        <v>19</v>
      </c>
      <c r="T213">
        <v>0</v>
      </c>
      <c r="U213">
        <v>0</v>
      </c>
    </row>
    <row r="214" spans="1:21" x14ac:dyDescent="0.25">
      <c r="A214">
        <v>10081786</v>
      </c>
      <c r="B214" t="s">
        <v>15</v>
      </c>
      <c r="C214" s="1">
        <v>43522</v>
      </c>
      <c r="D214" s="2">
        <f>YEAR(C214)</f>
        <v>2019</v>
      </c>
      <c r="E214">
        <v>284000</v>
      </c>
      <c r="F214" t="s">
        <v>85</v>
      </c>
      <c r="G214">
        <v>1924</v>
      </c>
      <c r="H214">
        <v>5271</v>
      </c>
      <c r="I214" t="s">
        <v>90</v>
      </c>
      <c r="J214">
        <v>76</v>
      </c>
      <c r="K214">
        <v>60077</v>
      </c>
      <c r="L214">
        <v>1600</v>
      </c>
      <c r="M214">
        <v>6</v>
      </c>
      <c r="N214">
        <v>2</v>
      </c>
      <c r="O214">
        <v>0</v>
      </c>
      <c r="P214" t="s">
        <v>18</v>
      </c>
      <c r="Q214">
        <v>4</v>
      </c>
      <c r="R214">
        <v>0</v>
      </c>
      <c r="S214" t="s">
        <v>22</v>
      </c>
      <c r="T214">
        <v>4</v>
      </c>
      <c r="U214">
        <v>0</v>
      </c>
    </row>
    <row r="215" spans="1:21" x14ac:dyDescent="0.25">
      <c r="A215">
        <v>10062434</v>
      </c>
      <c r="B215" t="s">
        <v>15</v>
      </c>
      <c r="C215" s="1">
        <v>43383</v>
      </c>
      <c r="D215" s="2">
        <f>YEAR(C215)</f>
        <v>2018</v>
      </c>
      <c r="E215">
        <v>517000</v>
      </c>
      <c r="F215" t="s">
        <v>85</v>
      </c>
      <c r="G215">
        <v>1925</v>
      </c>
      <c r="H215">
        <v>1873</v>
      </c>
      <c r="I215" t="s">
        <v>91</v>
      </c>
      <c r="J215">
        <v>62</v>
      </c>
      <c r="K215">
        <v>60062</v>
      </c>
      <c r="L215">
        <v>2586</v>
      </c>
      <c r="M215">
        <v>10</v>
      </c>
      <c r="N215">
        <v>3</v>
      </c>
      <c r="O215">
        <v>0</v>
      </c>
      <c r="P215" t="s">
        <v>18</v>
      </c>
      <c r="Q215">
        <v>5</v>
      </c>
      <c r="R215">
        <v>0</v>
      </c>
      <c r="S215" t="s">
        <v>22</v>
      </c>
      <c r="T215">
        <v>2</v>
      </c>
      <c r="U215">
        <v>0</v>
      </c>
    </row>
    <row r="216" spans="1:21" x14ac:dyDescent="0.25">
      <c r="A216">
        <v>9848340</v>
      </c>
      <c r="B216" t="s">
        <v>15</v>
      </c>
      <c r="C216" s="1">
        <v>43168</v>
      </c>
      <c r="D216" s="2">
        <f>YEAR(C216)</f>
        <v>2018</v>
      </c>
      <c r="E216">
        <v>370000</v>
      </c>
      <c r="F216" t="s">
        <v>85</v>
      </c>
      <c r="G216">
        <v>1926</v>
      </c>
      <c r="H216">
        <v>5226</v>
      </c>
      <c r="I216" t="s">
        <v>92</v>
      </c>
      <c r="J216">
        <v>76</v>
      </c>
      <c r="K216">
        <v>60077</v>
      </c>
      <c r="L216">
        <v>2100</v>
      </c>
      <c r="M216">
        <v>8</v>
      </c>
      <c r="N216">
        <v>2</v>
      </c>
      <c r="O216">
        <v>0</v>
      </c>
      <c r="P216" t="s">
        <v>18</v>
      </c>
      <c r="Q216">
        <v>3</v>
      </c>
      <c r="R216">
        <v>0</v>
      </c>
      <c r="S216" t="s">
        <v>22</v>
      </c>
      <c r="T216">
        <v>3</v>
      </c>
      <c r="U216">
        <v>0</v>
      </c>
    </row>
    <row r="217" spans="1:21" x14ac:dyDescent="0.25">
      <c r="A217">
        <v>9852694</v>
      </c>
      <c r="B217" t="s">
        <v>15</v>
      </c>
      <c r="C217" s="1">
        <v>43258</v>
      </c>
      <c r="D217" s="2">
        <f>YEAR(C217)</f>
        <v>2018</v>
      </c>
      <c r="E217">
        <v>405000</v>
      </c>
      <c r="F217" t="s">
        <v>85</v>
      </c>
      <c r="G217">
        <v>1927</v>
      </c>
      <c r="H217">
        <v>3348</v>
      </c>
      <c r="I217" t="s">
        <v>93</v>
      </c>
      <c r="J217">
        <v>76</v>
      </c>
      <c r="K217">
        <v>60076</v>
      </c>
      <c r="L217">
        <v>2690</v>
      </c>
      <c r="M217">
        <v>8</v>
      </c>
      <c r="N217">
        <v>2</v>
      </c>
      <c r="O217">
        <v>0</v>
      </c>
      <c r="P217" t="s">
        <v>18</v>
      </c>
      <c r="Q217">
        <v>4</v>
      </c>
      <c r="R217">
        <v>0</v>
      </c>
      <c r="S217" t="s">
        <v>22</v>
      </c>
      <c r="T217">
        <v>2</v>
      </c>
      <c r="U217">
        <v>0</v>
      </c>
    </row>
    <row r="218" spans="1:21" x14ac:dyDescent="0.25">
      <c r="A218">
        <v>9671997</v>
      </c>
      <c r="B218" t="s">
        <v>15</v>
      </c>
      <c r="C218" s="1">
        <v>43083</v>
      </c>
      <c r="D218" s="2">
        <f>YEAR(C218)</f>
        <v>2017</v>
      </c>
      <c r="E218">
        <v>425000</v>
      </c>
      <c r="F218" t="s">
        <v>85</v>
      </c>
      <c r="G218">
        <v>1927</v>
      </c>
      <c r="H218">
        <v>9237</v>
      </c>
      <c r="I218" t="s">
        <v>23</v>
      </c>
      <c r="J218">
        <v>76</v>
      </c>
      <c r="K218">
        <v>60076</v>
      </c>
      <c r="L218">
        <v>2454</v>
      </c>
      <c r="M218">
        <v>9</v>
      </c>
      <c r="N218">
        <v>2</v>
      </c>
      <c r="O218">
        <v>0</v>
      </c>
      <c r="P218" t="s">
        <v>18</v>
      </c>
      <c r="Q218">
        <v>5</v>
      </c>
      <c r="R218">
        <v>0</v>
      </c>
      <c r="S218" t="s">
        <v>22</v>
      </c>
      <c r="T218">
        <v>2</v>
      </c>
      <c r="U218">
        <v>0</v>
      </c>
    </row>
    <row r="219" spans="1:21" x14ac:dyDescent="0.25">
      <c r="A219">
        <v>9903417</v>
      </c>
      <c r="B219" t="s">
        <v>15</v>
      </c>
      <c r="C219" s="1">
        <v>43241</v>
      </c>
      <c r="D219" s="2">
        <f>YEAR(C219)</f>
        <v>2018</v>
      </c>
      <c r="E219">
        <v>325000</v>
      </c>
      <c r="F219" t="s">
        <v>85</v>
      </c>
      <c r="G219">
        <v>1928</v>
      </c>
      <c r="H219">
        <v>7937</v>
      </c>
      <c r="I219" t="s">
        <v>60</v>
      </c>
      <c r="J219">
        <v>76</v>
      </c>
      <c r="K219">
        <v>60076</v>
      </c>
      <c r="L219">
        <v>1215</v>
      </c>
      <c r="M219">
        <v>6</v>
      </c>
      <c r="N219">
        <v>1</v>
      </c>
      <c r="O219">
        <v>0</v>
      </c>
      <c r="P219" t="s">
        <v>18</v>
      </c>
      <c r="Q219">
        <v>3</v>
      </c>
      <c r="R219">
        <v>0</v>
      </c>
      <c r="S219" t="s">
        <v>22</v>
      </c>
      <c r="T219">
        <v>2</v>
      </c>
      <c r="U219">
        <v>0</v>
      </c>
    </row>
    <row r="220" spans="1:21" x14ac:dyDescent="0.25">
      <c r="A220">
        <v>9597833</v>
      </c>
      <c r="B220" t="s">
        <v>15</v>
      </c>
      <c r="C220" s="1">
        <v>42887</v>
      </c>
      <c r="D220" s="2">
        <f>YEAR(C220)</f>
        <v>2017</v>
      </c>
      <c r="E220">
        <v>897500</v>
      </c>
      <c r="F220" t="s">
        <v>85</v>
      </c>
      <c r="G220">
        <v>1928</v>
      </c>
      <c r="H220">
        <v>20</v>
      </c>
      <c r="I220" t="s">
        <v>94</v>
      </c>
      <c r="J220">
        <v>62</v>
      </c>
      <c r="K220">
        <v>60062</v>
      </c>
      <c r="L220">
        <v>3232</v>
      </c>
      <c r="M220">
        <v>9</v>
      </c>
      <c r="N220">
        <v>2</v>
      </c>
      <c r="O220">
        <v>1</v>
      </c>
      <c r="P220" t="s">
        <v>18</v>
      </c>
      <c r="Q220">
        <v>4</v>
      </c>
      <c r="R220">
        <v>0</v>
      </c>
      <c r="S220" t="s">
        <v>22</v>
      </c>
      <c r="T220">
        <v>2</v>
      </c>
      <c r="U220">
        <v>0</v>
      </c>
    </row>
    <row r="221" spans="1:21" x14ac:dyDescent="0.25">
      <c r="A221">
        <v>9559926</v>
      </c>
      <c r="B221" t="s">
        <v>15</v>
      </c>
      <c r="C221" s="1">
        <v>42926</v>
      </c>
      <c r="D221" s="2">
        <f>YEAR(C221)</f>
        <v>2017</v>
      </c>
      <c r="E221">
        <v>792000</v>
      </c>
      <c r="F221" t="s">
        <v>85</v>
      </c>
      <c r="G221">
        <v>1930</v>
      </c>
      <c r="H221">
        <v>1440</v>
      </c>
      <c r="I221" t="s">
        <v>95</v>
      </c>
      <c r="J221">
        <v>62</v>
      </c>
      <c r="K221">
        <v>60062</v>
      </c>
      <c r="L221">
        <v>3658</v>
      </c>
      <c r="M221">
        <v>10</v>
      </c>
      <c r="N221">
        <v>2</v>
      </c>
      <c r="O221">
        <v>1</v>
      </c>
      <c r="P221" t="s">
        <v>18</v>
      </c>
      <c r="Q221">
        <v>5</v>
      </c>
      <c r="R221">
        <v>0</v>
      </c>
      <c r="S221" t="s">
        <v>21</v>
      </c>
      <c r="T221">
        <v>2</v>
      </c>
      <c r="U221">
        <v>0</v>
      </c>
    </row>
    <row r="222" spans="1:21" x14ac:dyDescent="0.25">
      <c r="A222">
        <v>9819625</v>
      </c>
      <c r="B222" t="s">
        <v>15</v>
      </c>
      <c r="C222" s="1">
        <v>43206</v>
      </c>
      <c r="D222" s="2">
        <f>YEAR(C222)</f>
        <v>2018</v>
      </c>
      <c r="E222">
        <v>400000</v>
      </c>
      <c r="F222" t="s">
        <v>85</v>
      </c>
      <c r="G222">
        <v>1930</v>
      </c>
      <c r="H222">
        <v>1032</v>
      </c>
      <c r="I222" t="s">
        <v>88</v>
      </c>
      <c r="J222">
        <v>62</v>
      </c>
      <c r="K222">
        <v>60062</v>
      </c>
      <c r="L222">
        <v>1130</v>
      </c>
      <c r="M222">
        <v>8</v>
      </c>
      <c r="N222">
        <v>2</v>
      </c>
      <c r="O222">
        <v>0</v>
      </c>
      <c r="P222" t="s">
        <v>18</v>
      </c>
      <c r="Q222">
        <v>4</v>
      </c>
      <c r="R222">
        <v>0</v>
      </c>
      <c r="S222" t="s">
        <v>22</v>
      </c>
      <c r="T222">
        <v>2</v>
      </c>
      <c r="U222">
        <v>0</v>
      </c>
    </row>
    <row r="223" spans="1:21" x14ac:dyDescent="0.25">
      <c r="A223">
        <v>10131564</v>
      </c>
      <c r="B223" t="s">
        <v>15</v>
      </c>
      <c r="C223" s="1">
        <v>43413</v>
      </c>
      <c r="D223" s="2">
        <f>YEAR(C223)</f>
        <v>2018</v>
      </c>
      <c r="E223">
        <v>415000</v>
      </c>
      <c r="F223" t="s">
        <v>85</v>
      </c>
      <c r="G223">
        <v>1931</v>
      </c>
      <c r="H223">
        <v>989</v>
      </c>
      <c r="I223" t="s">
        <v>88</v>
      </c>
      <c r="J223">
        <v>62</v>
      </c>
      <c r="K223">
        <v>60062</v>
      </c>
      <c r="L223">
        <v>1024</v>
      </c>
      <c r="M223">
        <v>7</v>
      </c>
      <c r="N223">
        <v>1</v>
      </c>
      <c r="O223">
        <v>0</v>
      </c>
      <c r="P223" t="s">
        <v>18</v>
      </c>
      <c r="Q223">
        <v>3</v>
      </c>
      <c r="R223">
        <v>0</v>
      </c>
      <c r="S223" t="s">
        <v>22</v>
      </c>
      <c r="T223">
        <v>2</v>
      </c>
      <c r="U223">
        <v>0</v>
      </c>
    </row>
    <row r="224" spans="1:21" x14ac:dyDescent="0.25">
      <c r="A224">
        <v>9869725</v>
      </c>
      <c r="B224" t="s">
        <v>15</v>
      </c>
      <c r="C224" s="1">
        <v>43258</v>
      </c>
      <c r="D224" s="2">
        <f>YEAR(C224)</f>
        <v>2018</v>
      </c>
      <c r="E224">
        <v>408000</v>
      </c>
      <c r="F224" t="s">
        <v>85</v>
      </c>
      <c r="G224">
        <v>1932</v>
      </c>
      <c r="H224">
        <v>1961</v>
      </c>
      <c r="I224" t="s">
        <v>96</v>
      </c>
      <c r="J224">
        <v>62</v>
      </c>
      <c r="K224">
        <v>60062</v>
      </c>
      <c r="L224">
        <v>2329</v>
      </c>
      <c r="M224">
        <v>11</v>
      </c>
      <c r="N224">
        <v>2</v>
      </c>
      <c r="O224">
        <v>0</v>
      </c>
      <c r="P224" t="s">
        <v>18</v>
      </c>
      <c r="Q224">
        <v>4</v>
      </c>
      <c r="R224">
        <v>0</v>
      </c>
      <c r="S224" t="s">
        <v>22</v>
      </c>
      <c r="T224">
        <v>2</v>
      </c>
      <c r="U224">
        <v>0</v>
      </c>
    </row>
    <row r="225" spans="1:21" x14ac:dyDescent="0.25">
      <c r="A225">
        <v>9697408</v>
      </c>
      <c r="B225" t="s">
        <v>15</v>
      </c>
      <c r="C225" s="1">
        <v>43130</v>
      </c>
      <c r="D225" s="2">
        <f>YEAR(C225)</f>
        <v>2018</v>
      </c>
      <c r="E225">
        <v>267000</v>
      </c>
      <c r="F225" t="s">
        <v>85</v>
      </c>
      <c r="G225">
        <v>1937</v>
      </c>
      <c r="H225">
        <v>9443</v>
      </c>
      <c r="I225" t="s">
        <v>97</v>
      </c>
      <c r="J225">
        <v>76</v>
      </c>
      <c r="K225">
        <v>60076</v>
      </c>
      <c r="L225">
        <v>1373</v>
      </c>
      <c r="M225">
        <v>7</v>
      </c>
      <c r="N225">
        <v>2</v>
      </c>
      <c r="O225">
        <v>0</v>
      </c>
      <c r="P225" t="s">
        <v>18</v>
      </c>
      <c r="Q225">
        <v>3</v>
      </c>
      <c r="R225">
        <v>0</v>
      </c>
      <c r="S225" t="s">
        <v>22</v>
      </c>
      <c r="T225">
        <v>2</v>
      </c>
      <c r="U225">
        <v>0</v>
      </c>
    </row>
    <row r="226" spans="1:21" x14ac:dyDescent="0.25">
      <c r="A226">
        <v>10044098</v>
      </c>
      <c r="B226" t="s">
        <v>15</v>
      </c>
      <c r="C226" s="1">
        <v>43329</v>
      </c>
      <c r="D226" s="2">
        <f>YEAR(C226)</f>
        <v>2018</v>
      </c>
      <c r="E226">
        <v>397500</v>
      </c>
      <c r="F226" t="s">
        <v>85</v>
      </c>
      <c r="G226">
        <v>1937</v>
      </c>
      <c r="H226">
        <v>9443</v>
      </c>
      <c r="I226" t="s">
        <v>97</v>
      </c>
      <c r="J226">
        <v>76</v>
      </c>
      <c r="K226">
        <v>60076</v>
      </c>
      <c r="L226">
        <v>1373</v>
      </c>
      <c r="M226">
        <v>7</v>
      </c>
      <c r="N226">
        <v>2</v>
      </c>
      <c r="O226">
        <v>0</v>
      </c>
      <c r="P226" t="s">
        <v>18</v>
      </c>
      <c r="Q226">
        <v>3</v>
      </c>
      <c r="R226">
        <v>0</v>
      </c>
      <c r="S226" t="s">
        <v>22</v>
      </c>
      <c r="T226">
        <v>2</v>
      </c>
      <c r="U226">
        <v>0</v>
      </c>
    </row>
    <row r="227" spans="1:21" x14ac:dyDescent="0.25">
      <c r="A227">
        <v>9849421</v>
      </c>
      <c r="B227" t="s">
        <v>15</v>
      </c>
      <c r="C227" s="1">
        <v>43215</v>
      </c>
      <c r="D227" s="2">
        <f>YEAR(C227)</f>
        <v>2018</v>
      </c>
      <c r="E227">
        <v>252000</v>
      </c>
      <c r="F227" t="s">
        <v>85</v>
      </c>
      <c r="G227">
        <v>1937</v>
      </c>
      <c r="H227">
        <v>8733</v>
      </c>
      <c r="I227" t="s">
        <v>98</v>
      </c>
      <c r="J227">
        <v>76</v>
      </c>
      <c r="K227">
        <v>60076</v>
      </c>
      <c r="L227">
        <v>1181</v>
      </c>
      <c r="M227">
        <v>5</v>
      </c>
      <c r="N227">
        <v>1</v>
      </c>
      <c r="O227">
        <v>1</v>
      </c>
      <c r="P227" t="s">
        <v>18</v>
      </c>
      <c r="Q227">
        <v>2</v>
      </c>
      <c r="R227">
        <v>0</v>
      </c>
      <c r="S227" t="s">
        <v>22</v>
      </c>
      <c r="T227">
        <v>2</v>
      </c>
      <c r="U227">
        <v>0</v>
      </c>
    </row>
    <row r="228" spans="1:21" x14ac:dyDescent="0.25">
      <c r="A228">
        <v>9479715</v>
      </c>
      <c r="B228" t="s">
        <v>15</v>
      </c>
      <c r="C228" s="1">
        <v>42851</v>
      </c>
      <c r="D228" s="2">
        <f>YEAR(C228)</f>
        <v>2017</v>
      </c>
      <c r="E228">
        <v>188000</v>
      </c>
      <c r="F228" t="s">
        <v>85</v>
      </c>
      <c r="G228">
        <v>1938</v>
      </c>
      <c r="H228">
        <v>8451</v>
      </c>
      <c r="I228" t="s">
        <v>98</v>
      </c>
      <c r="J228">
        <v>76</v>
      </c>
      <c r="K228">
        <v>60076</v>
      </c>
      <c r="L228">
        <v>993</v>
      </c>
      <c r="M228">
        <v>5</v>
      </c>
      <c r="N228">
        <v>1</v>
      </c>
      <c r="O228">
        <v>0</v>
      </c>
      <c r="P228" t="s">
        <v>18</v>
      </c>
      <c r="Q228">
        <v>2</v>
      </c>
      <c r="R228">
        <v>0</v>
      </c>
      <c r="S228" t="s">
        <v>22</v>
      </c>
      <c r="T228">
        <v>2</v>
      </c>
      <c r="U228">
        <v>0</v>
      </c>
    </row>
    <row r="229" spans="1:21" x14ac:dyDescent="0.25">
      <c r="A229">
        <v>9816492</v>
      </c>
      <c r="B229" t="s">
        <v>15</v>
      </c>
      <c r="C229" s="1">
        <v>43306</v>
      </c>
      <c r="D229" s="2">
        <f>YEAR(C229)</f>
        <v>2018</v>
      </c>
      <c r="E229">
        <v>650000</v>
      </c>
      <c r="F229" t="s">
        <v>85</v>
      </c>
      <c r="G229">
        <v>1938</v>
      </c>
      <c r="H229">
        <v>1640</v>
      </c>
      <c r="I229" t="s">
        <v>99</v>
      </c>
      <c r="J229">
        <v>62</v>
      </c>
      <c r="K229">
        <v>60062</v>
      </c>
      <c r="L229">
        <v>4222</v>
      </c>
      <c r="M229">
        <v>10</v>
      </c>
      <c r="N229">
        <v>3</v>
      </c>
      <c r="O229">
        <v>2</v>
      </c>
      <c r="P229" t="s">
        <v>18</v>
      </c>
      <c r="Q229">
        <v>4</v>
      </c>
      <c r="R229">
        <v>0</v>
      </c>
      <c r="S229" t="s">
        <v>21</v>
      </c>
      <c r="T229">
        <v>2</v>
      </c>
      <c r="U229">
        <v>0</v>
      </c>
    </row>
    <row r="230" spans="1:21" x14ac:dyDescent="0.25">
      <c r="A230">
        <v>9573574</v>
      </c>
      <c r="B230" t="s">
        <v>15</v>
      </c>
      <c r="C230" s="1">
        <v>42900</v>
      </c>
      <c r="D230" s="2">
        <f>YEAR(C230)</f>
        <v>2017</v>
      </c>
      <c r="E230">
        <v>455000</v>
      </c>
      <c r="F230" t="s">
        <v>85</v>
      </c>
      <c r="G230">
        <v>1939</v>
      </c>
      <c r="H230">
        <v>4500</v>
      </c>
      <c r="I230" t="s">
        <v>100</v>
      </c>
      <c r="J230">
        <v>76</v>
      </c>
      <c r="K230">
        <v>60076</v>
      </c>
      <c r="L230">
        <v>2580</v>
      </c>
      <c r="M230">
        <v>11</v>
      </c>
      <c r="N230">
        <v>2</v>
      </c>
      <c r="O230">
        <v>1</v>
      </c>
      <c r="P230" t="s">
        <v>18</v>
      </c>
      <c r="Q230">
        <v>4</v>
      </c>
      <c r="R230">
        <v>0</v>
      </c>
      <c r="S230" t="s">
        <v>21</v>
      </c>
      <c r="T230">
        <v>2</v>
      </c>
      <c r="U230">
        <v>0</v>
      </c>
    </row>
    <row r="231" spans="1:21" x14ac:dyDescent="0.25">
      <c r="A231">
        <v>9495289</v>
      </c>
      <c r="B231" t="s">
        <v>15</v>
      </c>
      <c r="C231" s="1">
        <v>42838</v>
      </c>
      <c r="D231" s="2">
        <f>YEAR(C231)</f>
        <v>2017</v>
      </c>
      <c r="E231">
        <v>394000</v>
      </c>
      <c r="F231" t="s">
        <v>85</v>
      </c>
      <c r="G231">
        <v>1939</v>
      </c>
      <c r="H231">
        <v>7840</v>
      </c>
      <c r="I231" t="s">
        <v>101</v>
      </c>
      <c r="J231">
        <v>76</v>
      </c>
      <c r="K231">
        <v>60076</v>
      </c>
      <c r="L231">
        <v>1943</v>
      </c>
      <c r="M231">
        <v>9</v>
      </c>
      <c r="N231">
        <v>1</v>
      </c>
      <c r="O231">
        <v>1</v>
      </c>
      <c r="P231" t="s">
        <v>18</v>
      </c>
      <c r="Q231">
        <v>3</v>
      </c>
      <c r="R231">
        <v>0</v>
      </c>
      <c r="S231" t="s">
        <v>22</v>
      </c>
      <c r="T231">
        <v>1</v>
      </c>
      <c r="U231">
        <v>0</v>
      </c>
    </row>
    <row r="232" spans="1:21" x14ac:dyDescent="0.25">
      <c r="A232">
        <v>9583096</v>
      </c>
      <c r="B232" t="s">
        <v>15</v>
      </c>
      <c r="C232" s="1">
        <v>42873</v>
      </c>
      <c r="D232" s="2">
        <f>YEAR(C232)</f>
        <v>2017</v>
      </c>
      <c r="E232">
        <v>370000</v>
      </c>
      <c r="F232" t="s">
        <v>85</v>
      </c>
      <c r="G232">
        <v>1939</v>
      </c>
      <c r="H232">
        <v>8444</v>
      </c>
      <c r="I232" t="s">
        <v>102</v>
      </c>
      <c r="J232">
        <v>76</v>
      </c>
      <c r="K232">
        <v>60076</v>
      </c>
      <c r="L232">
        <v>1623</v>
      </c>
      <c r="M232">
        <v>7</v>
      </c>
      <c r="N232">
        <v>2</v>
      </c>
      <c r="O232">
        <v>1</v>
      </c>
      <c r="P232" t="s">
        <v>18</v>
      </c>
      <c r="Q232">
        <v>3</v>
      </c>
      <c r="R232">
        <v>0</v>
      </c>
      <c r="S232" t="s">
        <v>22</v>
      </c>
      <c r="T232">
        <v>2</v>
      </c>
      <c r="U232">
        <v>0</v>
      </c>
    </row>
    <row r="233" spans="1:21" x14ac:dyDescent="0.25">
      <c r="A233">
        <v>9560988</v>
      </c>
      <c r="B233" t="s">
        <v>15</v>
      </c>
      <c r="C233" s="1">
        <v>42849</v>
      </c>
      <c r="D233" s="2">
        <f>YEAR(C233)</f>
        <v>2017</v>
      </c>
      <c r="E233">
        <v>399000</v>
      </c>
      <c r="F233" t="s">
        <v>85</v>
      </c>
      <c r="G233">
        <v>1940</v>
      </c>
      <c r="H233">
        <v>8049</v>
      </c>
      <c r="I233" t="s">
        <v>103</v>
      </c>
      <c r="J233">
        <v>76</v>
      </c>
      <c r="K233">
        <v>60076</v>
      </c>
      <c r="L233">
        <v>1900</v>
      </c>
      <c r="M233">
        <v>9</v>
      </c>
      <c r="N233">
        <v>2</v>
      </c>
      <c r="O233">
        <v>1</v>
      </c>
      <c r="P233" t="s">
        <v>18</v>
      </c>
      <c r="Q233">
        <v>3</v>
      </c>
      <c r="R233">
        <v>0</v>
      </c>
      <c r="S233" t="s">
        <v>22</v>
      </c>
      <c r="T233">
        <v>2</v>
      </c>
      <c r="U233">
        <v>0</v>
      </c>
    </row>
    <row r="234" spans="1:21" x14ac:dyDescent="0.25">
      <c r="A234">
        <v>9405269</v>
      </c>
      <c r="B234" t="s">
        <v>15</v>
      </c>
      <c r="C234" s="1">
        <v>42800</v>
      </c>
      <c r="D234" s="2">
        <f>YEAR(C234)</f>
        <v>2017</v>
      </c>
      <c r="E234">
        <v>308000</v>
      </c>
      <c r="F234" t="s">
        <v>85</v>
      </c>
      <c r="G234">
        <v>1940</v>
      </c>
      <c r="H234">
        <v>8129</v>
      </c>
      <c r="I234" t="s">
        <v>104</v>
      </c>
      <c r="J234">
        <v>76</v>
      </c>
      <c r="K234">
        <v>60077</v>
      </c>
      <c r="L234">
        <v>1650</v>
      </c>
      <c r="M234">
        <v>9</v>
      </c>
      <c r="N234">
        <v>1</v>
      </c>
      <c r="O234">
        <v>1</v>
      </c>
      <c r="P234" t="s">
        <v>18</v>
      </c>
      <c r="Q234">
        <v>3</v>
      </c>
      <c r="R234">
        <v>0</v>
      </c>
      <c r="S234" t="s">
        <v>22</v>
      </c>
      <c r="T234">
        <v>2</v>
      </c>
      <c r="U234">
        <v>0</v>
      </c>
    </row>
    <row r="235" spans="1:21" x14ac:dyDescent="0.25">
      <c r="A235">
        <v>9653046</v>
      </c>
      <c r="B235" t="s">
        <v>15</v>
      </c>
      <c r="C235" s="1">
        <v>42928</v>
      </c>
      <c r="D235" s="2">
        <f>YEAR(C235)</f>
        <v>2017</v>
      </c>
      <c r="E235">
        <v>290000</v>
      </c>
      <c r="F235" t="s">
        <v>85</v>
      </c>
      <c r="G235">
        <v>1940</v>
      </c>
      <c r="H235">
        <v>8107</v>
      </c>
      <c r="I235" t="s">
        <v>105</v>
      </c>
      <c r="J235">
        <v>76</v>
      </c>
      <c r="K235">
        <v>60076</v>
      </c>
      <c r="L235">
        <v>1400</v>
      </c>
      <c r="M235">
        <v>7</v>
      </c>
      <c r="N235">
        <v>1</v>
      </c>
      <c r="O235">
        <v>1</v>
      </c>
      <c r="P235" t="s">
        <v>18</v>
      </c>
      <c r="Q235">
        <v>3</v>
      </c>
      <c r="R235">
        <v>0</v>
      </c>
      <c r="S235" t="s">
        <v>22</v>
      </c>
      <c r="T235">
        <v>1.5</v>
      </c>
      <c r="U235">
        <v>0</v>
      </c>
    </row>
    <row r="236" spans="1:21" x14ac:dyDescent="0.25">
      <c r="A236">
        <v>9902059</v>
      </c>
      <c r="B236" t="s">
        <v>15</v>
      </c>
      <c r="C236" s="1">
        <v>43241</v>
      </c>
      <c r="D236" s="2">
        <f>YEAR(C236)</f>
        <v>2018</v>
      </c>
      <c r="E236">
        <v>322000</v>
      </c>
      <c r="F236" t="s">
        <v>85</v>
      </c>
      <c r="G236">
        <v>1940</v>
      </c>
      <c r="H236">
        <v>8650</v>
      </c>
      <c r="I236" t="s">
        <v>97</v>
      </c>
      <c r="J236">
        <v>76</v>
      </c>
      <c r="K236">
        <v>60076</v>
      </c>
      <c r="L236">
        <v>1305</v>
      </c>
      <c r="M236">
        <v>6</v>
      </c>
      <c r="N236">
        <v>1</v>
      </c>
      <c r="O236">
        <v>1</v>
      </c>
      <c r="P236" t="s">
        <v>18</v>
      </c>
      <c r="Q236">
        <v>2</v>
      </c>
      <c r="R236">
        <v>0</v>
      </c>
      <c r="S236" t="s">
        <v>21</v>
      </c>
      <c r="T236">
        <v>2</v>
      </c>
      <c r="U236">
        <v>0</v>
      </c>
    </row>
    <row r="237" spans="1:21" x14ac:dyDescent="0.25">
      <c r="A237">
        <v>9707526</v>
      </c>
      <c r="B237" t="s">
        <v>15</v>
      </c>
      <c r="C237" s="1">
        <v>42986</v>
      </c>
      <c r="D237" s="2">
        <f>YEAR(C237)</f>
        <v>2017</v>
      </c>
      <c r="E237">
        <v>300000</v>
      </c>
      <c r="F237" t="s">
        <v>85</v>
      </c>
      <c r="G237">
        <v>1941</v>
      </c>
      <c r="H237">
        <v>5149</v>
      </c>
      <c r="I237" t="s">
        <v>106</v>
      </c>
      <c r="J237">
        <v>76</v>
      </c>
      <c r="K237">
        <v>60077</v>
      </c>
      <c r="L237">
        <v>7750</v>
      </c>
      <c r="M237">
        <v>7</v>
      </c>
      <c r="N237">
        <v>1</v>
      </c>
      <c r="O237">
        <v>1</v>
      </c>
      <c r="P237" t="s">
        <v>18</v>
      </c>
      <c r="Q237">
        <v>3</v>
      </c>
      <c r="R237">
        <v>0</v>
      </c>
      <c r="S237" t="s">
        <v>22</v>
      </c>
      <c r="T237">
        <v>1</v>
      </c>
      <c r="U237">
        <v>0</v>
      </c>
    </row>
    <row r="238" spans="1:21" x14ac:dyDescent="0.25">
      <c r="A238">
        <v>9502005</v>
      </c>
      <c r="B238" t="s">
        <v>15</v>
      </c>
      <c r="C238" s="1">
        <v>43083</v>
      </c>
      <c r="D238" s="2">
        <f>YEAR(C238)</f>
        <v>2017</v>
      </c>
      <c r="E238">
        <v>530000</v>
      </c>
      <c r="F238" t="s">
        <v>85</v>
      </c>
      <c r="G238">
        <v>1941</v>
      </c>
      <c r="H238">
        <v>8321</v>
      </c>
      <c r="I238" t="s">
        <v>102</v>
      </c>
      <c r="J238">
        <v>76</v>
      </c>
      <c r="K238">
        <v>60076</v>
      </c>
      <c r="L238">
        <v>4029</v>
      </c>
      <c r="M238">
        <v>10</v>
      </c>
      <c r="N238">
        <v>3</v>
      </c>
      <c r="O238">
        <v>1</v>
      </c>
      <c r="P238" t="s">
        <v>18</v>
      </c>
      <c r="Q238">
        <v>4</v>
      </c>
      <c r="R238">
        <v>0</v>
      </c>
      <c r="S238" t="s">
        <v>21</v>
      </c>
      <c r="T238">
        <v>2.1</v>
      </c>
      <c r="U238">
        <v>0</v>
      </c>
    </row>
    <row r="239" spans="1:21" x14ac:dyDescent="0.25">
      <c r="A239">
        <v>9643964</v>
      </c>
      <c r="B239" t="s">
        <v>15</v>
      </c>
      <c r="C239" s="1">
        <v>42951</v>
      </c>
      <c r="D239" s="2">
        <f>YEAR(C239)</f>
        <v>2017</v>
      </c>
      <c r="E239">
        <v>437000</v>
      </c>
      <c r="F239" t="s">
        <v>85</v>
      </c>
      <c r="G239">
        <v>1941</v>
      </c>
      <c r="H239">
        <v>8118</v>
      </c>
      <c r="I239" t="s">
        <v>107</v>
      </c>
      <c r="J239">
        <v>76</v>
      </c>
      <c r="K239">
        <v>60076</v>
      </c>
      <c r="L239">
        <v>2172</v>
      </c>
      <c r="M239">
        <v>8</v>
      </c>
      <c r="N239">
        <v>2</v>
      </c>
      <c r="O239">
        <v>1</v>
      </c>
      <c r="P239" t="s">
        <v>18</v>
      </c>
      <c r="Q239">
        <v>3</v>
      </c>
      <c r="R239">
        <v>0</v>
      </c>
      <c r="S239" t="s">
        <v>22</v>
      </c>
      <c r="T239">
        <v>2</v>
      </c>
      <c r="U239">
        <v>0</v>
      </c>
    </row>
    <row r="240" spans="1:21" x14ac:dyDescent="0.25">
      <c r="A240">
        <v>10051752</v>
      </c>
      <c r="B240" t="s">
        <v>15</v>
      </c>
      <c r="C240" s="1">
        <v>43388</v>
      </c>
      <c r="D240" s="2">
        <f>YEAR(C240)</f>
        <v>2018</v>
      </c>
      <c r="E240">
        <v>325000</v>
      </c>
      <c r="F240" t="s">
        <v>85</v>
      </c>
      <c r="G240">
        <v>1941</v>
      </c>
      <c r="H240">
        <v>7914</v>
      </c>
      <c r="I240" t="s">
        <v>108</v>
      </c>
      <c r="J240">
        <v>76</v>
      </c>
      <c r="K240">
        <v>60076</v>
      </c>
      <c r="L240">
        <v>1400</v>
      </c>
      <c r="M240">
        <v>7</v>
      </c>
      <c r="N240">
        <v>1</v>
      </c>
      <c r="O240">
        <v>1</v>
      </c>
      <c r="P240" t="s">
        <v>18</v>
      </c>
      <c r="Q240">
        <v>3</v>
      </c>
      <c r="R240">
        <v>0</v>
      </c>
      <c r="S240" t="s">
        <v>22</v>
      </c>
      <c r="T240">
        <v>2</v>
      </c>
      <c r="U240">
        <v>0</v>
      </c>
    </row>
    <row r="241" spans="1:21" x14ac:dyDescent="0.25">
      <c r="A241">
        <v>9902328</v>
      </c>
      <c r="B241" t="s">
        <v>15</v>
      </c>
      <c r="C241" s="1">
        <v>43273</v>
      </c>
      <c r="D241" s="2">
        <f>YEAR(C241)</f>
        <v>2018</v>
      </c>
      <c r="E241">
        <v>275000</v>
      </c>
      <c r="F241" t="s">
        <v>85</v>
      </c>
      <c r="G241">
        <v>1941</v>
      </c>
      <c r="H241">
        <v>1023</v>
      </c>
      <c r="I241" t="s">
        <v>110</v>
      </c>
      <c r="J241">
        <v>62</v>
      </c>
      <c r="K241">
        <v>60062</v>
      </c>
      <c r="L241">
        <v>1904</v>
      </c>
      <c r="M241">
        <v>8</v>
      </c>
      <c r="N241">
        <v>2</v>
      </c>
      <c r="O241">
        <v>0</v>
      </c>
      <c r="P241" t="s">
        <v>18</v>
      </c>
      <c r="Q241">
        <v>4</v>
      </c>
      <c r="R241">
        <v>0</v>
      </c>
      <c r="S241" t="s">
        <v>21</v>
      </c>
      <c r="T241">
        <v>1</v>
      </c>
      <c r="U241">
        <v>0</v>
      </c>
    </row>
    <row r="242" spans="1:21" x14ac:dyDescent="0.25">
      <c r="A242">
        <v>9879818</v>
      </c>
      <c r="B242" t="s">
        <v>15</v>
      </c>
      <c r="C242" s="1">
        <v>43273</v>
      </c>
      <c r="D242" s="2">
        <f>YEAR(C242)</f>
        <v>2018</v>
      </c>
      <c r="E242">
        <v>413000</v>
      </c>
      <c r="F242" t="s">
        <v>85</v>
      </c>
      <c r="G242">
        <v>1942</v>
      </c>
      <c r="H242">
        <v>5050</v>
      </c>
      <c r="I242" t="s">
        <v>111</v>
      </c>
      <c r="J242">
        <v>76</v>
      </c>
      <c r="K242">
        <v>60077</v>
      </c>
      <c r="L242">
        <v>1868</v>
      </c>
      <c r="M242">
        <v>7</v>
      </c>
      <c r="N242">
        <v>2</v>
      </c>
      <c r="O242">
        <v>0</v>
      </c>
      <c r="P242" t="s">
        <v>18</v>
      </c>
      <c r="Q242">
        <v>3</v>
      </c>
      <c r="R242">
        <v>0</v>
      </c>
      <c r="S242" t="s">
        <v>21</v>
      </c>
      <c r="T242">
        <v>1</v>
      </c>
      <c r="U242">
        <v>0</v>
      </c>
    </row>
    <row r="243" spans="1:21" x14ac:dyDescent="0.25">
      <c r="A243">
        <v>9774475</v>
      </c>
      <c r="B243" t="s">
        <v>15</v>
      </c>
      <c r="C243" s="1">
        <v>43154</v>
      </c>
      <c r="D243" s="2">
        <f>YEAR(C243)</f>
        <v>2018</v>
      </c>
      <c r="E243">
        <v>335000</v>
      </c>
      <c r="F243" t="s">
        <v>85</v>
      </c>
      <c r="G243">
        <v>1942</v>
      </c>
      <c r="H243">
        <v>8342</v>
      </c>
      <c r="I243" t="s">
        <v>107</v>
      </c>
      <c r="J243">
        <v>76</v>
      </c>
      <c r="K243">
        <v>60076</v>
      </c>
      <c r="L243">
        <v>1628</v>
      </c>
      <c r="M243">
        <v>7</v>
      </c>
      <c r="N243">
        <v>1</v>
      </c>
      <c r="O243">
        <v>1</v>
      </c>
      <c r="P243" t="s">
        <v>18</v>
      </c>
      <c r="Q243">
        <v>3</v>
      </c>
      <c r="R243">
        <v>0</v>
      </c>
      <c r="S243" t="s">
        <v>21</v>
      </c>
      <c r="T243">
        <v>1.5</v>
      </c>
      <c r="U243">
        <v>0</v>
      </c>
    </row>
    <row r="244" spans="1:21" x14ac:dyDescent="0.25">
      <c r="A244">
        <v>9845706</v>
      </c>
      <c r="B244" t="s">
        <v>15</v>
      </c>
      <c r="C244" s="1">
        <v>43243</v>
      </c>
      <c r="D244" s="2">
        <f>YEAR(C244)</f>
        <v>2018</v>
      </c>
      <c r="E244">
        <v>255000</v>
      </c>
      <c r="F244" t="s">
        <v>85</v>
      </c>
      <c r="G244">
        <v>1942</v>
      </c>
      <c r="H244">
        <v>8244</v>
      </c>
      <c r="I244" t="s">
        <v>97</v>
      </c>
      <c r="J244">
        <v>76</v>
      </c>
      <c r="K244">
        <v>60076</v>
      </c>
      <c r="L244">
        <v>1464</v>
      </c>
      <c r="M244">
        <v>6</v>
      </c>
      <c r="N244">
        <v>1</v>
      </c>
      <c r="O244">
        <v>1</v>
      </c>
      <c r="P244" t="s">
        <v>18</v>
      </c>
      <c r="Q244">
        <v>3</v>
      </c>
      <c r="R244">
        <v>0</v>
      </c>
      <c r="S244" t="s">
        <v>19</v>
      </c>
      <c r="T244">
        <v>0</v>
      </c>
      <c r="U244">
        <v>0</v>
      </c>
    </row>
    <row r="245" spans="1:21" x14ac:dyDescent="0.25">
      <c r="A245">
        <v>9975499</v>
      </c>
      <c r="B245" t="s">
        <v>15</v>
      </c>
      <c r="C245" s="1">
        <v>43349</v>
      </c>
      <c r="D245" s="2">
        <f>YEAR(C245)</f>
        <v>2018</v>
      </c>
      <c r="E245">
        <v>330000</v>
      </c>
      <c r="F245" t="s">
        <v>85</v>
      </c>
      <c r="G245">
        <v>1942</v>
      </c>
      <c r="H245">
        <v>8238</v>
      </c>
      <c r="I245" t="s">
        <v>112</v>
      </c>
      <c r="J245">
        <v>76</v>
      </c>
      <c r="K245">
        <v>60076</v>
      </c>
      <c r="L245">
        <v>1362</v>
      </c>
      <c r="M245">
        <v>6</v>
      </c>
      <c r="N245">
        <v>1</v>
      </c>
      <c r="O245">
        <v>1</v>
      </c>
      <c r="P245" t="s">
        <v>18</v>
      </c>
      <c r="Q245">
        <v>3</v>
      </c>
      <c r="R245">
        <v>0</v>
      </c>
      <c r="S245" t="s">
        <v>21</v>
      </c>
      <c r="T245">
        <v>1</v>
      </c>
      <c r="U245">
        <v>0</v>
      </c>
    </row>
    <row r="246" spans="1:21" x14ac:dyDescent="0.25">
      <c r="A246">
        <v>10155205</v>
      </c>
      <c r="B246" t="s">
        <v>15</v>
      </c>
      <c r="C246" s="1">
        <v>43497</v>
      </c>
      <c r="D246" s="2">
        <f>YEAR(C246)</f>
        <v>2019</v>
      </c>
      <c r="E246">
        <v>787500</v>
      </c>
      <c r="F246" t="s">
        <v>85</v>
      </c>
      <c r="G246">
        <v>1942</v>
      </c>
      <c r="H246">
        <v>835</v>
      </c>
      <c r="I246" t="s">
        <v>88</v>
      </c>
      <c r="J246">
        <v>62</v>
      </c>
      <c r="K246">
        <v>60062</v>
      </c>
      <c r="L246">
        <v>4022</v>
      </c>
      <c r="M246">
        <v>12</v>
      </c>
      <c r="N246">
        <v>3</v>
      </c>
      <c r="O246">
        <v>1</v>
      </c>
      <c r="P246" t="s">
        <v>18</v>
      </c>
      <c r="Q246">
        <v>4</v>
      </c>
      <c r="R246">
        <v>0</v>
      </c>
      <c r="S246" t="s">
        <v>21</v>
      </c>
      <c r="T246">
        <v>2</v>
      </c>
      <c r="U246">
        <v>0</v>
      </c>
    </row>
    <row r="247" spans="1:21" x14ac:dyDescent="0.25">
      <c r="A247">
        <v>9969805</v>
      </c>
      <c r="B247" t="s">
        <v>15</v>
      </c>
      <c r="C247" s="1">
        <v>43469</v>
      </c>
      <c r="D247" s="2">
        <f>YEAR(C247)</f>
        <v>2019</v>
      </c>
      <c r="E247">
        <v>600000</v>
      </c>
      <c r="F247" t="s">
        <v>85</v>
      </c>
      <c r="G247">
        <v>1942</v>
      </c>
      <c r="H247">
        <v>1120</v>
      </c>
      <c r="I247" t="s">
        <v>110</v>
      </c>
      <c r="J247">
        <v>62</v>
      </c>
      <c r="K247">
        <v>60062</v>
      </c>
      <c r="L247">
        <v>3143</v>
      </c>
      <c r="M247">
        <v>9</v>
      </c>
      <c r="N247">
        <v>2</v>
      </c>
      <c r="O247">
        <v>1</v>
      </c>
      <c r="P247" t="s">
        <v>18</v>
      </c>
      <c r="Q247">
        <v>4</v>
      </c>
      <c r="R247">
        <v>0</v>
      </c>
      <c r="S247" t="s">
        <v>21</v>
      </c>
      <c r="T247">
        <v>1</v>
      </c>
      <c r="U247">
        <v>0</v>
      </c>
    </row>
    <row r="248" spans="1:21" x14ac:dyDescent="0.25">
      <c r="A248">
        <v>10103205</v>
      </c>
      <c r="B248" t="s">
        <v>15</v>
      </c>
      <c r="C248" s="1">
        <v>43496</v>
      </c>
      <c r="D248" s="2">
        <f>YEAR(C248)</f>
        <v>2019</v>
      </c>
      <c r="E248">
        <v>525000</v>
      </c>
      <c r="F248" t="s">
        <v>85</v>
      </c>
      <c r="G248">
        <v>1942</v>
      </c>
      <c r="H248">
        <v>1220</v>
      </c>
      <c r="I248" t="s">
        <v>114</v>
      </c>
      <c r="J248">
        <v>62</v>
      </c>
      <c r="K248">
        <v>60062</v>
      </c>
      <c r="L248">
        <v>3000</v>
      </c>
      <c r="M248">
        <v>9</v>
      </c>
      <c r="N248">
        <v>3</v>
      </c>
      <c r="O248">
        <v>0</v>
      </c>
      <c r="P248" t="s">
        <v>18</v>
      </c>
      <c r="Q248">
        <v>4</v>
      </c>
      <c r="R248">
        <v>0</v>
      </c>
      <c r="S248" t="s">
        <v>21</v>
      </c>
      <c r="T248">
        <v>2.5</v>
      </c>
      <c r="U248">
        <v>0</v>
      </c>
    </row>
    <row r="249" spans="1:21" x14ac:dyDescent="0.25">
      <c r="A249">
        <v>9652501</v>
      </c>
      <c r="B249" t="s">
        <v>15</v>
      </c>
      <c r="C249" s="1">
        <v>42954</v>
      </c>
      <c r="D249" s="2">
        <f>YEAR(C249)</f>
        <v>2017</v>
      </c>
      <c r="E249">
        <v>765000</v>
      </c>
      <c r="F249" t="s">
        <v>85</v>
      </c>
      <c r="G249">
        <v>1942</v>
      </c>
      <c r="H249">
        <v>1306</v>
      </c>
      <c r="I249" t="s">
        <v>115</v>
      </c>
      <c r="J249">
        <v>62</v>
      </c>
      <c r="K249">
        <v>60062</v>
      </c>
      <c r="L249">
        <v>2684</v>
      </c>
      <c r="M249">
        <v>12</v>
      </c>
      <c r="N249">
        <v>3</v>
      </c>
      <c r="O249">
        <v>1</v>
      </c>
      <c r="P249" t="s">
        <v>18</v>
      </c>
      <c r="Q249">
        <v>3</v>
      </c>
      <c r="R249">
        <v>0</v>
      </c>
      <c r="S249" t="s">
        <v>21</v>
      </c>
      <c r="T249">
        <v>3</v>
      </c>
      <c r="U249">
        <v>0</v>
      </c>
    </row>
    <row r="250" spans="1:21" x14ac:dyDescent="0.25">
      <c r="A250">
        <v>9735432</v>
      </c>
      <c r="B250" t="s">
        <v>15</v>
      </c>
      <c r="C250" s="1">
        <v>43028</v>
      </c>
      <c r="D250" s="2">
        <f>YEAR(C250)</f>
        <v>2017</v>
      </c>
      <c r="E250">
        <v>525000</v>
      </c>
      <c r="F250" t="s">
        <v>85</v>
      </c>
      <c r="G250">
        <v>1942</v>
      </c>
      <c r="H250">
        <v>2437</v>
      </c>
      <c r="I250" t="s">
        <v>87</v>
      </c>
      <c r="J250">
        <v>62</v>
      </c>
      <c r="K250">
        <v>60062</v>
      </c>
      <c r="L250">
        <v>2266</v>
      </c>
      <c r="M250">
        <v>10</v>
      </c>
      <c r="N250">
        <v>2</v>
      </c>
      <c r="O250">
        <v>1</v>
      </c>
      <c r="P250" t="s">
        <v>18</v>
      </c>
      <c r="Q250">
        <v>4</v>
      </c>
      <c r="R250">
        <v>0</v>
      </c>
      <c r="S250" t="s">
        <v>21</v>
      </c>
      <c r="T250">
        <v>1</v>
      </c>
      <c r="U250">
        <v>0</v>
      </c>
    </row>
    <row r="251" spans="1:21" x14ac:dyDescent="0.25">
      <c r="A251">
        <v>9757859</v>
      </c>
      <c r="B251" t="s">
        <v>15</v>
      </c>
      <c r="C251" s="1">
        <v>43070</v>
      </c>
      <c r="D251" s="2">
        <f>YEAR(C251)</f>
        <v>2017</v>
      </c>
      <c r="E251">
        <v>400000</v>
      </c>
      <c r="F251" t="s">
        <v>85</v>
      </c>
      <c r="G251">
        <v>1942</v>
      </c>
      <c r="H251">
        <v>2109</v>
      </c>
      <c r="I251" t="s">
        <v>116</v>
      </c>
      <c r="J251">
        <v>62</v>
      </c>
      <c r="K251">
        <v>60062</v>
      </c>
      <c r="L251">
        <v>1742</v>
      </c>
      <c r="M251">
        <v>8</v>
      </c>
      <c r="N251">
        <v>2</v>
      </c>
      <c r="O251">
        <v>1</v>
      </c>
      <c r="P251" t="s">
        <v>18</v>
      </c>
      <c r="Q251">
        <v>4</v>
      </c>
      <c r="R251">
        <v>0</v>
      </c>
      <c r="S251" t="s">
        <v>22</v>
      </c>
      <c r="T251">
        <v>2</v>
      </c>
      <c r="U251">
        <v>0</v>
      </c>
    </row>
    <row r="252" spans="1:21" x14ac:dyDescent="0.25">
      <c r="A252">
        <v>9703740</v>
      </c>
      <c r="B252" t="s">
        <v>15</v>
      </c>
      <c r="C252" s="1">
        <v>42977</v>
      </c>
      <c r="D252" s="2">
        <f>YEAR(C252)</f>
        <v>2017</v>
      </c>
      <c r="E252">
        <v>304500</v>
      </c>
      <c r="F252" t="s">
        <v>85</v>
      </c>
      <c r="G252">
        <v>1943</v>
      </c>
      <c r="H252">
        <v>4435</v>
      </c>
      <c r="I252" t="s">
        <v>117</v>
      </c>
      <c r="J252">
        <v>76</v>
      </c>
      <c r="K252">
        <v>60076</v>
      </c>
      <c r="L252">
        <v>2088</v>
      </c>
      <c r="M252">
        <v>7</v>
      </c>
      <c r="N252">
        <v>2</v>
      </c>
      <c r="O252">
        <v>0</v>
      </c>
      <c r="P252" t="s">
        <v>18</v>
      </c>
      <c r="Q252">
        <v>3</v>
      </c>
      <c r="R252">
        <v>0</v>
      </c>
      <c r="S252" t="s">
        <v>22</v>
      </c>
      <c r="T252">
        <v>1.5</v>
      </c>
      <c r="U252">
        <v>0</v>
      </c>
    </row>
    <row r="253" spans="1:21" x14ac:dyDescent="0.25">
      <c r="A253">
        <v>10070724</v>
      </c>
      <c r="B253" t="s">
        <v>15</v>
      </c>
      <c r="C253" s="1">
        <v>43501</v>
      </c>
      <c r="D253" s="2">
        <f>YEAR(C253)</f>
        <v>2019</v>
      </c>
      <c r="E253">
        <v>328000</v>
      </c>
      <c r="F253" t="s">
        <v>85</v>
      </c>
      <c r="G253">
        <v>1943</v>
      </c>
      <c r="H253">
        <v>9030</v>
      </c>
      <c r="I253" t="s">
        <v>118</v>
      </c>
      <c r="J253">
        <v>76</v>
      </c>
      <c r="K253">
        <v>60076</v>
      </c>
      <c r="L253">
        <v>1201</v>
      </c>
      <c r="M253">
        <v>6</v>
      </c>
      <c r="N253">
        <v>1</v>
      </c>
      <c r="O253">
        <v>1</v>
      </c>
      <c r="P253" t="s">
        <v>18</v>
      </c>
      <c r="Q253">
        <v>3</v>
      </c>
      <c r="R253">
        <v>0</v>
      </c>
      <c r="S253" t="s">
        <v>21</v>
      </c>
      <c r="T253">
        <v>1</v>
      </c>
      <c r="U253">
        <v>0</v>
      </c>
    </row>
    <row r="254" spans="1:21" x14ac:dyDescent="0.25">
      <c r="A254">
        <v>10013049</v>
      </c>
      <c r="B254" t="s">
        <v>15</v>
      </c>
      <c r="C254" s="1">
        <v>43406</v>
      </c>
      <c r="D254" s="2">
        <f>YEAR(C254)</f>
        <v>2018</v>
      </c>
      <c r="E254">
        <v>575000</v>
      </c>
      <c r="F254" t="s">
        <v>85</v>
      </c>
      <c r="G254">
        <v>1943</v>
      </c>
      <c r="H254">
        <v>1052</v>
      </c>
      <c r="I254" t="s">
        <v>119</v>
      </c>
      <c r="J254">
        <v>62</v>
      </c>
      <c r="K254">
        <v>60062</v>
      </c>
      <c r="L254">
        <v>2123</v>
      </c>
      <c r="M254">
        <v>8</v>
      </c>
      <c r="N254">
        <v>2</v>
      </c>
      <c r="O254">
        <v>1</v>
      </c>
      <c r="P254" t="s">
        <v>18</v>
      </c>
      <c r="Q254">
        <v>3</v>
      </c>
      <c r="R254">
        <v>0</v>
      </c>
      <c r="S254" t="s">
        <v>21</v>
      </c>
      <c r="T254">
        <v>1</v>
      </c>
      <c r="U254">
        <v>0</v>
      </c>
    </row>
    <row r="255" spans="1:21" x14ac:dyDescent="0.25">
      <c r="A255">
        <v>9882578</v>
      </c>
      <c r="B255" t="s">
        <v>15</v>
      </c>
      <c r="C255" s="1">
        <v>43217</v>
      </c>
      <c r="D255" s="2">
        <f>YEAR(C255)</f>
        <v>2018</v>
      </c>
      <c r="E255">
        <v>457500</v>
      </c>
      <c r="F255" t="s">
        <v>85</v>
      </c>
      <c r="G255">
        <v>1943</v>
      </c>
      <c r="H255">
        <v>1545</v>
      </c>
      <c r="I255" t="s">
        <v>120</v>
      </c>
      <c r="J255">
        <v>62</v>
      </c>
      <c r="K255">
        <v>60062</v>
      </c>
      <c r="L255">
        <v>1696</v>
      </c>
      <c r="M255">
        <v>9</v>
      </c>
      <c r="N255">
        <v>2</v>
      </c>
      <c r="O255">
        <v>1</v>
      </c>
      <c r="P255" t="s">
        <v>18</v>
      </c>
      <c r="Q255">
        <v>4</v>
      </c>
      <c r="R255">
        <v>0</v>
      </c>
      <c r="S255" t="s">
        <v>21</v>
      </c>
      <c r="T255">
        <v>2.5</v>
      </c>
      <c r="U255">
        <v>0</v>
      </c>
    </row>
    <row r="256" spans="1:21" x14ac:dyDescent="0.25">
      <c r="A256">
        <v>10032790</v>
      </c>
      <c r="B256" t="s">
        <v>15</v>
      </c>
      <c r="C256" s="1">
        <v>43378</v>
      </c>
      <c r="D256" s="2">
        <f>YEAR(C256)</f>
        <v>2018</v>
      </c>
      <c r="E256">
        <v>470000</v>
      </c>
      <c r="F256" t="s">
        <v>85</v>
      </c>
      <c r="G256">
        <v>1944</v>
      </c>
      <c r="H256">
        <v>1036</v>
      </c>
      <c r="I256" t="s">
        <v>121</v>
      </c>
      <c r="J256">
        <v>62</v>
      </c>
      <c r="K256">
        <v>60062</v>
      </c>
      <c r="L256">
        <v>1852</v>
      </c>
      <c r="M256">
        <v>8</v>
      </c>
      <c r="N256">
        <v>1</v>
      </c>
      <c r="O256">
        <v>1</v>
      </c>
      <c r="P256" t="s">
        <v>18</v>
      </c>
      <c r="Q256">
        <v>3</v>
      </c>
      <c r="R256">
        <v>0</v>
      </c>
      <c r="S256" t="s">
        <v>21</v>
      </c>
      <c r="T256">
        <v>1</v>
      </c>
      <c r="U256">
        <v>0</v>
      </c>
    </row>
    <row r="257" spans="1:21" x14ac:dyDescent="0.25">
      <c r="A257">
        <v>9376026</v>
      </c>
      <c r="B257" t="s">
        <v>15</v>
      </c>
      <c r="C257" s="1">
        <v>42811</v>
      </c>
      <c r="D257" s="2">
        <f>YEAR(C257)</f>
        <v>2017</v>
      </c>
      <c r="E257">
        <v>760000</v>
      </c>
      <c r="F257" t="s">
        <v>85</v>
      </c>
      <c r="G257">
        <v>1946</v>
      </c>
      <c r="H257">
        <v>4229</v>
      </c>
      <c r="I257" t="s">
        <v>122</v>
      </c>
      <c r="J257">
        <v>76</v>
      </c>
      <c r="K257">
        <v>60076</v>
      </c>
      <c r="L257">
        <v>3455</v>
      </c>
      <c r="M257">
        <v>12</v>
      </c>
      <c r="N257">
        <v>3</v>
      </c>
      <c r="O257">
        <v>1</v>
      </c>
      <c r="P257" t="s">
        <v>18</v>
      </c>
      <c r="Q257">
        <v>5</v>
      </c>
      <c r="R257">
        <v>0</v>
      </c>
      <c r="S257" t="s">
        <v>21</v>
      </c>
      <c r="T257">
        <v>2</v>
      </c>
      <c r="U257">
        <v>0</v>
      </c>
    </row>
    <row r="258" spans="1:21" x14ac:dyDescent="0.25">
      <c r="A258">
        <v>9798513</v>
      </c>
      <c r="B258" t="s">
        <v>15</v>
      </c>
      <c r="C258" s="1">
        <v>43167</v>
      </c>
      <c r="D258" s="2">
        <f>YEAR(C258)</f>
        <v>2018</v>
      </c>
      <c r="E258">
        <v>350000</v>
      </c>
      <c r="F258" t="s">
        <v>85</v>
      </c>
      <c r="G258">
        <v>1946</v>
      </c>
      <c r="H258">
        <v>8243</v>
      </c>
      <c r="I258" t="s">
        <v>123</v>
      </c>
      <c r="J258">
        <v>76</v>
      </c>
      <c r="K258">
        <v>60076</v>
      </c>
      <c r="L258">
        <v>1778</v>
      </c>
      <c r="M258">
        <v>7</v>
      </c>
      <c r="N258">
        <v>1</v>
      </c>
      <c r="O258">
        <v>1</v>
      </c>
      <c r="P258" t="s">
        <v>18</v>
      </c>
      <c r="Q258">
        <v>3</v>
      </c>
      <c r="R258">
        <v>0</v>
      </c>
      <c r="S258" t="s">
        <v>21</v>
      </c>
      <c r="T258">
        <v>3</v>
      </c>
      <c r="U258">
        <v>0</v>
      </c>
    </row>
    <row r="259" spans="1:21" x14ac:dyDescent="0.25">
      <c r="A259">
        <v>10005507</v>
      </c>
      <c r="B259" t="s">
        <v>15</v>
      </c>
      <c r="C259" s="1">
        <v>43377</v>
      </c>
      <c r="D259" s="2">
        <f>YEAR(C259)</f>
        <v>2018</v>
      </c>
      <c r="E259">
        <v>270000</v>
      </c>
      <c r="F259" t="s">
        <v>85</v>
      </c>
      <c r="G259">
        <v>1946</v>
      </c>
      <c r="H259">
        <v>1116</v>
      </c>
      <c r="I259" t="s">
        <v>124</v>
      </c>
      <c r="J259">
        <v>62</v>
      </c>
      <c r="K259">
        <v>60062</v>
      </c>
      <c r="L259">
        <v>1765</v>
      </c>
      <c r="M259">
        <v>7</v>
      </c>
      <c r="N259">
        <v>2</v>
      </c>
      <c r="O259">
        <v>0</v>
      </c>
      <c r="P259" t="s">
        <v>18</v>
      </c>
      <c r="Q259">
        <v>3</v>
      </c>
      <c r="R259">
        <v>0</v>
      </c>
      <c r="S259" t="s">
        <v>22</v>
      </c>
      <c r="T259">
        <v>2</v>
      </c>
      <c r="U259">
        <v>0</v>
      </c>
    </row>
    <row r="260" spans="1:21" x14ac:dyDescent="0.25">
      <c r="A260">
        <v>9756809</v>
      </c>
      <c r="B260" t="s">
        <v>15</v>
      </c>
      <c r="C260" s="1">
        <v>43090</v>
      </c>
      <c r="D260" s="2">
        <f>YEAR(C260)</f>
        <v>2017</v>
      </c>
      <c r="E260">
        <v>292000</v>
      </c>
      <c r="F260" t="s">
        <v>85</v>
      </c>
      <c r="G260">
        <v>1947</v>
      </c>
      <c r="H260">
        <v>7846</v>
      </c>
      <c r="I260" t="s">
        <v>112</v>
      </c>
      <c r="J260">
        <v>76</v>
      </c>
      <c r="K260">
        <v>60076</v>
      </c>
      <c r="L260">
        <v>1800</v>
      </c>
      <c r="M260">
        <v>6</v>
      </c>
      <c r="N260">
        <v>1</v>
      </c>
      <c r="O260">
        <v>1</v>
      </c>
      <c r="P260" t="s">
        <v>18</v>
      </c>
      <c r="Q260">
        <v>3</v>
      </c>
      <c r="R260">
        <v>0</v>
      </c>
      <c r="S260" t="s">
        <v>22</v>
      </c>
      <c r="T260">
        <v>1</v>
      </c>
      <c r="U260">
        <v>0</v>
      </c>
    </row>
    <row r="261" spans="1:21" x14ac:dyDescent="0.25">
      <c r="A261">
        <v>9664829</v>
      </c>
      <c r="B261" t="s">
        <v>15</v>
      </c>
      <c r="C261" s="1">
        <v>42968</v>
      </c>
      <c r="D261" s="2">
        <f>YEAR(C261)</f>
        <v>2017</v>
      </c>
      <c r="E261">
        <v>309900</v>
      </c>
      <c r="F261" t="s">
        <v>85</v>
      </c>
      <c r="G261">
        <v>1947</v>
      </c>
      <c r="H261">
        <v>8153</v>
      </c>
      <c r="I261" t="s">
        <v>125</v>
      </c>
      <c r="J261">
        <v>76</v>
      </c>
      <c r="K261">
        <v>60076</v>
      </c>
      <c r="L261">
        <v>1300</v>
      </c>
      <c r="M261">
        <v>7</v>
      </c>
      <c r="N261">
        <v>1</v>
      </c>
      <c r="O261">
        <v>1</v>
      </c>
      <c r="P261" t="s">
        <v>18</v>
      </c>
      <c r="Q261">
        <v>3</v>
      </c>
      <c r="R261">
        <v>0</v>
      </c>
      <c r="S261" t="s">
        <v>22</v>
      </c>
      <c r="T261">
        <v>1</v>
      </c>
      <c r="U261">
        <v>0</v>
      </c>
    </row>
    <row r="262" spans="1:21" x14ac:dyDescent="0.25">
      <c r="A262">
        <v>9952995</v>
      </c>
      <c r="B262" t="s">
        <v>15</v>
      </c>
      <c r="C262" s="1">
        <v>43312</v>
      </c>
      <c r="D262" s="2">
        <f>YEAR(C262)</f>
        <v>2018</v>
      </c>
      <c r="E262">
        <v>200000</v>
      </c>
      <c r="F262" t="s">
        <v>85</v>
      </c>
      <c r="G262">
        <v>1947</v>
      </c>
      <c r="H262">
        <v>3843</v>
      </c>
      <c r="I262" t="s">
        <v>126</v>
      </c>
      <c r="J262">
        <v>76</v>
      </c>
      <c r="K262">
        <v>60076</v>
      </c>
      <c r="L262">
        <v>1200</v>
      </c>
      <c r="M262">
        <v>5</v>
      </c>
      <c r="N262">
        <v>1</v>
      </c>
      <c r="O262">
        <v>1</v>
      </c>
      <c r="P262" t="s">
        <v>18</v>
      </c>
      <c r="Q262">
        <v>2</v>
      </c>
      <c r="R262">
        <v>0</v>
      </c>
      <c r="S262" t="s">
        <v>22</v>
      </c>
      <c r="T262">
        <v>1</v>
      </c>
      <c r="U262">
        <v>0</v>
      </c>
    </row>
    <row r="263" spans="1:21" x14ac:dyDescent="0.25">
      <c r="A263">
        <v>9601777</v>
      </c>
      <c r="B263" t="s">
        <v>15</v>
      </c>
      <c r="C263" s="1">
        <v>42916</v>
      </c>
      <c r="D263" s="2">
        <f>YEAR(C263)</f>
        <v>2017</v>
      </c>
      <c r="E263">
        <v>308000</v>
      </c>
      <c r="F263" t="s">
        <v>85</v>
      </c>
      <c r="G263">
        <v>1948</v>
      </c>
      <c r="H263">
        <v>5233</v>
      </c>
      <c r="I263" t="s">
        <v>127</v>
      </c>
      <c r="J263">
        <v>76</v>
      </c>
      <c r="K263">
        <v>60077</v>
      </c>
      <c r="L263">
        <v>2289</v>
      </c>
      <c r="M263">
        <v>8</v>
      </c>
      <c r="N263">
        <v>1</v>
      </c>
      <c r="O263">
        <v>1</v>
      </c>
      <c r="P263" t="s">
        <v>18</v>
      </c>
      <c r="Q263">
        <v>3</v>
      </c>
      <c r="R263">
        <v>0</v>
      </c>
      <c r="S263" t="s">
        <v>19</v>
      </c>
      <c r="T263">
        <v>0</v>
      </c>
      <c r="U263">
        <v>0</v>
      </c>
    </row>
    <row r="264" spans="1:21" x14ac:dyDescent="0.25">
      <c r="A264">
        <v>10128245</v>
      </c>
      <c r="B264" t="s">
        <v>15</v>
      </c>
      <c r="C264" s="1">
        <v>43437</v>
      </c>
      <c r="D264" s="2">
        <f>YEAR(C264)</f>
        <v>2018</v>
      </c>
      <c r="E264">
        <v>437500</v>
      </c>
      <c r="F264" t="s">
        <v>85</v>
      </c>
      <c r="G264">
        <v>1948</v>
      </c>
      <c r="H264">
        <v>8526</v>
      </c>
      <c r="I264" t="s">
        <v>98</v>
      </c>
      <c r="J264">
        <v>76</v>
      </c>
      <c r="K264">
        <v>60076</v>
      </c>
      <c r="L264">
        <v>2064</v>
      </c>
      <c r="M264">
        <v>9</v>
      </c>
      <c r="N264">
        <v>2</v>
      </c>
      <c r="O264">
        <v>1</v>
      </c>
      <c r="P264" t="s">
        <v>18</v>
      </c>
      <c r="Q264">
        <v>4</v>
      </c>
      <c r="R264">
        <v>0</v>
      </c>
      <c r="S264" t="s">
        <v>22</v>
      </c>
      <c r="T264">
        <v>2</v>
      </c>
      <c r="U264">
        <v>0</v>
      </c>
    </row>
    <row r="265" spans="1:21" x14ac:dyDescent="0.25">
      <c r="A265">
        <v>10065401</v>
      </c>
      <c r="B265" t="s">
        <v>15</v>
      </c>
      <c r="C265" s="1">
        <v>43404</v>
      </c>
      <c r="D265" s="2">
        <f>YEAR(C265)</f>
        <v>2018</v>
      </c>
      <c r="E265">
        <v>216500</v>
      </c>
      <c r="F265" t="s">
        <v>85</v>
      </c>
      <c r="G265">
        <v>1948</v>
      </c>
      <c r="H265">
        <v>7444</v>
      </c>
      <c r="I265" t="s">
        <v>108</v>
      </c>
      <c r="J265">
        <v>76</v>
      </c>
      <c r="K265">
        <v>60076</v>
      </c>
      <c r="L265">
        <v>1720</v>
      </c>
      <c r="M265">
        <v>7</v>
      </c>
      <c r="N265">
        <v>1</v>
      </c>
      <c r="O265">
        <v>1</v>
      </c>
      <c r="P265" t="s">
        <v>18</v>
      </c>
      <c r="Q265">
        <v>3</v>
      </c>
      <c r="R265">
        <v>0</v>
      </c>
      <c r="S265" t="s">
        <v>22</v>
      </c>
      <c r="T265">
        <v>2</v>
      </c>
      <c r="U265">
        <v>0</v>
      </c>
    </row>
    <row r="266" spans="1:21" x14ac:dyDescent="0.25">
      <c r="A266">
        <v>10075247</v>
      </c>
      <c r="B266" t="s">
        <v>15</v>
      </c>
      <c r="C266" s="1">
        <v>43508</v>
      </c>
      <c r="D266" s="2">
        <f>YEAR(C266)</f>
        <v>2019</v>
      </c>
      <c r="E266">
        <v>285000</v>
      </c>
      <c r="F266" t="s">
        <v>85</v>
      </c>
      <c r="G266">
        <v>1948</v>
      </c>
      <c r="H266">
        <v>5353</v>
      </c>
      <c r="I266" t="s">
        <v>128</v>
      </c>
      <c r="J266">
        <v>76</v>
      </c>
      <c r="K266">
        <v>60077</v>
      </c>
      <c r="L266">
        <v>1284</v>
      </c>
      <c r="M266">
        <v>7</v>
      </c>
      <c r="N266">
        <v>1</v>
      </c>
      <c r="O266">
        <v>1</v>
      </c>
      <c r="P266" t="s">
        <v>18</v>
      </c>
      <c r="Q266">
        <v>3</v>
      </c>
      <c r="R266">
        <v>0</v>
      </c>
      <c r="S266" t="s">
        <v>21</v>
      </c>
      <c r="T266">
        <v>1</v>
      </c>
      <c r="U266">
        <v>0</v>
      </c>
    </row>
    <row r="267" spans="1:21" x14ac:dyDescent="0.25">
      <c r="A267">
        <v>9867766</v>
      </c>
      <c r="B267" t="s">
        <v>15</v>
      </c>
      <c r="C267" s="1">
        <v>43234</v>
      </c>
      <c r="D267" s="2">
        <f>YEAR(C267)</f>
        <v>2018</v>
      </c>
      <c r="E267">
        <v>445000</v>
      </c>
      <c r="F267" t="s">
        <v>85</v>
      </c>
      <c r="G267">
        <v>1948</v>
      </c>
      <c r="H267">
        <v>1428</v>
      </c>
      <c r="I267" t="s">
        <v>129</v>
      </c>
      <c r="J267">
        <v>62</v>
      </c>
      <c r="K267">
        <v>60062</v>
      </c>
      <c r="L267">
        <v>1734</v>
      </c>
      <c r="M267">
        <v>7</v>
      </c>
      <c r="N267">
        <v>2</v>
      </c>
      <c r="O267">
        <v>0</v>
      </c>
      <c r="P267" t="s">
        <v>18</v>
      </c>
      <c r="Q267">
        <v>4</v>
      </c>
      <c r="R267">
        <v>0</v>
      </c>
      <c r="S267" t="s">
        <v>22</v>
      </c>
      <c r="T267">
        <v>2</v>
      </c>
      <c r="U267">
        <v>0</v>
      </c>
    </row>
    <row r="268" spans="1:21" x14ac:dyDescent="0.25">
      <c r="A268">
        <v>9517635</v>
      </c>
      <c r="B268" t="s">
        <v>15</v>
      </c>
      <c r="C268" s="1">
        <v>43069</v>
      </c>
      <c r="D268" s="2">
        <f>YEAR(C268)</f>
        <v>2017</v>
      </c>
      <c r="E268">
        <v>335000</v>
      </c>
      <c r="F268" t="s">
        <v>85</v>
      </c>
      <c r="G268">
        <v>1948</v>
      </c>
      <c r="H268">
        <v>2233</v>
      </c>
      <c r="I268" t="s">
        <v>116</v>
      </c>
      <c r="J268">
        <v>62</v>
      </c>
      <c r="K268">
        <v>60062</v>
      </c>
      <c r="L268">
        <v>1651</v>
      </c>
      <c r="M268">
        <v>6</v>
      </c>
      <c r="N268">
        <v>1</v>
      </c>
      <c r="O268">
        <v>1</v>
      </c>
      <c r="P268" t="s">
        <v>18</v>
      </c>
      <c r="Q268">
        <v>3</v>
      </c>
      <c r="R268">
        <v>0</v>
      </c>
      <c r="S268" t="s">
        <v>21</v>
      </c>
      <c r="T268">
        <v>1</v>
      </c>
      <c r="U268">
        <v>0</v>
      </c>
    </row>
    <row r="269" spans="1:21" x14ac:dyDescent="0.25">
      <c r="A269">
        <v>10067324</v>
      </c>
      <c r="B269" t="s">
        <v>15</v>
      </c>
      <c r="C269" s="1">
        <v>43461</v>
      </c>
      <c r="D269" s="2">
        <f>YEAR(C269)</f>
        <v>2018</v>
      </c>
      <c r="E269">
        <v>250000</v>
      </c>
      <c r="F269" t="s">
        <v>85</v>
      </c>
      <c r="G269">
        <v>1948</v>
      </c>
      <c r="H269">
        <v>2218</v>
      </c>
      <c r="I269" t="s">
        <v>87</v>
      </c>
      <c r="J269">
        <v>62</v>
      </c>
      <c r="K269">
        <v>60062</v>
      </c>
      <c r="L269">
        <v>1120</v>
      </c>
      <c r="M269">
        <v>6</v>
      </c>
      <c r="N269">
        <v>1</v>
      </c>
      <c r="O269">
        <v>1</v>
      </c>
      <c r="P269" t="s">
        <v>18</v>
      </c>
      <c r="Q269">
        <v>3</v>
      </c>
      <c r="R269">
        <v>0</v>
      </c>
      <c r="S269" t="s">
        <v>22</v>
      </c>
      <c r="T269">
        <v>2</v>
      </c>
      <c r="U269">
        <v>0</v>
      </c>
    </row>
    <row r="270" spans="1:21" x14ac:dyDescent="0.25">
      <c r="A270">
        <v>10109340</v>
      </c>
      <c r="B270" t="s">
        <v>15</v>
      </c>
      <c r="C270" s="1">
        <v>43518</v>
      </c>
      <c r="D270" s="2">
        <f>YEAR(C270)</f>
        <v>2019</v>
      </c>
      <c r="E270">
        <v>305000</v>
      </c>
      <c r="F270" t="s">
        <v>85</v>
      </c>
      <c r="G270">
        <v>1948</v>
      </c>
      <c r="H270">
        <v>1420</v>
      </c>
      <c r="I270" t="s">
        <v>129</v>
      </c>
      <c r="J270">
        <v>62</v>
      </c>
      <c r="K270">
        <v>60062</v>
      </c>
      <c r="L270">
        <v>1106</v>
      </c>
      <c r="M270">
        <v>7</v>
      </c>
      <c r="N270">
        <v>1</v>
      </c>
      <c r="O270">
        <v>0</v>
      </c>
      <c r="P270" t="s">
        <v>18</v>
      </c>
      <c r="Q270">
        <v>3</v>
      </c>
      <c r="R270">
        <v>0</v>
      </c>
      <c r="S270" t="s">
        <v>22</v>
      </c>
      <c r="T270">
        <v>1</v>
      </c>
      <c r="U270">
        <v>0</v>
      </c>
    </row>
    <row r="271" spans="1:21" x14ac:dyDescent="0.25">
      <c r="A271">
        <v>9707273</v>
      </c>
      <c r="B271" t="s">
        <v>15</v>
      </c>
      <c r="C271" s="1">
        <v>42993</v>
      </c>
      <c r="D271" s="2">
        <f>YEAR(C271)</f>
        <v>2017</v>
      </c>
      <c r="E271">
        <v>273000</v>
      </c>
      <c r="F271" t="s">
        <v>85</v>
      </c>
      <c r="G271">
        <v>1948</v>
      </c>
      <c r="H271">
        <v>2333</v>
      </c>
      <c r="I271" t="s">
        <v>116</v>
      </c>
      <c r="J271">
        <v>62</v>
      </c>
      <c r="K271">
        <v>60062</v>
      </c>
      <c r="L271">
        <v>822</v>
      </c>
      <c r="M271">
        <v>4</v>
      </c>
      <c r="N271">
        <v>1</v>
      </c>
      <c r="O271">
        <v>0</v>
      </c>
      <c r="P271" t="s">
        <v>18</v>
      </c>
      <c r="Q271">
        <v>2</v>
      </c>
      <c r="R271">
        <v>0</v>
      </c>
      <c r="S271" t="s">
        <v>22</v>
      </c>
      <c r="T271">
        <v>2</v>
      </c>
      <c r="U271">
        <v>0</v>
      </c>
    </row>
    <row r="272" spans="1:21" x14ac:dyDescent="0.25">
      <c r="A272">
        <v>10142590</v>
      </c>
      <c r="B272" t="s">
        <v>15</v>
      </c>
      <c r="C272" s="1">
        <v>43496</v>
      </c>
      <c r="D272" s="2">
        <f>YEAR(C272)</f>
        <v>2019</v>
      </c>
      <c r="E272">
        <v>346000</v>
      </c>
      <c r="F272" t="s">
        <v>85</v>
      </c>
      <c r="G272">
        <v>1949</v>
      </c>
      <c r="H272">
        <v>8031</v>
      </c>
      <c r="I272" t="s">
        <v>101</v>
      </c>
      <c r="J272">
        <v>76</v>
      </c>
      <c r="K272">
        <v>60076</v>
      </c>
      <c r="L272">
        <v>1600</v>
      </c>
      <c r="M272">
        <v>7</v>
      </c>
      <c r="N272">
        <v>2</v>
      </c>
      <c r="O272">
        <v>0</v>
      </c>
      <c r="P272" t="s">
        <v>18</v>
      </c>
      <c r="Q272">
        <v>3</v>
      </c>
      <c r="R272">
        <v>0</v>
      </c>
      <c r="S272" t="s">
        <v>22</v>
      </c>
      <c r="T272">
        <v>2</v>
      </c>
      <c r="U272">
        <v>0</v>
      </c>
    </row>
    <row r="273" spans="1:21" x14ac:dyDescent="0.25">
      <c r="A273">
        <v>9695213</v>
      </c>
      <c r="B273" t="s">
        <v>15</v>
      </c>
      <c r="C273" s="1">
        <v>42986</v>
      </c>
      <c r="D273" s="2">
        <f>YEAR(C273)</f>
        <v>2017</v>
      </c>
      <c r="E273">
        <v>324000</v>
      </c>
      <c r="F273" t="s">
        <v>85</v>
      </c>
      <c r="G273">
        <v>1949</v>
      </c>
      <c r="H273">
        <v>9852</v>
      </c>
      <c r="I273" t="s">
        <v>130</v>
      </c>
      <c r="J273">
        <v>76</v>
      </c>
      <c r="K273">
        <v>60076</v>
      </c>
      <c r="L273">
        <v>1196</v>
      </c>
      <c r="M273">
        <v>5</v>
      </c>
      <c r="N273">
        <v>1</v>
      </c>
      <c r="O273">
        <v>1</v>
      </c>
      <c r="P273" t="s">
        <v>18</v>
      </c>
      <c r="Q273">
        <v>2</v>
      </c>
      <c r="R273">
        <v>0</v>
      </c>
      <c r="S273" t="s">
        <v>22</v>
      </c>
      <c r="T273">
        <v>2</v>
      </c>
      <c r="U273">
        <v>0</v>
      </c>
    </row>
    <row r="274" spans="1:21" x14ac:dyDescent="0.25">
      <c r="A274">
        <v>9667252</v>
      </c>
      <c r="B274" t="s">
        <v>15</v>
      </c>
      <c r="C274" s="1">
        <v>42965</v>
      </c>
      <c r="D274" s="2">
        <f>YEAR(C274)</f>
        <v>2017</v>
      </c>
      <c r="E274">
        <v>580000</v>
      </c>
      <c r="F274" t="s">
        <v>85</v>
      </c>
      <c r="G274">
        <v>1949</v>
      </c>
      <c r="H274">
        <v>2123</v>
      </c>
      <c r="I274" t="s">
        <v>131</v>
      </c>
      <c r="J274">
        <v>62</v>
      </c>
      <c r="K274">
        <v>60062</v>
      </c>
      <c r="L274">
        <v>2810</v>
      </c>
      <c r="M274">
        <v>8</v>
      </c>
      <c r="N274">
        <v>2</v>
      </c>
      <c r="O274">
        <v>1</v>
      </c>
      <c r="P274" t="s">
        <v>18</v>
      </c>
      <c r="Q274">
        <v>4</v>
      </c>
      <c r="R274">
        <v>0</v>
      </c>
      <c r="S274" t="s">
        <v>21</v>
      </c>
      <c r="T274">
        <v>3</v>
      </c>
      <c r="U274">
        <v>0</v>
      </c>
    </row>
    <row r="275" spans="1:21" x14ac:dyDescent="0.25">
      <c r="A275">
        <v>9662040</v>
      </c>
      <c r="B275" t="s">
        <v>15</v>
      </c>
      <c r="C275" s="1">
        <v>43021</v>
      </c>
      <c r="D275" s="2">
        <f>YEAR(C275)</f>
        <v>2017</v>
      </c>
      <c r="E275">
        <v>630000</v>
      </c>
      <c r="F275" t="s">
        <v>85</v>
      </c>
      <c r="G275">
        <v>1949</v>
      </c>
      <c r="H275">
        <v>926</v>
      </c>
      <c r="I275" t="s">
        <v>122</v>
      </c>
      <c r="J275">
        <v>62</v>
      </c>
      <c r="K275">
        <v>60062</v>
      </c>
      <c r="L275">
        <v>2583</v>
      </c>
      <c r="M275">
        <v>8</v>
      </c>
      <c r="N275">
        <v>3</v>
      </c>
      <c r="O275">
        <v>0</v>
      </c>
      <c r="P275" t="s">
        <v>18</v>
      </c>
      <c r="Q275">
        <v>4</v>
      </c>
      <c r="R275">
        <v>0</v>
      </c>
      <c r="S275" t="s">
        <v>21</v>
      </c>
      <c r="T275">
        <v>2</v>
      </c>
      <c r="U275">
        <v>0</v>
      </c>
    </row>
    <row r="276" spans="1:21" x14ac:dyDescent="0.25">
      <c r="A276">
        <v>9700139</v>
      </c>
      <c r="B276" t="s">
        <v>15</v>
      </c>
      <c r="C276" s="1">
        <v>43006</v>
      </c>
      <c r="D276" s="2">
        <f>YEAR(C276)</f>
        <v>2017</v>
      </c>
      <c r="E276">
        <v>525000</v>
      </c>
      <c r="F276" t="s">
        <v>85</v>
      </c>
      <c r="G276">
        <v>1949</v>
      </c>
      <c r="H276">
        <v>1037</v>
      </c>
      <c r="I276" t="s">
        <v>121</v>
      </c>
      <c r="J276">
        <v>62</v>
      </c>
      <c r="K276">
        <v>60062</v>
      </c>
      <c r="L276">
        <v>1695</v>
      </c>
      <c r="M276">
        <v>8</v>
      </c>
      <c r="N276">
        <v>1</v>
      </c>
      <c r="O276">
        <v>1</v>
      </c>
      <c r="P276" t="s">
        <v>18</v>
      </c>
      <c r="Q276">
        <v>3</v>
      </c>
      <c r="R276">
        <v>0</v>
      </c>
      <c r="S276" t="s">
        <v>21</v>
      </c>
      <c r="T276">
        <v>1</v>
      </c>
      <c r="U276">
        <v>0</v>
      </c>
    </row>
    <row r="277" spans="1:21" x14ac:dyDescent="0.25">
      <c r="A277">
        <v>9844328</v>
      </c>
      <c r="B277" t="s">
        <v>15</v>
      </c>
      <c r="C277" s="1">
        <v>43206</v>
      </c>
      <c r="D277" s="2">
        <f>YEAR(C277)</f>
        <v>2018</v>
      </c>
      <c r="E277">
        <v>410000</v>
      </c>
      <c r="F277" t="s">
        <v>85</v>
      </c>
      <c r="G277">
        <v>1949</v>
      </c>
      <c r="H277">
        <v>2332</v>
      </c>
      <c r="I277" t="s">
        <v>132</v>
      </c>
      <c r="J277">
        <v>62</v>
      </c>
      <c r="K277">
        <v>60062</v>
      </c>
      <c r="L277">
        <v>1372</v>
      </c>
      <c r="M277">
        <v>8</v>
      </c>
      <c r="N277">
        <v>1</v>
      </c>
      <c r="O277">
        <v>1</v>
      </c>
      <c r="P277" t="s">
        <v>18</v>
      </c>
      <c r="Q277">
        <v>3</v>
      </c>
      <c r="R277">
        <v>0</v>
      </c>
      <c r="S277" t="s">
        <v>22</v>
      </c>
      <c r="T277">
        <v>1.5</v>
      </c>
      <c r="U277">
        <v>0</v>
      </c>
    </row>
    <row r="278" spans="1:21" x14ac:dyDescent="0.25">
      <c r="A278">
        <v>9825089</v>
      </c>
      <c r="B278" t="s">
        <v>15</v>
      </c>
      <c r="C278" s="1">
        <v>43153</v>
      </c>
      <c r="D278" s="2">
        <f>YEAR(C278)</f>
        <v>2018</v>
      </c>
      <c r="E278">
        <v>445000</v>
      </c>
      <c r="F278" t="s">
        <v>85</v>
      </c>
      <c r="G278">
        <v>1949</v>
      </c>
      <c r="H278">
        <v>1535</v>
      </c>
      <c r="I278" t="s">
        <v>133</v>
      </c>
      <c r="J278">
        <v>62</v>
      </c>
      <c r="K278">
        <v>60062</v>
      </c>
      <c r="L278">
        <v>1365</v>
      </c>
      <c r="M278">
        <v>7</v>
      </c>
      <c r="N278">
        <v>1</v>
      </c>
      <c r="O278">
        <v>1</v>
      </c>
      <c r="P278" t="s">
        <v>18</v>
      </c>
      <c r="Q278">
        <v>3</v>
      </c>
      <c r="R278">
        <v>0</v>
      </c>
      <c r="S278" t="s">
        <v>22</v>
      </c>
      <c r="T278">
        <v>1.1000000000000001</v>
      </c>
      <c r="U278">
        <v>0</v>
      </c>
    </row>
    <row r="279" spans="1:21" x14ac:dyDescent="0.25">
      <c r="A279">
        <v>9738711</v>
      </c>
      <c r="B279" t="s">
        <v>15</v>
      </c>
      <c r="C279" s="1">
        <v>43420</v>
      </c>
      <c r="D279" s="2">
        <f>YEAR(C279)</f>
        <v>2018</v>
      </c>
      <c r="E279">
        <v>240000</v>
      </c>
      <c r="F279" t="s">
        <v>85</v>
      </c>
      <c r="G279">
        <v>1949</v>
      </c>
      <c r="H279">
        <v>1433</v>
      </c>
      <c r="I279" t="s">
        <v>134</v>
      </c>
      <c r="J279">
        <v>62</v>
      </c>
      <c r="K279">
        <v>60062</v>
      </c>
      <c r="L279">
        <v>1360</v>
      </c>
      <c r="M279">
        <v>6</v>
      </c>
      <c r="N279">
        <v>1</v>
      </c>
      <c r="O279">
        <v>0</v>
      </c>
      <c r="P279" t="s">
        <v>18</v>
      </c>
      <c r="Q279">
        <v>3</v>
      </c>
      <c r="R279">
        <v>0</v>
      </c>
      <c r="S279" t="s">
        <v>22</v>
      </c>
      <c r="T279">
        <v>1</v>
      </c>
      <c r="U279">
        <v>0</v>
      </c>
    </row>
    <row r="280" spans="1:21" x14ac:dyDescent="0.25">
      <c r="A280">
        <v>9929792</v>
      </c>
      <c r="B280" t="s">
        <v>15</v>
      </c>
      <c r="C280" s="1">
        <v>43314</v>
      </c>
      <c r="D280" s="2">
        <f>YEAR(C280)</f>
        <v>2018</v>
      </c>
      <c r="E280">
        <v>435000</v>
      </c>
      <c r="F280" t="s">
        <v>85</v>
      </c>
      <c r="G280">
        <v>1950</v>
      </c>
      <c r="H280">
        <v>9026</v>
      </c>
      <c r="I280" t="s">
        <v>98</v>
      </c>
      <c r="J280">
        <v>76</v>
      </c>
      <c r="K280">
        <v>60076</v>
      </c>
      <c r="L280">
        <v>2284</v>
      </c>
      <c r="M280">
        <v>11</v>
      </c>
      <c r="N280">
        <v>2</v>
      </c>
      <c r="O280">
        <v>1</v>
      </c>
      <c r="P280" t="s">
        <v>18</v>
      </c>
      <c r="Q280">
        <v>4</v>
      </c>
      <c r="R280">
        <v>0</v>
      </c>
      <c r="S280" t="s">
        <v>22</v>
      </c>
      <c r="T280">
        <v>2</v>
      </c>
      <c r="U280">
        <v>0</v>
      </c>
    </row>
    <row r="281" spans="1:21" x14ac:dyDescent="0.25">
      <c r="A281">
        <v>9785862</v>
      </c>
      <c r="B281" t="s">
        <v>15</v>
      </c>
      <c r="C281" s="1">
        <v>43228</v>
      </c>
      <c r="D281" s="2">
        <f>YEAR(C281)</f>
        <v>2018</v>
      </c>
      <c r="E281">
        <v>347000</v>
      </c>
      <c r="F281" t="s">
        <v>85</v>
      </c>
      <c r="G281">
        <v>1950</v>
      </c>
      <c r="H281">
        <v>8519</v>
      </c>
      <c r="I281" t="s">
        <v>112</v>
      </c>
      <c r="J281">
        <v>76</v>
      </c>
      <c r="K281">
        <v>60076</v>
      </c>
      <c r="L281">
        <v>1959</v>
      </c>
      <c r="M281">
        <v>7</v>
      </c>
      <c r="N281">
        <v>2</v>
      </c>
      <c r="O281">
        <v>0</v>
      </c>
      <c r="P281" t="s">
        <v>18</v>
      </c>
      <c r="Q281">
        <v>3</v>
      </c>
      <c r="R281">
        <v>0</v>
      </c>
      <c r="S281" t="s">
        <v>21</v>
      </c>
      <c r="T281">
        <v>1</v>
      </c>
      <c r="U281">
        <v>0</v>
      </c>
    </row>
    <row r="282" spans="1:21" x14ac:dyDescent="0.25">
      <c r="A282">
        <v>10101360</v>
      </c>
      <c r="B282" t="s">
        <v>15</v>
      </c>
      <c r="C282" s="1">
        <v>43462</v>
      </c>
      <c r="D282" s="2">
        <f>YEAR(C282)</f>
        <v>2018</v>
      </c>
      <c r="E282">
        <v>440000</v>
      </c>
      <c r="F282" t="s">
        <v>85</v>
      </c>
      <c r="G282">
        <v>1950</v>
      </c>
      <c r="H282">
        <v>8545</v>
      </c>
      <c r="I282" t="s">
        <v>135</v>
      </c>
      <c r="J282">
        <v>76</v>
      </c>
      <c r="K282">
        <v>60076</v>
      </c>
      <c r="L282">
        <v>1783</v>
      </c>
      <c r="M282">
        <v>9</v>
      </c>
      <c r="N282">
        <v>2</v>
      </c>
      <c r="O282">
        <v>1</v>
      </c>
      <c r="P282" t="s">
        <v>18</v>
      </c>
      <c r="Q282">
        <v>4</v>
      </c>
      <c r="R282">
        <v>0</v>
      </c>
      <c r="S282" t="s">
        <v>22</v>
      </c>
      <c r="T282">
        <v>1</v>
      </c>
      <c r="U282">
        <v>0</v>
      </c>
    </row>
    <row r="283" spans="1:21" x14ac:dyDescent="0.25">
      <c r="A283">
        <v>9612601</v>
      </c>
      <c r="B283" t="s">
        <v>15</v>
      </c>
      <c r="C283" s="1">
        <v>42902</v>
      </c>
      <c r="D283" s="2">
        <f>YEAR(C283)</f>
        <v>2017</v>
      </c>
      <c r="E283">
        <v>315000</v>
      </c>
      <c r="F283" t="s">
        <v>85</v>
      </c>
      <c r="G283">
        <v>1950</v>
      </c>
      <c r="H283">
        <v>8301</v>
      </c>
      <c r="I283" t="s">
        <v>136</v>
      </c>
      <c r="J283">
        <v>76</v>
      </c>
      <c r="K283">
        <v>60076</v>
      </c>
      <c r="L283">
        <v>1429</v>
      </c>
      <c r="M283">
        <v>9</v>
      </c>
      <c r="N283">
        <v>1</v>
      </c>
      <c r="O283">
        <v>1</v>
      </c>
      <c r="P283" t="s">
        <v>18</v>
      </c>
      <c r="Q283">
        <v>2</v>
      </c>
      <c r="R283">
        <v>0</v>
      </c>
      <c r="S283" t="s">
        <v>22</v>
      </c>
      <c r="T283">
        <v>2.5</v>
      </c>
      <c r="U283">
        <v>0</v>
      </c>
    </row>
    <row r="284" spans="1:21" x14ac:dyDescent="0.25">
      <c r="A284">
        <v>9664410</v>
      </c>
      <c r="B284" t="s">
        <v>15</v>
      </c>
      <c r="C284" s="1">
        <v>42961</v>
      </c>
      <c r="D284" s="2">
        <f>YEAR(C284)</f>
        <v>2017</v>
      </c>
      <c r="E284">
        <v>285000</v>
      </c>
      <c r="F284" t="s">
        <v>85</v>
      </c>
      <c r="G284">
        <v>1950</v>
      </c>
      <c r="H284">
        <v>8238</v>
      </c>
      <c r="I284" t="s">
        <v>137</v>
      </c>
      <c r="J284">
        <v>76</v>
      </c>
      <c r="K284">
        <v>60077</v>
      </c>
      <c r="L284">
        <v>1400</v>
      </c>
      <c r="M284">
        <v>7</v>
      </c>
      <c r="N284">
        <v>1</v>
      </c>
      <c r="O284">
        <v>1</v>
      </c>
      <c r="P284" t="s">
        <v>18</v>
      </c>
      <c r="Q284">
        <v>3</v>
      </c>
      <c r="R284">
        <v>0</v>
      </c>
      <c r="S284" t="s">
        <v>22</v>
      </c>
      <c r="T284">
        <v>2</v>
      </c>
      <c r="U284">
        <v>0</v>
      </c>
    </row>
    <row r="285" spans="1:21" x14ac:dyDescent="0.25">
      <c r="A285">
        <v>9983945</v>
      </c>
      <c r="B285" t="s">
        <v>15</v>
      </c>
      <c r="C285" s="1">
        <v>43336</v>
      </c>
      <c r="D285" s="2">
        <f>YEAR(C285)</f>
        <v>2018</v>
      </c>
      <c r="E285">
        <v>315000</v>
      </c>
      <c r="F285" t="s">
        <v>85</v>
      </c>
      <c r="G285">
        <v>1950</v>
      </c>
      <c r="H285">
        <v>8646</v>
      </c>
      <c r="I285" t="s">
        <v>138</v>
      </c>
      <c r="J285">
        <v>76</v>
      </c>
      <c r="K285">
        <v>60077</v>
      </c>
      <c r="L285">
        <v>1215</v>
      </c>
      <c r="M285">
        <v>7</v>
      </c>
      <c r="N285">
        <v>1</v>
      </c>
      <c r="O285">
        <v>1</v>
      </c>
      <c r="P285" t="s">
        <v>18</v>
      </c>
      <c r="Q285">
        <v>2</v>
      </c>
      <c r="R285">
        <v>0</v>
      </c>
      <c r="S285" t="s">
        <v>21</v>
      </c>
      <c r="T285">
        <v>1</v>
      </c>
      <c r="U285">
        <v>0</v>
      </c>
    </row>
    <row r="286" spans="1:21" x14ac:dyDescent="0.25">
      <c r="A286">
        <v>9831221</v>
      </c>
      <c r="B286" t="s">
        <v>15</v>
      </c>
      <c r="C286" s="1">
        <v>43202</v>
      </c>
      <c r="D286" s="2">
        <f>YEAR(C286)</f>
        <v>2018</v>
      </c>
      <c r="E286">
        <v>257500</v>
      </c>
      <c r="F286" t="s">
        <v>85</v>
      </c>
      <c r="G286">
        <v>1950</v>
      </c>
      <c r="H286">
        <v>8024</v>
      </c>
      <c r="I286" t="s">
        <v>139</v>
      </c>
      <c r="J286">
        <v>76</v>
      </c>
      <c r="K286">
        <v>60076</v>
      </c>
      <c r="L286">
        <v>933</v>
      </c>
      <c r="M286">
        <v>6</v>
      </c>
      <c r="N286">
        <v>1</v>
      </c>
      <c r="O286">
        <v>0</v>
      </c>
      <c r="P286" t="s">
        <v>18</v>
      </c>
      <c r="Q286">
        <v>2</v>
      </c>
      <c r="R286">
        <v>0</v>
      </c>
      <c r="S286" t="s">
        <v>22</v>
      </c>
      <c r="T286">
        <v>2</v>
      </c>
      <c r="U286">
        <v>0</v>
      </c>
    </row>
    <row r="287" spans="1:21" x14ac:dyDescent="0.25">
      <c r="A287">
        <v>9485188</v>
      </c>
      <c r="B287" t="s">
        <v>15</v>
      </c>
      <c r="C287" s="1">
        <v>42842</v>
      </c>
      <c r="D287" s="2">
        <f>YEAR(C287)</f>
        <v>2017</v>
      </c>
      <c r="E287">
        <v>455000</v>
      </c>
      <c r="F287" t="s">
        <v>85</v>
      </c>
      <c r="G287">
        <v>1950</v>
      </c>
      <c r="H287">
        <v>1447</v>
      </c>
      <c r="I287" t="s">
        <v>140</v>
      </c>
      <c r="J287">
        <v>62</v>
      </c>
      <c r="K287">
        <v>60062</v>
      </c>
      <c r="L287">
        <v>1852</v>
      </c>
      <c r="M287">
        <v>7</v>
      </c>
      <c r="N287">
        <v>2</v>
      </c>
      <c r="O287">
        <v>0</v>
      </c>
      <c r="P287" t="s">
        <v>18</v>
      </c>
      <c r="Q287">
        <v>3</v>
      </c>
      <c r="R287">
        <v>0</v>
      </c>
      <c r="S287" t="s">
        <v>21</v>
      </c>
      <c r="T287">
        <v>2</v>
      </c>
      <c r="U287">
        <v>0</v>
      </c>
    </row>
    <row r="288" spans="1:21" x14ac:dyDescent="0.25">
      <c r="A288">
        <v>9645433</v>
      </c>
      <c r="B288" t="s">
        <v>15</v>
      </c>
      <c r="C288" s="1">
        <v>43007</v>
      </c>
      <c r="D288" s="2">
        <f>YEAR(C288)</f>
        <v>2017</v>
      </c>
      <c r="E288">
        <v>390000</v>
      </c>
      <c r="F288" t="s">
        <v>85</v>
      </c>
      <c r="G288">
        <v>1950</v>
      </c>
      <c r="H288">
        <v>1895</v>
      </c>
      <c r="I288" t="s">
        <v>141</v>
      </c>
      <c r="J288">
        <v>62</v>
      </c>
      <c r="K288">
        <v>60062</v>
      </c>
      <c r="L288">
        <v>1672</v>
      </c>
      <c r="M288">
        <v>8</v>
      </c>
      <c r="N288">
        <v>2</v>
      </c>
      <c r="O288">
        <v>0</v>
      </c>
      <c r="P288" t="s">
        <v>18</v>
      </c>
      <c r="Q288">
        <v>3</v>
      </c>
      <c r="R288">
        <v>0</v>
      </c>
      <c r="S288" t="s">
        <v>21</v>
      </c>
      <c r="T288">
        <v>1</v>
      </c>
      <c r="U288">
        <v>0</v>
      </c>
    </row>
    <row r="289" spans="1:21" x14ac:dyDescent="0.25">
      <c r="A289">
        <v>10096240</v>
      </c>
      <c r="B289" t="s">
        <v>15</v>
      </c>
      <c r="C289" s="1">
        <v>43437</v>
      </c>
      <c r="D289" s="2">
        <f>YEAR(C289)</f>
        <v>2018</v>
      </c>
      <c r="E289">
        <v>260000</v>
      </c>
      <c r="F289" t="s">
        <v>85</v>
      </c>
      <c r="G289">
        <v>1950</v>
      </c>
      <c r="H289">
        <v>2184</v>
      </c>
      <c r="I289" t="s">
        <v>142</v>
      </c>
      <c r="J289">
        <v>62</v>
      </c>
      <c r="K289">
        <v>60062</v>
      </c>
      <c r="L289">
        <v>1464</v>
      </c>
      <c r="M289">
        <v>8</v>
      </c>
      <c r="N289">
        <v>1</v>
      </c>
      <c r="O289">
        <v>1</v>
      </c>
      <c r="P289" t="s">
        <v>18</v>
      </c>
      <c r="Q289">
        <v>4</v>
      </c>
      <c r="R289">
        <v>0</v>
      </c>
      <c r="S289" t="s">
        <v>21</v>
      </c>
      <c r="T289">
        <v>2</v>
      </c>
      <c r="U289">
        <v>0</v>
      </c>
    </row>
    <row r="290" spans="1:21" x14ac:dyDescent="0.25">
      <c r="A290">
        <v>9794055</v>
      </c>
      <c r="B290" t="s">
        <v>15</v>
      </c>
      <c r="C290" s="1">
        <v>43146</v>
      </c>
      <c r="D290" s="2">
        <f>YEAR(C290)</f>
        <v>2018</v>
      </c>
      <c r="E290">
        <v>335000</v>
      </c>
      <c r="F290" t="s">
        <v>85</v>
      </c>
      <c r="G290">
        <v>1950</v>
      </c>
      <c r="H290">
        <v>930</v>
      </c>
      <c r="I290" t="s">
        <v>143</v>
      </c>
      <c r="J290">
        <v>62</v>
      </c>
      <c r="K290">
        <v>60062</v>
      </c>
      <c r="L290">
        <v>1378</v>
      </c>
      <c r="M290">
        <v>8</v>
      </c>
      <c r="N290">
        <v>2</v>
      </c>
      <c r="O290">
        <v>0</v>
      </c>
      <c r="P290" t="s">
        <v>18</v>
      </c>
      <c r="Q290">
        <v>3</v>
      </c>
      <c r="R290">
        <v>0</v>
      </c>
      <c r="S290" t="s">
        <v>22</v>
      </c>
      <c r="T290">
        <v>1</v>
      </c>
      <c r="U290">
        <v>0</v>
      </c>
    </row>
    <row r="291" spans="1:21" x14ac:dyDescent="0.25">
      <c r="A291">
        <v>9859232</v>
      </c>
      <c r="B291" t="s">
        <v>15</v>
      </c>
      <c r="C291" s="1">
        <v>43195</v>
      </c>
      <c r="D291" s="2">
        <f>YEAR(C291)</f>
        <v>2018</v>
      </c>
      <c r="E291">
        <v>310000</v>
      </c>
      <c r="F291" t="s">
        <v>85</v>
      </c>
      <c r="G291">
        <v>1950</v>
      </c>
      <c r="H291">
        <v>1382</v>
      </c>
      <c r="I291" t="s">
        <v>144</v>
      </c>
      <c r="J291">
        <v>62</v>
      </c>
      <c r="K291">
        <v>60062</v>
      </c>
      <c r="L291">
        <v>1365</v>
      </c>
      <c r="M291">
        <v>5</v>
      </c>
      <c r="N291">
        <v>2</v>
      </c>
      <c r="O291">
        <v>0</v>
      </c>
      <c r="P291" t="s">
        <v>18</v>
      </c>
      <c r="Q291">
        <v>3</v>
      </c>
      <c r="R291">
        <v>0</v>
      </c>
      <c r="S291" t="s">
        <v>21</v>
      </c>
      <c r="T291">
        <v>2</v>
      </c>
      <c r="U291">
        <v>0</v>
      </c>
    </row>
    <row r="292" spans="1:21" x14ac:dyDescent="0.25">
      <c r="A292">
        <v>9655318</v>
      </c>
      <c r="B292" t="s">
        <v>15</v>
      </c>
      <c r="C292" s="1">
        <v>42930</v>
      </c>
      <c r="D292" s="2">
        <f>YEAR(C292)</f>
        <v>2017</v>
      </c>
      <c r="E292">
        <v>380100</v>
      </c>
      <c r="F292" t="s">
        <v>85</v>
      </c>
      <c r="G292">
        <v>1950</v>
      </c>
      <c r="H292">
        <v>2218</v>
      </c>
      <c r="I292" t="s">
        <v>145</v>
      </c>
      <c r="J292">
        <v>62</v>
      </c>
      <c r="K292">
        <v>60062</v>
      </c>
      <c r="L292">
        <v>1279</v>
      </c>
      <c r="M292">
        <v>6</v>
      </c>
      <c r="N292">
        <v>2</v>
      </c>
      <c r="O292">
        <v>0</v>
      </c>
      <c r="P292" t="s">
        <v>18</v>
      </c>
      <c r="Q292">
        <v>3</v>
      </c>
      <c r="R292">
        <v>0</v>
      </c>
      <c r="S292" t="s">
        <v>21</v>
      </c>
      <c r="T292">
        <v>1</v>
      </c>
      <c r="U292">
        <v>0</v>
      </c>
    </row>
    <row r="293" spans="1:21" x14ac:dyDescent="0.25">
      <c r="A293">
        <v>9723350</v>
      </c>
      <c r="B293" t="s">
        <v>15</v>
      </c>
      <c r="C293" s="1">
        <v>43032</v>
      </c>
      <c r="D293" s="2">
        <f>YEAR(C293)</f>
        <v>2017</v>
      </c>
      <c r="E293">
        <v>310000</v>
      </c>
      <c r="F293" t="s">
        <v>85</v>
      </c>
      <c r="G293">
        <v>1950</v>
      </c>
      <c r="H293">
        <v>1871</v>
      </c>
      <c r="I293" t="s">
        <v>146</v>
      </c>
      <c r="J293">
        <v>62</v>
      </c>
      <c r="K293">
        <v>60062</v>
      </c>
      <c r="L293">
        <v>1048</v>
      </c>
      <c r="M293">
        <v>5</v>
      </c>
      <c r="N293">
        <v>1</v>
      </c>
      <c r="O293">
        <v>0</v>
      </c>
      <c r="P293" t="s">
        <v>18</v>
      </c>
      <c r="Q293">
        <v>2</v>
      </c>
      <c r="R293">
        <v>0</v>
      </c>
      <c r="S293" t="s">
        <v>22</v>
      </c>
      <c r="T293">
        <v>2</v>
      </c>
      <c r="U293">
        <v>0</v>
      </c>
    </row>
    <row r="294" spans="1:21" x14ac:dyDescent="0.25">
      <c r="A294">
        <v>9624919</v>
      </c>
      <c r="B294" t="s">
        <v>15</v>
      </c>
      <c r="C294" s="1">
        <v>42919</v>
      </c>
      <c r="D294" s="2">
        <f>YEAR(C294)</f>
        <v>2017</v>
      </c>
      <c r="E294">
        <v>430000</v>
      </c>
      <c r="F294" t="s">
        <v>85</v>
      </c>
      <c r="G294">
        <v>1951</v>
      </c>
      <c r="H294">
        <v>5132</v>
      </c>
      <c r="I294" t="s">
        <v>147</v>
      </c>
      <c r="J294">
        <v>76</v>
      </c>
      <c r="K294">
        <v>60077</v>
      </c>
      <c r="L294">
        <v>2750</v>
      </c>
      <c r="M294">
        <v>9</v>
      </c>
      <c r="N294">
        <v>2</v>
      </c>
      <c r="O294">
        <v>1</v>
      </c>
      <c r="P294" t="s">
        <v>18</v>
      </c>
      <c r="Q294">
        <v>4</v>
      </c>
      <c r="R294">
        <v>0</v>
      </c>
      <c r="S294" t="s">
        <v>21</v>
      </c>
      <c r="T294">
        <v>2</v>
      </c>
      <c r="U294">
        <v>0</v>
      </c>
    </row>
    <row r="295" spans="1:21" x14ac:dyDescent="0.25">
      <c r="A295">
        <v>9516114</v>
      </c>
      <c r="B295" t="s">
        <v>15</v>
      </c>
      <c r="C295" s="1">
        <v>42856</v>
      </c>
      <c r="D295" s="2">
        <f>YEAR(C295)</f>
        <v>2017</v>
      </c>
      <c r="E295">
        <v>435000</v>
      </c>
      <c r="F295" t="s">
        <v>85</v>
      </c>
      <c r="G295">
        <v>1951</v>
      </c>
      <c r="H295">
        <v>8320</v>
      </c>
      <c r="I295" t="s">
        <v>98</v>
      </c>
      <c r="J295">
        <v>76</v>
      </c>
      <c r="K295">
        <v>60076</v>
      </c>
      <c r="L295">
        <v>2563</v>
      </c>
      <c r="M295">
        <v>9</v>
      </c>
      <c r="N295">
        <v>3</v>
      </c>
      <c r="O295">
        <v>0</v>
      </c>
      <c r="P295" t="s">
        <v>18</v>
      </c>
      <c r="Q295">
        <v>4</v>
      </c>
      <c r="R295">
        <v>0</v>
      </c>
      <c r="S295" t="s">
        <v>21</v>
      </c>
      <c r="T295">
        <v>3</v>
      </c>
      <c r="U295">
        <v>0</v>
      </c>
    </row>
    <row r="296" spans="1:21" x14ac:dyDescent="0.25">
      <c r="A296">
        <v>9738633</v>
      </c>
      <c r="B296" t="s">
        <v>15</v>
      </c>
      <c r="C296" s="1">
        <v>43082</v>
      </c>
      <c r="D296" s="2">
        <f>YEAR(C296)</f>
        <v>2017</v>
      </c>
      <c r="E296">
        <v>380000</v>
      </c>
      <c r="F296" t="s">
        <v>85</v>
      </c>
      <c r="G296">
        <v>1951</v>
      </c>
      <c r="H296">
        <v>8552</v>
      </c>
      <c r="I296" t="s">
        <v>148</v>
      </c>
      <c r="J296">
        <v>76</v>
      </c>
      <c r="K296">
        <v>60076</v>
      </c>
      <c r="L296">
        <v>1919</v>
      </c>
      <c r="M296">
        <v>9</v>
      </c>
      <c r="N296">
        <v>2</v>
      </c>
      <c r="O296">
        <v>1</v>
      </c>
      <c r="P296" t="s">
        <v>18</v>
      </c>
      <c r="Q296">
        <v>4</v>
      </c>
      <c r="R296">
        <v>0</v>
      </c>
      <c r="S296" t="s">
        <v>19</v>
      </c>
      <c r="T296">
        <v>0</v>
      </c>
      <c r="U296">
        <v>0</v>
      </c>
    </row>
    <row r="297" spans="1:21" x14ac:dyDescent="0.25">
      <c r="A297">
        <v>9986744</v>
      </c>
      <c r="B297" t="s">
        <v>15</v>
      </c>
      <c r="C297" s="1">
        <v>43335</v>
      </c>
      <c r="D297" s="2">
        <f>YEAR(C297)</f>
        <v>2018</v>
      </c>
      <c r="E297">
        <v>361227</v>
      </c>
      <c r="F297" t="s">
        <v>85</v>
      </c>
      <c r="G297">
        <v>1951</v>
      </c>
      <c r="H297">
        <v>8556</v>
      </c>
      <c r="I297" t="s">
        <v>149</v>
      </c>
      <c r="J297">
        <v>76</v>
      </c>
      <c r="K297">
        <v>60076</v>
      </c>
      <c r="L297">
        <v>1831</v>
      </c>
      <c r="M297">
        <v>9</v>
      </c>
      <c r="N297">
        <v>2</v>
      </c>
      <c r="O297">
        <v>0</v>
      </c>
      <c r="P297" t="s">
        <v>18</v>
      </c>
      <c r="Q297">
        <v>3</v>
      </c>
      <c r="R297">
        <v>0</v>
      </c>
      <c r="S297" t="s">
        <v>22</v>
      </c>
      <c r="T297">
        <v>2</v>
      </c>
      <c r="U297">
        <v>0</v>
      </c>
    </row>
    <row r="298" spans="1:21" x14ac:dyDescent="0.25">
      <c r="A298">
        <v>9878249</v>
      </c>
      <c r="B298" t="s">
        <v>15</v>
      </c>
      <c r="C298" s="1">
        <v>43231</v>
      </c>
      <c r="D298" s="2">
        <f>YEAR(C298)</f>
        <v>2018</v>
      </c>
      <c r="E298">
        <v>407000</v>
      </c>
      <c r="F298" t="s">
        <v>85</v>
      </c>
      <c r="G298">
        <v>1951</v>
      </c>
      <c r="H298">
        <v>8611</v>
      </c>
      <c r="I298" t="s">
        <v>71</v>
      </c>
      <c r="J298">
        <v>76</v>
      </c>
      <c r="K298">
        <v>60077</v>
      </c>
      <c r="L298">
        <v>1800</v>
      </c>
      <c r="M298">
        <v>10</v>
      </c>
      <c r="N298">
        <v>2</v>
      </c>
      <c r="O298">
        <v>1</v>
      </c>
      <c r="P298" t="s">
        <v>18</v>
      </c>
      <c r="Q298">
        <v>4</v>
      </c>
      <c r="R298">
        <v>0</v>
      </c>
      <c r="S298" t="s">
        <v>21</v>
      </c>
      <c r="T298">
        <v>1</v>
      </c>
      <c r="U298">
        <v>0</v>
      </c>
    </row>
    <row r="299" spans="1:21" x14ac:dyDescent="0.25">
      <c r="A299">
        <v>9824910</v>
      </c>
      <c r="B299" t="s">
        <v>15</v>
      </c>
      <c r="C299" s="1">
        <v>43171</v>
      </c>
      <c r="D299" s="2">
        <f>YEAR(C299)</f>
        <v>2018</v>
      </c>
      <c r="E299">
        <v>290000</v>
      </c>
      <c r="F299" t="s">
        <v>85</v>
      </c>
      <c r="G299">
        <v>1951</v>
      </c>
      <c r="H299">
        <v>8312</v>
      </c>
      <c r="I299" t="s">
        <v>98</v>
      </c>
      <c r="J299">
        <v>76</v>
      </c>
      <c r="K299">
        <v>60076</v>
      </c>
      <c r="L299">
        <v>1747</v>
      </c>
      <c r="M299">
        <v>7</v>
      </c>
      <c r="N299">
        <v>2</v>
      </c>
      <c r="O299">
        <v>0</v>
      </c>
      <c r="P299" t="s">
        <v>18</v>
      </c>
      <c r="Q299">
        <v>4</v>
      </c>
      <c r="R299">
        <v>0</v>
      </c>
      <c r="S299" t="s">
        <v>19</v>
      </c>
      <c r="T299">
        <v>0</v>
      </c>
      <c r="U299">
        <v>0</v>
      </c>
    </row>
    <row r="300" spans="1:21" x14ac:dyDescent="0.25">
      <c r="A300">
        <v>9927766</v>
      </c>
      <c r="B300" t="s">
        <v>15</v>
      </c>
      <c r="C300" s="1">
        <v>43290</v>
      </c>
      <c r="D300" s="2">
        <f>YEAR(C300)</f>
        <v>2018</v>
      </c>
      <c r="E300">
        <v>328000</v>
      </c>
      <c r="F300" t="s">
        <v>85</v>
      </c>
      <c r="G300">
        <v>1951</v>
      </c>
      <c r="H300">
        <v>8117</v>
      </c>
      <c r="I300" t="s">
        <v>125</v>
      </c>
      <c r="J300">
        <v>76</v>
      </c>
      <c r="K300">
        <v>60076</v>
      </c>
      <c r="L300">
        <v>1700</v>
      </c>
      <c r="M300">
        <v>9</v>
      </c>
      <c r="N300">
        <v>2</v>
      </c>
      <c r="O300">
        <v>0</v>
      </c>
      <c r="P300" t="s">
        <v>18</v>
      </c>
      <c r="Q300">
        <v>4</v>
      </c>
      <c r="R300">
        <v>0</v>
      </c>
      <c r="S300" t="s">
        <v>21</v>
      </c>
      <c r="T300">
        <v>3</v>
      </c>
      <c r="U300">
        <v>0</v>
      </c>
    </row>
    <row r="301" spans="1:21" x14ac:dyDescent="0.25">
      <c r="A301">
        <v>9999588</v>
      </c>
      <c r="B301" t="s">
        <v>15</v>
      </c>
      <c r="C301" s="1">
        <v>43362</v>
      </c>
      <c r="D301" s="2">
        <f>YEAR(C301)</f>
        <v>2018</v>
      </c>
      <c r="E301">
        <v>305000</v>
      </c>
      <c r="F301" t="s">
        <v>85</v>
      </c>
      <c r="G301">
        <v>1951</v>
      </c>
      <c r="H301">
        <v>7824</v>
      </c>
      <c r="I301" t="s">
        <v>103</v>
      </c>
      <c r="J301">
        <v>76</v>
      </c>
      <c r="K301">
        <v>60076</v>
      </c>
      <c r="L301">
        <v>1663</v>
      </c>
      <c r="M301">
        <v>9</v>
      </c>
      <c r="N301">
        <v>1</v>
      </c>
      <c r="O301">
        <v>1</v>
      </c>
      <c r="P301" t="s">
        <v>18</v>
      </c>
      <c r="Q301">
        <v>4</v>
      </c>
      <c r="R301">
        <v>0</v>
      </c>
      <c r="S301" t="s">
        <v>22</v>
      </c>
      <c r="T301">
        <v>2.5</v>
      </c>
      <c r="U301">
        <v>0</v>
      </c>
    </row>
    <row r="302" spans="1:21" x14ac:dyDescent="0.25">
      <c r="A302">
        <v>9476323</v>
      </c>
      <c r="B302" t="s">
        <v>15</v>
      </c>
      <c r="C302" s="1">
        <v>42894</v>
      </c>
      <c r="D302" s="2">
        <f>YEAR(C302)</f>
        <v>2017</v>
      </c>
      <c r="E302">
        <v>355000</v>
      </c>
      <c r="F302" t="s">
        <v>85</v>
      </c>
      <c r="G302">
        <v>1951</v>
      </c>
      <c r="H302">
        <v>4340</v>
      </c>
      <c r="I302" t="s">
        <v>150</v>
      </c>
      <c r="J302">
        <v>76</v>
      </c>
      <c r="K302">
        <v>60076</v>
      </c>
      <c r="L302">
        <v>1585</v>
      </c>
      <c r="M302">
        <v>8</v>
      </c>
      <c r="N302">
        <v>2</v>
      </c>
      <c r="O302">
        <v>0</v>
      </c>
      <c r="P302" t="s">
        <v>18</v>
      </c>
      <c r="Q302">
        <v>3</v>
      </c>
      <c r="R302">
        <v>0</v>
      </c>
      <c r="S302" t="s">
        <v>21</v>
      </c>
      <c r="T302">
        <v>2</v>
      </c>
      <c r="U302">
        <v>0</v>
      </c>
    </row>
    <row r="303" spans="1:21" x14ac:dyDescent="0.25">
      <c r="A303">
        <v>9899634</v>
      </c>
      <c r="B303" t="s">
        <v>15</v>
      </c>
      <c r="C303" s="1">
        <v>43242</v>
      </c>
      <c r="D303" s="2">
        <f>YEAR(C303)</f>
        <v>2018</v>
      </c>
      <c r="E303">
        <v>262500</v>
      </c>
      <c r="F303" t="s">
        <v>85</v>
      </c>
      <c r="G303">
        <v>1951</v>
      </c>
      <c r="H303">
        <v>5333</v>
      </c>
      <c r="I303" t="s">
        <v>109</v>
      </c>
      <c r="J303">
        <v>76</v>
      </c>
      <c r="K303">
        <v>60077</v>
      </c>
      <c r="L303">
        <v>1304</v>
      </c>
      <c r="M303">
        <v>6</v>
      </c>
      <c r="N303">
        <v>1</v>
      </c>
      <c r="O303">
        <v>1</v>
      </c>
      <c r="P303" t="s">
        <v>18</v>
      </c>
      <c r="Q303">
        <v>3</v>
      </c>
      <c r="R303">
        <v>0</v>
      </c>
      <c r="S303" t="s">
        <v>22</v>
      </c>
      <c r="T303">
        <v>2</v>
      </c>
      <c r="U303">
        <v>0</v>
      </c>
    </row>
    <row r="304" spans="1:21" x14ac:dyDescent="0.25">
      <c r="A304">
        <v>9473503</v>
      </c>
      <c r="B304" t="s">
        <v>15</v>
      </c>
      <c r="C304" s="1">
        <v>42852</v>
      </c>
      <c r="D304" s="2">
        <f>YEAR(C304)</f>
        <v>2017</v>
      </c>
      <c r="E304">
        <v>320000</v>
      </c>
      <c r="F304" t="s">
        <v>85</v>
      </c>
      <c r="G304">
        <v>1951</v>
      </c>
      <c r="H304">
        <v>5230</v>
      </c>
      <c r="I304" t="s">
        <v>151</v>
      </c>
      <c r="J304">
        <v>76</v>
      </c>
      <c r="K304">
        <v>60077</v>
      </c>
      <c r="L304">
        <v>1214</v>
      </c>
      <c r="M304">
        <v>7</v>
      </c>
      <c r="N304">
        <v>1</v>
      </c>
      <c r="O304">
        <v>1</v>
      </c>
      <c r="P304" t="s">
        <v>18</v>
      </c>
      <c r="Q304">
        <v>3</v>
      </c>
      <c r="R304">
        <v>0</v>
      </c>
      <c r="S304" t="s">
        <v>21</v>
      </c>
      <c r="T304">
        <v>1</v>
      </c>
      <c r="U304">
        <v>0</v>
      </c>
    </row>
    <row r="305" spans="1:21" x14ac:dyDescent="0.25">
      <c r="A305">
        <v>10008039</v>
      </c>
      <c r="B305" t="s">
        <v>15</v>
      </c>
      <c r="C305" s="1">
        <v>43329</v>
      </c>
      <c r="D305" s="2">
        <f>YEAR(C305)</f>
        <v>2018</v>
      </c>
      <c r="E305">
        <v>309000</v>
      </c>
      <c r="F305" t="s">
        <v>85</v>
      </c>
      <c r="G305">
        <v>1951</v>
      </c>
      <c r="H305">
        <v>7937</v>
      </c>
      <c r="I305" t="s">
        <v>108</v>
      </c>
      <c r="J305">
        <v>76</v>
      </c>
      <c r="K305">
        <v>60076</v>
      </c>
      <c r="L305">
        <v>1190</v>
      </c>
      <c r="M305">
        <v>5</v>
      </c>
      <c r="N305">
        <v>1</v>
      </c>
      <c r="O305">
        <v>1</v>
      </c>
      <c r="P305" t="s">
        <v>18</v>
      </c>
      <c r="Q305">
        <v>2</v>
      </c>
      <c r="R305">
        <v>0</v>
      </c>
      <c r="S305" t="s">
        <v>22</v>
      </c>
      <c r="T305">
        <v>1.5</v>
      </c>
      <c r="U305">
        <v>0</v>
      </c>
    </row>
    <row r="306" spans="1:21" x14ac:dyDescent="0.25">
      <c r="A306">
        <v>9685014</v>
      </c>
      <c r="B306" t="s">
        <v>15</v>
      </c>
      <c r="C306" s="1">
        <v>42997</v>
      </c>
      <c r="D306" s="2">
        <f>YEAR(C306)</f>
        <v>2017</v>
      </c>
      <c r="E306">
        <v>339150</v>
      </c>
      <c r="F306" t="s">
        <v>85</v>
      </c>
      <c r="G306">
        <v>1951</v>
      </c>
      <c r="H306">
        <v>4910</v>
      </c>
      <c r="I306" t="s">
        <v>106</v>
      </c>
      <c r="J306">
        <v>76</v>
      </c>
      <c r="K306">
        <v>60077</v>
      </c>
      <c r="L306">
        <v>1172</v>
      </c>
      <c r="M306">
        <v>5</v>
      </c>
      <c r="N306">
        <v>1</v>
      </c>
      <c r="O306">
        <v>1</v>
      </c>
      <c r="P306" t="s">
        <v>18</v>
      </c>
      <c r="Q306">
        <v>3</v>
      </c>
      <c r="R306">
        <v>0</v>
      </c>
      <c r="S306" t="s">
        <v>21</v>
      </c>
      <c r="T306">
        <v>2</v>
      </c>
      <c r="U306">
        <v>0</v>
      </c>
    </row>
    <row r="307" spans="1:21" x14ac:dyDescent="0.25">
      <c r="A307">
        <v>10018609</v>
      </c>
      <c r="B307" t="s">
        <v>15</v>
      </c>
      <c r="C307" s="1">
        <v>43355</v>
      </c>
      <c r="D307" s="2">
        <f>YEAR(C307)</f>
        <v>2018</v>
      </c>
      <c r="E307">
        <v>280000</v>
      </c>
      <c r="F307" t="s">
        <v>85</v>
      </c>
      <c r="G307">
        <v>1951</v>
      </c>
      <c r="H307">
        <v>4405</v>
      </c>
      <c r="I307" t="s">
        <v>100</v>
      </c>
      <c r="J307">
        <v>76</v>
      </c>
      <c r="K307">
        <v>60076</v>
      </c>
      <c r="L307">
        <v>1150</v>
      </c>
      <c r="M307">
        <v>7</v>
      </c>
      <c r="N307">
        <v>1</v>
      </c>
      <c r="O307">
        <v>0</v>
      </c>
      <c r="P307" t="s">
        <v>18</v>
      </c>
      <c r="Q307">
        <v>3</v>
      </c>
      <c r="R307">
        <v>0</v>
      </c>
      <c r="S307" t="s">
        <v>21</v>
      </c>
      <c r="T307">
        <v>1</v>
      </c>
      <c r="U307">
        <v>0</v>
      </c>
    </row>
    <row r="308" spans="1:21" x14ac:dyDescent="0.25">
      <c r="A308">
        <v>9702032</v>
      </c>
      <c r="B308" t="s">
        <v>15</v>
      </c>
      <c r="C308" s="1">
        <v>43069</v>
      </c>
      <c r="D308" s="2">
        <f>YEAR(C308)</f>
        <v>2017</v>
      </c>
      <c r="E308">
        <v>285000</v>
      </c>
      <c r="F308" t="s">
        <v>85</v>
      </c>
      <c r="G308">
        <v>1951</v>
      </c>
      <c r="H308">
        <v>4949</v>
      </c>
      <c r="I308" t="s">
        <v>32</v>
      </c>
      <c r="J308">
        <v>76</v>
      </c>
      <c r="K308">
        <v>60077</v>
      </c>
      <c r="L308">
        <v>1078</v>
      </c>
      <c r="M308">
        <v>9</v>
      </c>
      <c r="N308">
        <v>2</v>
      </c>
      <c r="O308">
        <v>0</v>
      </c>
      <c r="P308" t="s">
        <v>18</v>
      </c>
      <c r="Q308">
        <v>4</v>
      </c>
      <c r="R308">
        <v>0</v>
      </c>
      <c r="S308" t="s">
        <v>22</v>
      </c>
      <c r="T308">
        <v>2.5</v>
      </c>
      <c r="U308">
        <v>0</v>
      </c>
    </row>
    <row r="309" spans="1:21" x14ac:dyDescent="0.25">
      <c r="A309">
        <v>9562148</v>
      </c>
      <c r="B309" t="s">
        <v>15</v>
      </c>
      <c r="C309" s="1">
        <v>42871</v>
      </c>
      <c r="D309" s="2">
        <f>YEAR(C309)</f>
        <v>2017</v>
      </c>
      <c r="E309">
        <v>267000</v>
      </c>
      <c r="F309" t="s">
        <v>85</v>
      </c>
      <c r="G309">
        <v>1951</v>
      </c>
      <c r="H309">
        <v>9453</v>
      </c>
      <c r="I309" t="s">
        <v>152</v>
      </c>
      <c r="J309">
        <v>76</v>
      </c>
      <c r="K309">
        <v>60076</v>
      </c>
      <c r="L309">
        <v>1065</v>
      </c>
      <c r="M309">
        <v>5</v>
      </c>
      <c r="N309">
        <v>1</v>
      </c>
      <c r="O309">
        <v>0</v>
      </c>
      <c r="P309" t="s">
        <v>18</v>
      </c>
      <c r="Q309">
        <v>2</v>
      </c>
      <c r="R309">
        <v>0</v>
      </c>
      <c r="S309" t="s">
        <v>22</v>
      </c>
      <c r="T309">
        <v>2</v>
      </c>
      <c r="U309">
        <v>0</v>
      </c>
    </row>
    <row r="310" spans="1:21" x14ac:dyDescent="0.25">
      <c r="A310">
        <v>9398121</v>
      </c>
      <c r="B310" t="s">
        <v>15</v>
      </c>
      <c r="C310" s="1">
        <v>42879</v>
      </c>
      <c r="D310" s="2">
        <f>YEAR(C310)</f>
        <v>2017</v>
      </c>
      <c r="E310">
        <v>240000</v>
      </c>
      <c r="F310" t="s">
        <v>85</v>
      </c>
      <c r="G310">
        <v>1951</v>
      </c>
      <c r="H310">
        <v>8318</v>
      </c>
      <c r="I310" t="s">
        <v>153</v>
      </c>
      <c r="J310">
        <v>76</v>
      </c>
      <c r="K310">
        <v>60076</v>
      </c>
      <c r="L310">
        <v>1000</v>
      </c>
      <c r="M310">
        <v>5</v>
      </c>
      <c r="N310">
        <v>1</v>
      </c>
      <c r="O310">
        <v>1</v>
      </c>
      <c r="P310" t="s">
        <v>18</v>
      </c>
      <c r="Q310">
        <v>3</v>
      </c>
      <c r="R310">
        <v>0</v>
      </c>
      <c r="S310" t="s">
        <v>22</v>
      </c>
      <c r="T310">
        <v>2</v>
      </c>
      <c r="U310">
        <v>0</v>
      </c>
    </row>
    <row r="311" spans="1:21" x14ac:dyDescent="0.25">
      <c r="A311">
        <v>10109718</v>
      </c>
      <c r="B311" t="s">
        <v>15</v>
      </c>
      <c r="C311" s="1">
        <v>43487</v>
      </c>
      <c r="D311" s="2">
        <f>YEAR(C311)</f>
        <v>2019</v>
      </c>
      <c r="E311">
        <v>198000</v>
      </c>
      <c r="F311" t="s">
        <v>85</v>
      </c>
      <c r="G311">
        <v>1951</v>
      </c>
      <c r="H311">
        <v>8329</v>
      </c>
      <c r="I311" t="s">
        <v>98</v>
      </c>
      <c r="J311">
        <v>76</v>
      </c>
      <c r="K311">
        <v>60076</v>
      </c>
      <c r="L311">
        <v>921</v>
      </c>
      <c r="M311">
        <v>6</v>
      </c>
      <c r="N311">
        <v>1</v>
      </c>
      <c r="O311">
        <v>0</v>
      </c>
      <c r="P311" t="s">
        <v>18</v>
      </c>
      <c r="Q311">
        <v>2</v>
      </c>
      <c r="R311">
        <v>0</v>
      </c>
      <c r="S311" t="s">
        <v>22</v>
      </c>
      <c r="T311">
        <v>1</v>
      </c>
      <c r="U311">
        <v>0</v>
      </c>
    </row>
    <row r="312" spans="1:21" x14ac:dyDescent="0.25">
      <c r="A312">
        <v>9952114</v>
      </c>
      <c r="B312" t="s">
        <v>15</v>
      </c>
      <c r="C312" s="1">
        <v>43375</v>
      </c>
      <c r="D312" s="2">
        <f>YEAR(C312)</f>
        <v>2018</v>
      </c>
      <c r="E312">
        <v>575000</v>
      </c>
      <c r="F312" t="s">
        <v>85</v>
      </c>
      <c r="G312">
        <v>1951</v>
      </c>
      <c r="H312">
        <v>1649</v>
      </c>
      <c r="I312" t="s">
        <v>155</v>
      </c>
      <c r="J312">
        <v>62</v>
      </c>
      <c r="K312">
        <v>60062</v>
      </c>
      <c r="L312">
        <v>3240</v>
      </c>
      <c r="M312">
        <v>10</v>
      </c>
      <c r="N312">
        <v>4</v>
      </c>
      <c r="O312">
        <v>1</v>
      </c>
      <c r="P312" t="s">
        <v>18</v>
      </c>
      <c r="Q312">
        <v>5</v>
      </c>
      <c r="R312">
        <v>0</v>
      </c>
      <c r="S312" t="s">
        <v>21</v>
      </c>
      <c r="T312">
        <v>2.5</v>
      </c>
      <c r="U312">
        <v>0</v>
      </c>
    </row>
    <row r="313" spans="1:21" x14ac:dyDescent="0.25">
      <c r="A313">
        <v>10128756</v>
      </c>
      <c r="B313" t="s">
        <v>15</v>
      </c>
      <c r="C313" s="1">
        <v>43496</v>
      </c>
      <c r="D313" s="2">
        <f>YEAR(C313)</f>
        <v>2019</v>
      </c>
      <c r="E313">
        <v>835000</v>
      </c>
      <c r="F313" t="s">
        <v>85</v>
      </c>
      <c r="G313">
        <v>1951</v>
      </c>
      <c r="H313">
        <v>1700</v>
      </c>
      <c r="I313" t="s">
        <v>156</v>
      </c>
      <c r="J313">
        <v>62</v>
      </c>
      <c r="K313">
        <v>60062</v>
      </c>
      <c r="L313">
        <v>3200</v>
      </c>
      <c r="M313">
        <v>9</v>
      </c>
      <c r="N313">
        <v>3</v>
      </c>
      <c r="O313">
        <v>0</v>
      </c>
      <c r="P313" t="s">
        <v>18</v>
      </c>
      <c r="Q313">
        <v>4</v>
      </c>
      <c r="R313">
        <v>0</v>
      </c>
      <c r="S313" t="s">
        <v>21</v>
      </c>
      <c r="T313">
        <v>3</v>
      </c>
      <c r="U313">
        <v>0</v>
      </c>
    </row>
    <row r="314" spans="1:21" x14ac:dyDescent="0.25">
      <c r="A314">
        <v>9925280</v>
      </c>
      <c r="B314" t="s">
        <v>15</v>
      </c>
      <c r="C314" s="1">
        <v>43284</v>
      </c>
      <c r="D314" s="2">
        <f>YEAR(C314)</f>
        <v>2018</v>
      </c>
      <c r="E314">
        <v>675000</v>
      </c>
      <c r="F314" t="s">
        <v>85</v>
      </c>
      <c r="G314">
        <v>1951</v>
      </c>
      <c r="H314">
        <v>934</v>
      </c>
      <c r="I314" t="s">
        <v>122</v>
      </c>
      <c r="J314">
        <v>62</v>
      </c>
      <c r="K314">
        <v>60062</v>
      </c>
      <c r="L314">
        <v>2480</v>
      </c>
      <c r="M314">
        <v>7</v>
      </c>
      <c r="N314">
        <v>2</v>
      </c>
      <c r="O314">
        <v>1</v>
      </c>
      <c r="P314" t="s">
        <v>18</v>
      </c>
      <c r="Q314">
        <v>3</v>
      </c>
      <c r="R314">
        <v>0</v>
      </c>
      <c r="S314" t="s">
        <v>21</v>
      </c>
      <c r="T314">
        <v>2</v>
      </c>
      <c r="U314">
        <v>0</v>
      </c>
    </row>
    <row r="315" spans="1:21" x14ac:dyDescent="0.25">
      <c r="A315">
        <v>9843212</v>
      </c>
      <c r="B315" t="s">
        <v>15</v>
      </c>
      <c r="C315" s="1">
        <v>43206</v>
      </c>
      <c r="D315" s="2">
        <f>YEAR(C315)</f>
        <v>2018</v>
      </c>
      <c r="E315">
        <v>450000</v>
      </c>
      <c r="F315" t="s">
        <v>85</v>
      </c>
      <c r="G315">
        <v>1951</v>
      </c>
      <c r="H315">
        <v>1180</v>
      </c>
      <c r="I315" t="s">
        <v>157</v>
      </c>
      <c r="J315">
        <v>62</v>
      </c>
      <c r="K315">
        <v>60062</v>
      </c>
      <c r="L315">
        <v>2400</v>
      </c>
      <c r="M315">
        <v>12</v>
      </c>
      <c r="N315">
        <v>3</v>
      </c>
      <c r="O315">
        <v>0</v>
      </c>
      <c r="P315" t="s">
        <v>18</v>
      </c>
      <c r="Q315">
        <v>5</v>
      </c>
      <c r="R315">
        <v>0</v>
      </c>
      <c r="S315" t="s">
        <v>21</v>
      </c>
      <c r="T315">
        <v>1</v>
      </c>
      <c r="U315">
        <v>0</v>
      </c>
    </row>
    <row r="316" spans="1:21" x14ac:dyDescent="0.25">
      <c r="A316">
        <v>9497431</v>
      </c>
      <c r="B316" t="s">
        <v>15</v>
      </c>
      <c r="C316" s="1">
        <v>42853</v>
      </c>
      <c r="D316" s="2">
        <f>YEAR(C316)</f>
        <v>2017</v>
      </c>
      <c r="E316">
        <v>275000</v>
      </c>
      <c r="F316" t="s">
        <v>85</v>
      </c>
      <c r="G316">
        <v>1951</v>
      </c>
      <c r="H316">
        <v>1805</v>
      </c>
      <c r="I316" t="s">
        <v>158</v>
      </c>
      <c r="J316">
        <v>62</v>
      </c>
      <c r="K316">
        <v>60062</v>
      </c>
      <c r="L316">
        <v>1872</v>
      </c>
      <c r="M316">
        <v>8</v>
      </c>
      <c r="N316">
        <v>2</v>
      </c>
      <c r="O316">
        <v>0</v>
      </c>
      <c r="P316" t="s">
        <v>18</v>
      </c>
      <c r="Q316">
        <v>4</v>
      </c>
      <c r="R316">
        <v>0</v>
      </c>
      <c r="S316" t="s">
        <v>21</v>
      </c>
      <c r="T316">
        <v>1</v>
      </c>
      <c r="U316">
        <v>0</v>
      </c>
    </row>
    <row r="317" spans="1:21" x14ac:dyDescent="0.25">
      <c r="A317">
        <v>9865644</v>
      </c>
      <c r="B317" t="s">
        <v>15</v>
      </c>
      <c r="C317" s="1">
        <v>43201</v>
      </c>
      <c r="D317" s="2">
        <f>YEAR(C317)</f>
        <v>2018</v>
      </c>
      <c r="E317">
        <v>299000</v>
      </c>
      <c r="F317" t="s">
        <v>85</v>
      </c>
      <c r="G317">
        <v>1951</v>
      </c>
      <c r="H317">
        <v>1805</v>
      </c>
      <c r="I317" t="s">
        <v>158</v>
      </c>
      <c r="J317">
        <v>62</v>
      </c>
      <c r="K317">
        <v>60062</v>
      </c>
      <c r="L317">
        <v>1872</v>
      </c>
      <c r="M317">
        <v>8</v>
      </c>
      <c r="N317">
        <v>2</v>
      </c>
      <c r="O317">
        <v>0</v>
      </c>
      <c r="P317" t="s">
        <v>18</v>
      </c>
      <c r="Q317">
        <v>4</v>
      </c>
      <c r="R317">
        <v>0</v>
      </c>
      <c r="S317" t="s">
        <v>21</v>
      </c>
      <c r="T317">
        <v>1</v>
      </c>
      <c r="U317">
        <v>0</v>
      </c>
    </row>
    <row r="318" spans="1:21" x14ac:dyDescent="0.25">
      <c r="A318">
        <v>9757546</v>
      </c>
      <c r="B318" t="s">
        <v>15</v>
      </c>
      <c r="C318" s="1">
        <v>43112</v>
      </c>
      <c r="D318" s="2">
        <f>YEAR(C318)</f>
        <v>2018</v>
      </c>
      <c r="E318">
        <v>435000</v>
      </c>
      <c r="F318" t="s">
        <v>85</v>
      </c>
      <c r="G318">
        <v>1951</v>
      </c>
      <c r="H318">
        <v>1451</v>
      </c>
      <c r="I318" t="s">
        <v>129</v>
      </c>
      <c r="J318">
        <v>62</v>
      </c>
      <c r="K318">
        <v>60062</v>
      </c>
      <c r="L318">
        <v>1664</v>
      </c>
      <c r="M318">
        <v>7</v>
      </c>
      <c r="N318">
        <v>2</v>
      </c>
      <c r="O318">
        <v>0</v>
      </c>
      <c r="P318" t="s">
        <v>18</v>
      </c>
      <c r="Q318">
        <v>3</v>
      </c>
      <c r="R318">
        <v>0</v>
      </c>
      <c r="S318" t="s">
        <v>21</v>
      </c>
      <c r="T318">
        <v>1</v>
      </c>
      <c r="U318">
        <v>0</v>
      </c>
    </row>
    <row r="319" spans="1:21" x14ac:dyDescent="0.25">
      <c r="A319">
        <v>9608571</v>
      </c>
      <c r="B319" t="s">
        <v>15</v>
      </c>
      <c r="C319" s="1">
        <v>42912</v>
      </c>
      <c r="D319" s="2">
        <f>YEAR(C319)</f>
        <v>2017</v>
      </c>
      <c r="E319">
        <v>395000</v>
      </c>
      <c r="F319" t="s">
        <v>85</v>
      </c>
      <c r="G319">
        <v>1951</v>
      </c>
      <c r="H319">
        <v>1371</v>
      </c>
      <c r="I319" t="s">
        <v>159</v>
      </c>
      <c r="J319">
        <v>62</v>
      </c>
      <c r="K319">
        <v>60062</v>
      </c>
      <c r="L319">
        <v>1600</v>
      </c>
      <c r="M319">
        <v>7</v>
      </c>
      <c r="N319">
        <v>2</v>
      </c>
      <c r="O319">
        <v>0</v>
      </c>
      <c r="P319" t="s">
        <v>18</v>
      </c>
      <c r="Q319">
        <v>3</v>
      </c>
      <c r="R319">
        <v>0</v>
      </c>
      <c r="S319" t="s">
        <v>21</v>
      </c>
      <c r="T319">
        <v>1</v>
      </c>
      <c r="U319">
        <v>0</v>
      </c>
    </row>
    <row r="320" spans="1:21" x14ac:dyDescent="0.25">
      <c r="A320">
        <v>10091004</v>
      </c>
      <c r="B320" t="s">
        <v>15</v>
      </c>
      <c r="C320" s="1">
        <v>43517</v>
      </c>
      <c r="D320" s="2">
        <f>YEAR(C320)</f>
        <v>2019</v>
      </c>
      <c r="E320">
        <v>380000</v>
      </c>
      <c r="F320" t="s">
        <v>85</v>
      </c>
      <c r="G320">
        <v>1951</v>
      </c>
      <c r="H320">
        <v>2359</v>
      </c>
      <c r="I320" t="s">
        <v>160</v>
      </c>
      <c r="J320">
        <v>62</v>
      </c>
      <c r="K320">
        <v>60062</v>
      </c>
      <c r="L320">
        <v>1484</v>
      </c>
      <c r="M320">
        <v>10</v>
      </c>
      <c r="N320">
        <v>2</v>
      </c>
      <c r="O320">
        <v>0</v>
      </c>
      <c r="P320" t="s">
        <v>18</v>
      </c>
      <c r="Q320">
        <v>4</v>
      </c>
      <c r="R320">
        <v>0</v>
      </c>
      <c r="S320" t="s">
        <v>22</v>
      </c>
      <c r="T320">
        <v>1.5</v>
      </c>
      <c r="U320">
        <v>0</v>
      </c>
    </row>
    <row r="321" spans="1:21" x14ac:dyDescent="0.25">
      <c r="A321">
        <v>9495684</v>
      </c>
      <c r="B321" t="s">
        <v>15</v>
      </c>
      <c r="C321" s="1">
        <v>42825</v>
      </c>
      <c r="D321" s="2">
        <f>YEAR(C321)</f>
        <v>2017</v>
      </c>
      <c r="E321">
        <v>360000</v>
      </c>
      <c r="F321" t="s">
        <v>85</v>
      </c>
      <c r="G321">
        <v>1951</v>
      </c>
      <c r="H321">
        <v>2120</v>
      </c>
      <c r="I321" t="s">
        <v>161</v>
      </c>
      <c r="J321">
        <v>62</v>
      </c>
      <c r="K321">
        <v>60062</v>
      </c>
      <c r="L321">
        <v>1415</v>
      </c>
      <c r="M321">
        <v>5</v>
      </c>
      <c r="N321">
        <v>1</v>
      </c>
      <c r="O321">
        <v>0</v>
      </c>
      <c r="P321" t="s">
        <v>18</v>
      </c>
      <c r="Q321">
        <v>2</v>
      </c>
      <c r="R321">
        <v>0</v>
      </c>
      <c r="S321" t="s">
        <v>22</v>
      </c>
      <c r="T321">
        <v>2</v>
      </c>
      <c r="U321">
        <v>0</v>
      </c>
    </row>
    <row r="322" spans="1:21" x14ac:dyDescent="0.25">
      <c r="A322">
        <v>9583186</v>
      </c>
      <c r="B322" t="s">
        <v>15</v>
      </c>
      <c r="C322" s="1">
        <v>42957</v>
      </c>
      <c r="D322" s="2">
        <f>YEAR(C322)</f>
        <v>2017</v>
      </c>
      <c r="E322">
        <v>350000</v>
      </c>
      <c r="F322" t="s">
        <v>85</v>
      </c>
      <c r="G322">
        <v>1951</v>
      </c>
      <c r="H322">
        <v>1423</v>
      </c>
      <c r="I322" t="s">
        <v>129</v>
      </c>
      <c r="J322">
        <v>62</v>
      </c>
      <c r="K322">
        <v>60062</v>
      </c>
      <c r="L322">
        <v>1116</v>
      </c>
      <c r="M322">
        <v>6</v>
      </c>
      <c r="N322">
        <v>1</v>
      </c>
      <c r="O322">
        <v>0</v>
      </c>
      <c r="P322" t="s">
        <v>18</v>
      </c>
      <c r="Q322">
        <v>3</v>
      </c>
      <c r="R322">
        <v>0</v>
      </c>
      <c r="S322" t="s">
        <v>21</v>
      </c>
      <c r="T322">
        <v>1</v>
      </c>
      <c r="U322">
        <v>0</v>
      </c>
    </row>
    <row r="323" spans="1:21" x14ac:dyDescent="0.25">
      <c r="A323">
        <v>9764973</v>
      </c>
      <c r="B323" t="s">
        <v>15</v>
      </c>
      <c r="C323" s="1">
        <v>43132</v>
      </c>
      <c r="D323" s="2">
        <f>YEAR(C323)</f>
        <v>2018</v>
      </c>
      <c r="E323">
        <v>359000</v>
      </c>
      <c r="F323" t="s">
        <v>85</v>
      </c>
      <c r="G323">
        <v>1951</v>
      </c>
      <c r="H323">
        <v>1919</v>
      </c>
      <c r="I323" t="s">
        <v>162</v>
      </c>
      <c r="J323">
        <v>62</v>
      </c>
      <c r="K323">
        <v>60062</v>
      </c>
      <c r="L323">
        <v>1063</v>
      </c>
      <c r="M323">
        <v>7</v>
      </c>
      <c r="N323">
        <v>1</v>
      </c>
      <c r="O323">
        <v>0</v>
      </c>
      <c r="P323" t="s">
        <v>18</v>
      </c>
      <c r="Q323">
        <v>2</v>
      </c>
      <c r="R323">
        <v>0</v>
      </c>
      <c r="S323" t="s">
        <v>22</v>
      </c>
      <c r="T323">
        <v>2</v>
      </c>
      <c r="U323">
        <v>0</v>
      </c>
    </row>
    <row r="324" spans="1:21" x14ac:dyDescent="0.25">
      <c r="A324">
        <v>9841930</v>
      </c>
      <c r="B324" t="s">
        <v>15</v>
      </c>
      <c r="C324" s="1">
        <v>43257</v>
      </c>
      <c r="D324" s="2">
        <f>YEAR(C324)</f>
        <v>2018</v>
      </c>
      <c r="E324">
        <v>330000</v>
      </c>
      <c r="F324" t="s">
        <v>85</v>
      </c>
      <c r="G324">
        <v>1952</v>
      </c>
      <c r="H324">
        <v>3805</v>
      </c>
      <c r="I324" t="s">
        <v>163</v>
      </c>
      <c r="J324">
        <v>76</v>
      </c>
      <c r="K324">
        <v>60076</v>
      </c>
      <c r="L324">
        <v>2164</v>
      </c>
      <c r="M324">
        <v>7</v>
      </c>
      <c r="N324">
        <v>3</v>
      </c>
      <c r="O324">
        <v>0</v>
      </c>
      <c r="P324" t="s">
        <v>18</v>
      </c>
      <c r="Q324">
        <v>4</v>
      </c>
      <c r="R324">
        <v>0</v>
      </c>
      <c r="S324" t="s">
        <v>22</v>
      </c>
      <c r="T324">
        <v>1</v>
      </c>
      <c r="U324">
        <v>0</v>
      </c>
    </row>
    <row r="325" spans="1:21" x14ac:dyDescent="0.25">
      <c r="A325">
        <v>9964637</v>
      </c>
      <c r="B325" t="s">
        <v>15</v>
      </c>
      <c r="C325" s="1">
        <v>43319</v>
      </c>
      <c r="D325" s="2">
        <f>YEAR(C325)</f>
        <v>2018</v>
      </c>
      <c r="E325">
        <v>417500</v>
      </c>
      <c r="F325" t="s">
        <v>85</v>
      </c>
      <c r="G325">
        <v>1952</v>
      </c>
      <c r="H325">
        <v>4210</v>
      </c>
      <c r="I325" t="s">
        <v>164</v>
      </c>
      <c r="J325">
        <v>76</v>
      </c>
      <c r="K325">
        <v>60076</v>
      </c>
      <c r="L325">
        <v>2157</v>
      </c>
      <c r="M325">
        <v>9</v>
      </c>
      <c r="N325">
        <v>1</v>
      </c>
      <c r="O325">
        <v>1</v>
      </c>
      <c r="P325" t="s">
        <v>18</v>
      </c>
      <c r="Q325">
        <v>5</v>
      </c>
      <c r="R325">
        <v>0</v>
      </c>
      <c r="S325" t="s">
        <v>21</v>
      </c>
      <c r="T325">
        <v>1</v>
      </c>
      <c r="U325">
        <v>0</v>
      </c>
    </row>
    <row r="326" spans="1:21" x14ac:dyDescent="0.25">
      <c r="A326">
        <v>9828958</v>
      </c>
      <c r="B326" t="s">
        <v>15</v>
      </c>
      <c r="C326" s="1">
        <v>43167</v>
      </c>
      <c r="D326" s="2">
        <f>YEAR(C326)</f>
        <v>2018</v>
      </c>
      <c r="E326">
        <v>325000</v>
      </c>
      <c r="F326" t="s">
        <v>85</v>
      </c>
      <c r="G326">
        <v>1952</v>
      </c>
      <c r="H326">
        <v>7743</v>
      </c>
      <c r="I326" t="s">
        <v>125</v>
      </c>
      <c r="J326">
        <v>76</v>
      </c>
      <c r="K326">
        <v>60076</v>
      </c>
      <c r="L326">
        <v>1963</v>
      </c>
      <c r="M326">
        <v>11</v>
      </c>
      <c r="N326">
        <v>2</v>
      </c>
      <c r="O326">
        <v>0</v>
      </c>
      <c r="P326" t="s">
        <v>18</v>
      </c>
      <c r="Q326">
        <v>5</v>
      </c>
      <c r="R326">
        <v>0</v>
      </c>
      <c r="S326" t="s">
        <v>22</v>
      </c>
      <c r="T326">
        <v>2</v>
      </c>
      <c r="U326">
        <v>0</v>
      </c>
    </row>
    <row r="327" spans="1:21" x14ac:dyDescent="0.25">
      <c r="A327">
        <v>9656652</v>
      </c>
      <c r="B327" t="s">
        <v>15</v>
      </c>
      <c r="C327" s="1">
        <v>42964</v>
      </c>
      <c r="D327" s="2">
        <f>YEAR(C327)</f>
        <v>2017</v>
      </c>
      <c r="E327">
        <v>375000</v>
      </c>
      <c r="F327" t="s">
        <v>85</v>
      </c>
      <c r="G327">
        <v>1952</v>
      </c>
      <c r="H327">
        <v>8543</v>
      </c>
      <c r="I327" t="s">
        <v>165</v>
      </c>
      <c r="J327">
        <v>76</v>
      </c>
      <c r="K327">
        <v>60076</v>
      </c>
      <c r="L327">
        <v>1955</v>
      </c>
      <c r="M327">
        <v>7</v>
      </c>
      <c r="N327">
        <v>2</v>
      </c>
      <c r="O327">
        <v>1</v>
      </c>
      <c r="P327" t="s">
        <v>18</v>
      </c>
      <c r="Q327">
        <v>3</v>
      </c>
      <c r="R327">
        <v>0</v>
      </c>
      <c r="S327" t="s">
        <v>22</v>
      </c>
      <c r="T327">
        <v>2.5</v>
      </c>
      <c r="U327">
        <v>0</v>
      </c>
    </row>
    <row r="328" spans="1:21" x14ac:dyDescent="0.25">
      <c r="A328">
        <v>9820846</v>
      </c>
      <c r="B328" t="s">
        <v>15</v>
      </c>
      <c r="C328" s="1">
        <v>43151</v>
      </c>
      <c r="D328" s="2">
        <f>YEAR(C328)</f>
        <v>2018</v>
      </c>
      <c r="E328">
        <v>410000</v>
      </c>
      <c r="F328" t="s">
        <v>85</v>
      </c>
      <c r="G328">
        <v>1952</v>
      </c>
      <c r="H328">
        <v>7428</v>
      </c>
      <c r="I328" t="s">
        <v>166</v>
      </c>
      <c r="J328">
        <v>76</v>
      </c>
      <c r="K328">
        <v>60076</v>
      </c>
      <c r="L328">
        <v>1888</v>
      </c>
      <c r="M328">
        <v>7</v>
      </c>
      <c r="N328">
        <v>3</v>
      </c>
      <c r="O328">
        <v>0</v>
      </c>
      <c r="P328" t="s">
        <v>18</v>
      </c>
      <c r="Q328">
        <v>4</v>
      </c>
      <c r="R328">
        <v>0</v>
      </c>
      <c r="S328" t="s">
        <v>22</v>
      </c>
      <c r="T328">
        <v>2</v>
      </c>
      <c r="U328">
        <v>0</v>
      </c>
    </row>
    <row r="329" spans="1:21" x14ac:dyDescent="0.25">
      <c r="A329">
        <v>9584234</v>
      </c>
      <c r="B329" t="s">
        <v>15</v>
      </c>
      <c r="C329" s="1">
        <v>42887</v>
      </c>
      <c r="D329" s="2">
        <f>YEAR(C329)</f>
        <v>2017</v>
      </c>
      <c r="E329">
        <v>293944</v>
      </c>
      <c r="F329" t="s">
        <v>85</v>
      </c>
      <c r="G329">
        <v>1952</v>
      </c>
      <c r="H329">
        <v>5131</v>
      </c>
      <c r="I329" t="s">
        <v>106</v>
      </c>
      <c r="J329">
        <v>76</v>
      </c>
      <c r="K329">
        <v>60077</v>
      </c>
      <c r="L329">
        <v>1813</v>
      </c>
      <c r="M329">
        <v>8</v>
      </c>
      <c r="N329">
        <v>2</v>
      </c>
      <c r="O329">
        <v>0</v>
      </c>
      <c r="P329" t="s">
        <v>18</v>
      </c>
      <c r="Q329">
        <v>4</v>
      </c>
      <c r="R329">
        <v>0</v>
      </c>
      <c r="S329" t="s">
        <v>21</v>
      </c>
      <c r="T329">
        <v>1</v>
      </c>
      <c r="U329">
        <v>0</v>
      </c>
    </row>
    <row r="330" spans="1:21" x14ac:dyDescent="0.25">
      <c r="A330">
        <v>9763962</v>
      </c>
      <c r="B330" t="s">
        <v>15</v>
      </c>
      <c r="C330" s="1">
        <v>43185</v>
      </c>
      <c r="D330" s="2">
        <f>YEAR(C330)</f>
        <v>2018</v>
      </c>
      <c r="E330">
        <v>274500</v>
      </c>
      <c r="F330" t="s">
        <v>85</v>
      </c>
      <c r="G330">
        <v>1952</v>
      </c>
      <c r="H330">
        <v>8518</v>
      </c>
      <c r="I330" t="s">
        <v>148</v>
      </c>
      <c r="J330">
        <v>76</v>
      </c>
      <c r="K330">
        <v>60076</v>
      </c>
      <c r="L330">
        <v>1431</v>
      </c>
      <c r="M330">
        <v>7</v>
      </c>
      <c r="N330">
        <v>2</v>
      </c>
      <c r="O330">
        <v>0</v>
      </c>
      <c r="P330" t="s">
        <v>18</v>
      </c>
      <c r="Q330">
        <v>4</v>
      </c>
      <c r="R330">
        <v>0</v>
      </c>
      <c r="S330" t="s">
        <v>22</v>
      </c>
      <c r="T330">
        <v>2.5</v>
      </c>
      <c r="U330">
        <v>0</v>
      </c>
    </row>
    <row r="331" spans="1:21" x14ac:dyDescent="0.25">
      <c r="A331">
        <v>9729928</v>
      </c>
      <c r="B331" t="s">
        <v>15</v>
      </c>
      <c r="C331" s="1">
        <v>43014</v>
      </c>
      <c r="D331" s="2">
        <f>YEAR(C331)</f>
        <v>2017</v>
      </c>
      <c r="E331">
        <v>299400</v>
      </c>
      <c r="F331" t="s">
        <v>85</v>
      </c>
      <c r="G331">
        <v>1952</v>
      </c>
      <c r="H331">
        <v>5007</v>
      </c>
      <c r="I331" t="s">
        <v>117</v>
      </c>
      <c r="J331">
        <v>76</v>
      </c>
      <c r="K331">
        <v>60077</v>
      </c>
      <c r="L331">
        <v>1383</v>
      </c>
      <c r="M331">
        <v>9</v>
      </c>
      <c r="N331">
        <v>2</v>
      </c>
      <c r="O331">
        <v>0</v>
      </c>
      <c r="P331" t="s">
        <v>18</v>
      </c>
      <c r="Q331">
        <v>3</v>
      </c>
      <c r="R331">
        <v>0</v>
      </c>
      <c r="S331" t="s">
        <v>22</v>
      </c>
      <c r="T331">
        <v>2</v>
      </c>
      <c r="U331">
        <v>0</v>
      </c>
    </row>
    <row r="332" spans="1:21" x14ac:dyDescent="0.25">
      <c r="A332">
        <v>9690765</v>
      </c>
      <c r="B332" t="s">
        <v>15</v>
      </c>
      <c r="C332" s="1">
        <v>43090</v>
      </c>
      <c r="D332" s="2">
        <f>YEAR(C332)</f>
        <v>2017</v>
      </c>
      <c r="E332">
        <v>285000</v>
      </c>
      <c r="F332" t="s">
        <v>85</v>
      </c>
      <c r="G332">
        <v>1952</v>
      </c>
      <c r="H332">
        <v>8323</v>
      </c>
      <c r="I332" t="s">
        <v>135</v>
      </c>
      <c r="J332">
        <v>76</v>
      </c>
      <c r="K332">
        <v>60076</v>
      </c>
      <c r="L332">
        <v>1378</v>
      </c>
      <c r="M332">
        <v>8</v>
      </c>
      <c r="N332">
        <v>1</v>
      </c>
      <c r="O332">
        <v>1</v>
      </c>
      <c r="P332" t="s">
        <v>18</v>
      </c>
      <c r="Q332">
        <v>3</v>
      </c>
      <c r="R332">
        <v>0</v>
      </c>
      <c r="S332" t="s">
        <v>19</v>
      </c>
      <c r="T332">
        <v>0</v>
      </c>
      <c r="U332">
        <v>0</v>
      </c>
    </row>
    <row r="333" spans="1:21" x14ac:dyDescent="0.25">
      <c r="A333">
        <v>9673609</v>
      </c>
      <c r="B333" t="s">
        <v>15</v>
      </c>
      <c r="C333" s="1">
        <v>42989</v>
      </c>
      <c r="D333" s="2">
        <f>YEAR(C333)</f>
        <v>2017</v>
      </c>
      <c r="E333">
        <v>231000</v>
      </c>
      <c r="F333" t="s">
        <v>85</v>
      </c>
      <c r="G333">
        <v>1952</v>
      </c>
      <c r="H333">
        <v>9313</v>
      </c>
      <c r="I333" t="s">
        <v>104</v>
      </c>
      <c r="J333">
        <v>76</v>
      </c>
      <c r="K333">
        <v>60077</v>
      </c>
      <c r="L333">
        <v>1155</v>
      </c>
      <c r="M333">
        <v>6</v>
      </c>
      <c r="N333">
        <v>1</v>
      </c>
      <c r="O333">
        <v>0</v>
      </c>
      <c r="P333" t="s">
        <v>18</v>
      </c>
      <c r="Q333">
        <v>2</v>
      </c>
      <c r="R333">
        <v>0</v>
      </c>
      <c r="S333" t="s">
        <v>22</v>
      </c>
      <c r="T333">
        <v>2</v>
      </c>
      <c r="U333">
        <v>0</v>
      </c>
    </row>
    <row r="334" spans="1:21" x14ac:dyDescent="0.25">
      <c r="A334">
        <v>10055801</v>
      </c>
      <c r="B334" t="s">
        <v>15</v>
      </c>
      <c r="C334" s="1">
        <v>43462</v>
      </c>
      <c r="D334" s="2">
        <f>YEAR(C334)</f>
        <v>2018</v>
      </c>
      <c r="E334">
        <v>200000</v>
      </c>
      <c r="F334" t="s">
        <v>85</v>
      </c>
      <c r="G334">
        <v>1952</v>
      </c>
      <c r="H334">
        <v>8339</v>
      </c>
      <c r="I334" t="s">
        <v>102</v>
      </c>
      <c r="J334">
        <v>76</v>
      </c>
      <c r="K334">
        <v>60076</v>
      </c>
      <c r="L334">
        <v>1007</v>
      </c>
      <c r="M334">
        <v>7</v>
      </c>
      <c r="N334">
        <v>1</v>
      </c>
      <c r="O334">
        <v>0</v>
      </c>
      <c r="P334" t="s">
        <v>18</v>
      </c>
      <c r="Q334">
        <v>2</v>
      </c>
      <c r="R334">
        <v>0</v>
      </c>
      <c r="S334" t="s">
        <v>22</v>
      </c>
      <c r="T334">
        <v>1</v>
      </c>
      <c r="U334">
        <v>0</v>
      </c>
    </row>
    <row r="335" spans="1:21" x14ac:dyDescent="0.25">
      <c r="A335">
        <v>9524500</v>
      </c>
      <c r="B335" t="s">
        <v>15</v>
      </c>
      <c r="C335" s="1">
        <v>42871</v>
      </c>
      <c r="D335" s="2">
        <f>YEAR(C335)</f>
        <v>2017</v>
      </c>
      <c r="E335">
        <v>250000</v>
      </c>
      <c r="F335" t="s">
        <v>85</v>
      </c>
      <c r="G335">
        <v>1952</v>
      </c>
      <c r="H335">
        <v>7620</v>
      </c>
      <c r="I335" t="s">
        <v>125</v>
      </c>
      <c r="J335">
        <v>76</v>
      </c>
      <c r="K335">
        <v>60076</v>
      </c>
      <c r="L335">
        <v>986</v>
      </c>
      <c r="M335">
        <v>5</v>
      </c>
      <c r="N335">
        <v>1</v>
      </c>
      <c r="O335">
        <v>0</v>
      </c>
      <c r="P335" t="s">
        <v>18</v>
      </c>
      <c r="Q335">
        <v>2</v>
      </c>
      <c r="R335">
        <v>0</v>
      </c>
      <c r="S335" t="s">
        <v>22</v>
      </c>
      <c r="T335">
        <v>2</v>
      </c>
      <c r="U335">
        <v>0</v>
      </c>
    </row>
    <row r="336" spans="1:21" x14ac:dyDescent="0.25">
      <c r="A336">
        <v>9525078</v>
      </c>
      <c r="B336" t="s">
        <v>15</v>
      </c>
      <c r="C336" s="1">
        <v>42844</v>
      </c>
      <c r="D336" s="2">
        <f>YEAR(C336)</f>
        <v>2017</v>
      </c>
      <c r="E336">
        <v>260000</v>
      </c>
      <c r="F336" t="s">
        <v>85</v>
      </c>
      <c r="G336">
        <v>1952</v>
      </c>
      <c r="H336">
        <v>8239</v>
      </c>
      <c r="I336" t="s">
        <v>112</v>
      </c>
      <c r="J336">
        <v>76</v>
      </c>
      <c r="K336">
        <v>60076</v>
      </c>
      <c r="L336">
        <v>986</v>
      </c>
      <c r="M336">
        <v>5</v>
      </c>
      <c r="N336">
        <v>1</v>
      </c>
      <c r="O336">
        <v>0</v>
      </c>
      <c r="P336" t="s">
        <v>18</v>
      </c>
      <c r="Q336">
        <v>2</v>
      </c>
      <c r="R336">
        <v>0</v>
      </c>
      <c r="S336" t="s">
        <v>22</v>
      </c>
      <c r="T336">
        <v>2</v>
      </c>
      <c r="U336">
        <v>0</v>
      </c>
    </row>
    <row r="337" spans="1:21" x14ac:dyDescent="0.25">
      <c r="A337">
        <v>10104021</v>
      </c>
      <c r="B337" t="s">
        <v>15</v>
      </c>
      <c r="C337" s="1">
        <v>43423</v>
      </c>
      <c r="D337" s="2">
        <f>YEAR(C337)</f>
        <v>2018</v>
      </c>
      <c r="E337">
        <v>280000</v>
      </c>
      <c r="F337" t="s">
        <v>85</v>
      </c>
      <c r="G337">
        <v>1952</v>
      </c>
      <c r="H337">
        <v>7616</v>
      </c>
      <c r="I337" t="s">
        <v>136</v>
      </c>
      <c r="J337">
        <v>76</v>
      </c>
      <c r="K337">
        <v>60076</v>
      </c>
      <c r="L337">
        <v>944</v>
      </c>
      <c r="M337">
        <v>6</v>
      </c>
      <c r="N337">
        <v>2</v>
      </c>
      <c r="O337">
        <v>0</v>
      </c>
      <c r="P337" t="s">
        <v>18</v>
      </c>
      <c r="Q337">
        <v>2</v>
      </c>
      <c r="R337">
        <v>0</v>
      </c>
      <c r="S337" t="s">
        <v>22</v>
      </c>
      <c r="T337">
        <v>1</v>
      </c>
      <c r="U337">
        <v>0</v>
      </c>
    </row>
    <row r="338" spans="1:21" x14ac:dyDescent="0.25">
      <c r="A338">
        <v>9903084</v>
      </c>
      <c r="B338" t="s">
        <v>15</v>
      </c>
      <c r="C338" s="1">
        <v>43320</v>
      </c>
      <c r="D338" s="2">
        <f>YEAR(C338)</f>
        <v>2018</v>
      </c>
      <c r="E338">
        <v>980000</v>
      </c>
      <c r="F338" t="s">
        <v>85</v>
      </c>
      <c r="G338">
        <v>1952</v>
      </c>
      <c r="H338">
        <v>1222</v>
      </c>
      <c r="I338" t="s">
        <v>168</v>
      </c>
      <c r="J338">
        <v>62</v>
      </c>
      <c r="K338">
        <v>60062</v>
      </c>
      <c r="L338">
        <v>3900</v>
      </c>
      <c r="M338">
        <v>10</v>
      </c>
      <c r="N338">
        <v>4</v>
      </c>
      <c r="O338">
        <v>0</v>
      </c>
      <c r="P338" t="s">
        <v>18</v>
      </c>
      <c r="Q338">
        <v>5</v>
      </c>
      <c r="R338">
        <v>0</v>
      </c>
      <c r="S338" t="s">
        <v>21</v>
      </c>
      <c r="T338">
        <v>3</v>
      </c>
      <c r="U338">
        <v>0</v>
      </c>
    </row>
    <row r="339" spans="1:21" x14ac:dyDescent="0.25">
      <c r="A339">
        <v>9927367</v>
      </c>
      <c r="B339" t="s">
        <v>15</v>
      </c>
      <c r="C339" s="1">
        <v>43298</v>
      </c>
      <c r="D339" s="2">
        <f>YEAR(C339)</f>
        <v>2018</v>
      </c>
      <c r="E339">
        <v>734900</v>
      </c>
      <c r="F339" t="s">
        <v>85</v>
      </c>
      <c r="G339">
        <v>1952</v>
      </c>
      <c r="H339">
        <v>1161</v>
      </c>
      <c r="I339" t="s">
        <v>157</v>
      </c>
      <c r="J339">
        <v>62</v>
      </c>
      <c r="K339">
        <v>60062</v>
      </c>
      <c r="L339">
        <v>3795</v>
      </c>
      <c r="M339">
        <v>12</v>
      </c>
      <c r="N339">
        <v>3</v>
      </c>
      <c r="O339">
        <v>0</v>
      </c>
      <c r="P339" t="s">
        <v>18</v>
      </c>
      <c r="Q339">
        <v>5</v>
      </c>
      <c r="R339">
        <v>0</v>
      </c>
      <c r="S339" t="s">
        <v>21</v>
      </c>
      <c r="T339">
        <v>1</v>
      </c>
      <c r="U339">
        <v>0</v>
      </c>
    </row>
    <row r="340" spans="1:21" x14ac:dyDescent="0.25">
      <c r="A340">
        <v>9664665</v>
      </c>
      <c r="B340" t="s">
        <v>15</v>
      </c>
      <c r="C340" s="1">
        <v>42948</v>
      </c>
      <c r="D340" s="2">
        <f>YEAR(C340)</f>
        <v>2017</v>
      </c>
      <c r="E340">
        <v>670000</v>
      </c>
      <c r="F340" t="s">
        <v>85</v>
      </c>
      <c r="G340">
        <v>1952</v>
      </c>
      <c r="H340">
        <v>907</v>
      </c>
      <c r="I340" t="s">
        <v>169</v>
      </c>
      <c r="J340">
        <v>62</v>
      </c>
      <c r="K340">
        <v>60062</v>
      </c>
      <c r="L340">
        <v>3043</v>
      </c>
      <c r="M340">
        <v>7</v>
      </c>
      <c r="N340">
        <v>2</v>
      </c>
      <c r="O340">
        <v>1</v>
      </c>
      <c r="P340" t="s">
        <v>18</v>
      </c>
      <c r="Q340">
        <v>3</v>
      </c>
      <c r="R340">
        <v>0</v>
      </c>
      <c r="S340" t="s">
        <v>21</v>
      </c>
      <c r="T340">
        <v>2</v>
      </c>
      <c r="U340">
        <v>0</v>
      </c>
    </row>
    <row r="341" spans="1:21" x14ac:dyDescent="0.25">
      <c r="A341">
        <v>10004807</v>
      </c>
      <c r="B341" t="s">
        <v>15</v>
      </c>
      <c r="C341" s="1">
        <v>43336</v>
      </c>
      <c r="D341" s="2">
        <f>YEAR(C341)</f>
        <v>2018</v>
      </c>
      <c r="E341">
        <v>387500</v>
      </c>
      <c r="F341" t="s">
        <v>85</v>
      </c>
      <c r="G341">
        <v>1952</v>
      </c>
      <c r="H341">
        <v>2052</v>
      </c>
      <c r="I341" t="s">
        <v>160</v>
      </c>
      <c r="J341">
        <v>62</v>
      </c>
      <c r="K341">
        <v>60062</v>
      </c>
      <c r="L341">
        <v>2608</v>
      </c>
      <c r="M341">
        <v>9</v>
      </c>
      <c r="N341">
        <v>2</v>
      </c>
      <c r="O341">
        <v>0</v>
      </c>
      <c r="P341" t="s">
        <v>18</v>
      </c>
      <c r="Q341">
        <v>4</v>
      </c>
      <c r="R341">
        <v>0</v>
      </c>
      <c r="S341" t="s">
        <v>21</v>
      </c>
      <c r="T341">
        <v>2</v>
      </c>
      <c r="U341">
        <v>0</v>
      </c>
    </row>
    <row r="342" spans="1:21" x14ac:dyDescent="0.25">
      <c r="A342">
        <v>9670021</v>
      </c>
      <c r="B342" t="s">
        <v>15</v>
      </c>
      <c r="C342" s="1">
        <v>43019</v>
      </c>
      <c r="D342" s="2">
        <f>YEAR(C342)</f>
        <v>2017</v>
      </c>
      <c r="E342">
        <v>312000</v>
      </c>
      <c r="F342" t="s">
        <v>85</v>
      </c>
      <c r="G342">
        <v>1952</v>
      </c>
      <c r="H342">
        <v>2140</v>
      </c>
      <c r="I342" t="s">
        <v>170</v>
      </c>
      <c r="J342">
        <v>62</v>
      </c>
      <c r="K342">
        <v>60062</v>
      </c>
      <c r="L342">
        <v>2342</v>
      </c>
      <c r="M342">
        <v>7</v>
      </c>
      <c r="N342">
        <v>3</v>
      </c>
      <c r="O342">
        <v>1</v>
      </c>
      <c r="P342" t="s">
        <v>18</v>
      </c>
      <c r="Q342">
        <v>4</v>
      </c>
      <c r="R342">
        <v>0</v>
      </c>
      <c r="S342" t="s">
        <v>21</v>
      </c>
      <c r="T342">
        <v>1</v>
      </c>
      <c r="U342">
        <v>0</v>
      </c>
    </row>
    <row r="343" spans="1:21" x14ac:dyDescent="0.25">
      <c r="A343">
        <v>9742021</v>
      </c>
      <c r="B343" t="s">
        <v>15</v>
      </c>
      <c r="C343" s="1">
        <v>43068</v>
      </c>
      <c r="D343" s="2">
        <f>YEAR(C343)</f>
        <v>2017</v>
      </c>
      <c r="E343">
        <v>425000</v>
      </c>
      <c r="F343" t="s">
        <v>85</v>
      </c>
      <c r="G343">
        <v>1952</v>
      </c>
      <c r="H343">
        <v>3857</v>
      </c>
      <c r="I343" t="s">
        <v>87</v>
      </c>
      <c r="J343">
        <v>62</v>
      </c>
      <c r="K343">
        <v>60062</v>
      </c>
      <c r="L343">
        <v>2333</v>
      </c>
      <c r="M343">
        <v>8</v>
      </c>
      <c r="N343">
        <v>3</v>
      </c>
      <c r="O343">
        <v>0</v>
      </c>
      <c r="P343" t="s">
        <v>18</v>
      </c>
      <c r="Q343">
        <v>4</v>
      </c>
      <c r="R343">
        <v>0</v>
      </c>
      <c r="S343" t="s">
        <v>21</v>
      </c>
      <c r="T343">
        <v>2</v>
      </c>
      <c r="U343">
        <v>0</v>
      </c>
    </row>
    <row r="344" spans="1:21" x14ac:dyDescent="0.25">
      <c r="A344">
        <v>9956450</v>
      </c>
      <c r="B344" t="s">
        <v>15</v>
      </c>
      <c r="C344" s="1">
        <v>43299</v>
      </c>
      <c r="D344" s="2">
        <f>YEAR(C344)</f>
        <v>2018</v>
      </c>
      <c r="E344">
        <v>385000</v>
      </c>
      <c r="F344" t="s">
        <v>85</v>
      </c>
      <c r="G344">
        <v>1952</v>
      </c>
      <c r="H344">
        <v>3015</v>
      </c>
      <c r="I344" t="s">
        <v>171</v>
      </c>
      <c r="J344">
        <v>62</v>
      </c>
      <c r="K344">
        <v>60062</v>
      </c>
      <c r="L344">
        <v>2161</v>
      </c>
      <c r="M344">
        <v>9</v>
      </c>
      <c r="N344">
        <v>2</v>
      </c>
      <c r="O344">
        <v>1</v>
      </c>
      <c r="P344" t="s">
        <v>18</v>
      </c>
      <c r="Q344">
        <v>4</v>
      </c>
      <c r="R344">
        <v>0</v>
      </c>
      <c r="S344" t="s">
        <v>22</v>
      </c>
      <c r="T344">
        <v>2</v>
      </c>
      <c r="U344">
        <v>0</v>
      </c>
    </row>
    <row r="345" spans="1:21" x14ac:dyDescent="0.25">
      <c r="A345">
        <v>10012242</v>
      </c>
      <c r="B345" t="s">
        <v>15</v>
      </c>
      <c r="C345" s="1">
        <v>43490</v>
      </c>
      <c r="D345" s="2">
        <f>YEAR(C345)</f>
        <v>2019</v>
      </c>
      <c r="E345">
        <v>179100</v>
      </c>
      <c r="F345" t="s">
        <v>85</v>
      </c>
      <c r="G345">
        <v>1952</v>
      </c>
      <c r="H345">
        <v>1704</v>
      </c>
      <c r="I345" t="s">
        <v>172</v>
      </c>
      <c r="J345">
        <v>62</v>
      </c>
      <c r="K345">
        <v>60062</v>
      </c>
      <c r="L345">
        <v>1336</v>
      </c>
      <c r="M345">
        <v>6</v>
      </c>
      <c r="N345">
        <v>2</v>
      </c>
      <c r="O345">
        <v>0</v>
      </c>
      <c r="P345" t="s">
        <v>18</v>
      </c>
      <c r="Q345">
        <v>3</v>
      </c>
      <c r="R345">
        <v>0</v>
      </c>
      <c r="S345" t="s">
        <v>22</v>
      </c>
      <c r="T345">
        <v>1</v>
      </c>
      <c r="U345">
        <v>0</v>
      </c>
    </row>
    <row r="346" spans="1:21" x14ac:dyDescent="0.25">
      <c r="A346">
        <v>9494732</v>
      </c>
      <c r="B346" t="s">
        <v>15</v>
      </c>
      <c r="C346" s="1">
        <v>42881</v>
      </c>
      <c r="D346" s="2">
        <f>YEAR(C346)</f>
        <v>2017</v>
      </c>
      <c r="E346">
        <v>322500</v>
      </c>
      <c r="F346" t="s">
        <v>85</v>
      </c>
      <c r="G346">
        <v>1952</v>
      </c>
      <c r="H346">
        <v>2536</v>
      </c>
      <c r="I346" t="s">
        <v>170</v>
      </c>
      <c r="J346">
        <v>62</v>
      </c>
      <c r="K346">
        <v>60062</v>
      </c>
      <c r="L346">
        <v>1250</v>
      </c>
      <c r="M346">
        <v>6</v>
      </c>
      <c r="N346">
        <v>1</v>
      </c>
      <c r="O346">
        <v>0</v>
      </c>
      <c r="P346" t="s">
        <v>18</v>
      </c>
      <c r="Q346">
        <v>2</v>
      </c>
      <c r="R346">
        <v>0</v>
      </c>
      <c r="S346" t="s">
        <v>22</v>
      </c>
      <c r="T346">
        <v>2</v>
      </c>
      <c r="U346">
        <v>0</v>
      </c>
    </row>
    <row r="347" spans="1:21" x14ac:dyDescent="0.25">
      <c r="A347">
        <v>9521694</v>
      </c>
      <c r="B347" t="s">
        <v>15</v>
      </c>
      <c r="C347" s="1">
        <v>43040</v>
      </c>
      <c r="D347" s="2">
        <f>YEAR(C347)</f>
        <v>2017</v>
      </c>
      <c r="E347">
        <v>285000</v>
      </c>
      <c r="F347" t="s">
        <v>85</v>
      </c>
      <c r="G347">
        <v>1952</v>
      </c>
      <c r="H347">
        <v>2543</v>
      </c>
      <c r="I347" t="s">
        <v>116</v>
      </c>
      <c r="J347">
        <v>62</v>
      </c>
      <c r="K347">
        <v>60062</v>
      </c>
      <c r="L347">
        <v>1000</v>
      </c>
      <c r="M347">
        <v>5</v>
      </c>
      <c r="N347">
        <v>1</v>
      </c>
      <c r="O347">
        <v>0</v>
      </c>
      <c r="P347" t="s">
        <v>18</v>
      </c>
      <c r="Q347">
        <v>2</v>
      </c>
      <c r="R347">
        <v>0</v>
      </c>
      <c r="S347" t="s">
        <v>22</v>
      </c>
      <c r="T347">
        <v>2</v>
      </c>
      <c r="U347">
        <v>0</v>
      </c>
    </row>
    <row r="348" spans="1:21" x14ac:dyDescent="0.25">
      <c r="A348">
        <v>9686368</v>
      </c>
      <c r="B348" t="s">
        <v>15</v>
      </c>
      <c r="C348" s="1">
        <v>43067</v>
      </c>
      <c r="D348" s="2">
        <f>YEAR(C348)</f>
        <v>2017</v>
      </c>
      <c r="E348">
        <v>295000</v>
      </c>
      <c r="F348" t="s">
        <v>85</v>
      </c>
      <c r="G348">
        <v>1953</v>
      </c>
      <c r="H348">
        <v>5225</v>
      </c>
      <c r="I348" t="s">
        <v>173</v>
      </c>
      <c r="J348">
        <v>76</v>
      </c>
      <c r="K348">
        <v>60077</v>
      </c>
      <c r="L348">
        <v>1850</v>
      </c>
      <c r="M348">
        <v>9</v>
      </c>
      <c r="N348">
        <v>2</v>
      </c>
      <c r="O348">
        <v>0</v>
      </c>
      <c r="P348" t="s">
        <v>18</v>
      </c>
      <c r="Q348">
        <v>4</v>
      </c>
      <c r="R348">
        <v>0</v>
      </c>
      <c r="S348" t="s">
        <v>22</v>
      </c>
      <c r="T348">
        <v>2</v>
      </c>
      <c r="U348">
        <v>0</v>
      </c>
    </row>
    <row r="349" spans="1:21" x14ac:dyDescent="0.25">
      <c r="A349">
        <v>9983697</v>
      </c>
      <c r="B349" t="s">
        <v>15</v>
      </c>
      <c r="C349" s="1">
        <v>43336</v>
      </c>
      <c r="D349" s="2">
        <f>YEAR(C349)</f>
        <v>2018</v>
      </c>
      <c r="E349">
        <v>375000</v>
      </c>
      <c r="F349" t="s">
        <v>85</v>
      </c>
      <c r="G349">
        <v>1953</v>
      </c>
      <c r="H349">
        <v>5357</v>
      </c>
      <c r="I349" t="s">
        <v>57</v>
      </c>
      <c r="J349">
        <v>76</v>
      </c>
      <c r="K349">
        <v>60077</v>
      </c>
      <c r="L349">
        <v>1733</v>
      </c>
      <c r="M349">
        <v>8</v>
      </c>
      <c r="N349">
        <v>2</v>
      </c>
      <c r="O349">
        <v>0</v>
      </c>
      <c r="P349" t="s">
        <v>18</v>
      </c>
      <c r="Q349">
        <v>3</v>
      </c>
      <c r="R349">
        <v>0</v>
      </c>
      <c r="S349" t="s">
        <v>22</v>
      </c>
      <c r="T349">
        <v>2</v>
      </c>
      <c r="U349">
        <v>0</v>
      </c>
    </row>
    <row r="350" spans="1:21" x14ac:dyDescent="0.25">
      <c r="A350">
        <v>9699998</v>
      </c>
      <c r="B350" t="s">
        <v>15</v>
      </c>
      <c r="C350" s="1">
        <v>43024</v>
      </c>
      <c r="D350" s="2">
        <f>YEAR(C350)</f>
        <v>2017</v>
      </c>
      <c r="E350">
        <v>410000</v>
      </c>
      <c r="F350" t="s">
        <v>85</v>
      </c>
      <c r="G350">
        <v>1953</v>
      </c>
      <c r="H350">
        <v>5331</v>
      </c>
      <c r="I350" t="s">
        <v>174</v>
      </c>
      <c r="J350">
        <v>76</v>
      </c>
      <c r="K350">
        <v>60077</v>
      </c>
      <c r="L350">
        <v>1648</v>
      </c>
      <c r="M350">
        <v>8</v>
      </c>
      <c r="N350">
        <v>2</v>
      </c>
      <c r="O350">
        <v>2</v>
      </c>
      <c r="P350" t="s">
        <v>18</v>
      </c>
      <c r="Q350">
        <v>4</v>
      </c>
      <c r="R350">
        <v>0</v>
      </c>
      <c r="S350" t="s">
        <v>22</v>
      </c>
      <c r="T350">
        <v>2</v>
      </c>
      <c r="U350">
        <v>0</v>
      </c>
    </row>
    <row r="351" spans="1:21" x14ac:dyDescent="0.25">
      <c r="A351">
        <v>9838390</v>
      </c>
      <c r="B351" t="s">
        <v>15</v>
      </c>
      <c r="C351" s="1">
        <v>43259</v>
      </c>
      <c r="D351" s="2">
        <f>YEAR(C351)</f>
        <v>2018</v>
      </c>
      <c r="E351">
        <v>279000</v>
      </c>
      <c r="F351" t="s">
        <v>85</v>
      </c>
      <c r="G351">
        <v>1953</v>
      </c>
      <c r="H351">
        <v>8518</v>
      </c>
      <c r="I351" t="s">
        <v>175</v>
      </c>
      <c r="J351">
        <v>76</v>
      </c>
      <c r="K351">
        <v>60076</v>
      </c>
      <c r="L351">
        <v>1645</v>
      </c>
      <c r="M351">
        <v>8</v>
      </c>
      <c r="N351">
        <v>2</v>
      </c>
      <c r="O351">
        <v>0</v>
      </c>
      <c r="P351" t="s">
        <v>18</v>
      </c>
      <c r="Q351">
        <v>3</v>
      </c>
      <c r="R351">
        <v>0</v>
      </c>
      <c r="S351" t="s">
        <v>19</v>
      </c>
      <c r="T351">
        <v>0</v>
      </c>
      <c r="U351">
        <v>0</v>
      </c>
    </row>
    <row r="352" spans="1:21" x14ac:dyDescent="0.25">
      <c r="A352">
        <v>9615628</v>
      </c>
      <c r="B352" t="s">
        <v>15</v>
      </c>
      <c r="C352" s="1">
        <v>42893</v>
      </c>
      <c r="D352" s="2">
        <f>YEAR(C352)</f>
        <v>2017</v>
      </c>
      <c r="E352">
        <v>315000</v>
      </c>
      <c r="F352" t="s">
        <v>85</v>
      </c>
      <c r="G352">
        <v>1953</v>
      </c>
      <c r="H352">
        <v>8235</v>
      </c>
      <c r="I352" t="s">
        <v>165</v>
      </c>
      <c r="J352">
        <v>76</v>
      </c>
      <c r="K352">
        <v>60076</v>
      </c>
      <c r="L352">
        <v>1620</v>
      </c>
      <c r="M352">
        <v>6</v>
      </c>
      <c r="N352">
        <v>1</v>
      </c>
      <c r="O352">
        <v>0</v>
      </c>
      <c r="P352" t="s">
        <v>18</v>
      </c>
      <c r="Q352">
        <v>3</v>
      </c>
      <c r="R352">
        <v>0</v>
      </c>
      <c r="S352" t="s">
        <v>19</v>
      </c>
      <c r="T352">
        <v>0</v>
      </c>
      <c r="U352">
        <v>0</v>
      </c>
    </row>
    <row r="353" spans="1:21" x14ac:dyDescent="0.25">
      <c r="A353">
        <v>9662076</v>
      </c>
      <c r="B353" t="s">
        <v>15</v>
      </c>
      <c r="C353" s="1">
        <v>42951</v>
      </c>
      <c r="D353" s="2">
        <f>YEAR(C353)</f>
        <v>2017</v>
      </c>
      <c r="E353">
        <v>225500</v>
      </c>
      <c r="F353" t="s">
        <v>85</v>
      </c>
      <c r="G353">
        <v>1953</v>
      </c>
      <c r="H353">
        <v>8510</v>
      </c>
      <c r="I353" t="s">
        <v>175</v>
      </c>
      <c r="J353">
        <v>76</v>
      </c>
      <c r="K353">
        <v>60076</v>
      </c>
      <c r="L353">
        <v>1548</v>
      </c>
      <c r="M353">
        <v>7</v>
      </c>
      <c r="N353">
        <v>1</v>
      </c>
      <c r="O353">
        <v>1</v>
      </c>
      <c r="P353" t="s">
        <v>18</v>
      </c>
      <c r="Q353">
        <v>3</v>
      </c>
      <c r="R353">
        <v>0</v>
      </c>
      <c r="S353" t="s">
        <v>21</v>
      </c>
      <c r="T353">
        <v>1</v>
      </c>
      <c r="U353">
        <v>0</v>
      </c>
    </row>
    <row r="354" spans="1:21" x14ac:dyDescent="0.25">
      <c r="A354">
        <v>9598097</v>
      </c>
      <c r="B354" t="s">
        <v>15</v>
      </c>
      <c r="C354" s="1">
        <v>42866</v>
      </c>
      <c r="D354" s="2">
        <f>YEAR(C354)</f>
        <v>2017</v>
      </c>
      <c r="E354">
        <v>276000</v>
      </c>
      <c r="F354" t="s">
        <v>85</v>
      </c>
      <c r="G354">
        <v>1953</v>
      </c>
      <c r="H354">
        <v>7526</v>
      </c>
      <c r="I354" t="s">
        <v>108</v>
      </c>
      <c r="J354">
        <v>76</v>
      </c>
      <c r="K354">
        <v>60076</v>
      </c>
      <c r="L354">
        <v>1512</v>
      </c>
      <c r="M354">
        <v>7</v>
      </c>
      <c r="N354">
        <v>2</v>
      </c>
      <c r="O354">
        <v>0</v>
      </c>
      <c r="P354" t="s">
        <v>18</v>
      </c>
      <c r="Q354">
        <v>4</v>
      </c>
      <c r="R354">
        <v>0</v>
      </c>
      <c r="S354" t="s">
        <v>22</v>
      </c>
      <c r="T354">
        <v>2</v>
      </c>
      <c r="U354">
        <v>0</v>
      </c>
    </row>
    <row r="355" spans="1:21" x14ac:dyDescent="0.25">
      <c r="A355">
        <v>9797282</v>
      </c>
      <c r="B355" t="s">
        <v>15</v>
      </c>
      <c r="C355" s="1">
        <v>43119</v>
      </c>
      <c r="D355" s="2">
        <f>YEAR(C355)</f>
        <v>2018</v>
      </c>
      <c r="E355">
        <v>240000</v>
      </c>
      <c r="F355" t="s">
        <v>85</v>
      </c>
      <c r="G355">
        <v>1953</v>
      </c>
      <c r="H355">
        <v>5214</v>
      </c>
      <c r="I355" t="s">
        <v>176</v>
      </c>
      <c r="J355">
        <v>76</v>
      </c>
      <c r="K355">
        <v>60077</v>
      </c>
      <c r="L355">
        <v>1381</v>
      </c>
      <c r="M355">
        <v>6</v>
      </c>
      <c r="N355">
        <v>1</v>
      </c>
      <c r="O355">
        <v>0</v>
      </c>
      <c r="P355" t="s">
        <v>18</v>
      </c>
      <c r="Q355">
        <v>3</v>
      </c>
      <c r="R355">
        <v>0</v>
      </c>
      <c r="S355" t="s">
        <v>22</v>
      </c>
      <c r="T355">
        <v>2</v>
      </c>
      <c r="U355">
        <v>0</v>
      </c>
    </row>
    <row r="356" spans="1:21" x14ac:dyDescent="0.25">
      <c r="A356">
        <v>10132431</v>
      </c>
      <c r="B356" t="s">
        <v>15</v>
      </c>
      <c r="C356" s="1">
        <v>43496</v>
      </c>
      <c r="D356" s="2">
        <f>YEAR(C356)</f>
        <v>2019</v>
      </c>
      <c r="E356">
        <v>388000</v>
      </c>
      <c r="F356" t="s">
        <v>85</v>
      </c>
      <c r="G356">
        <v>1953</v>
      </c>
      <c r="H356">
        <v>5214</v>
      </c>
      <c r="I356" t="s">
        <v>176</v>
      </c>
      <c r="J356">
        <v>76</v>
      </c>
      <c r="K356">
        <v>60077</v>
      </c>
      <c r="L356">
        <v>1381</v>
      </c>
      <c r="M356">
        <v>8</v>
      </c>
      <c r="N356">
        <v>2</v>
      </c>
      <c r="O356">
        <v>0</v>
      </c>
      <c r="P356" t="s">
        <v>18</v>
      </c>
      <c r="Q356">
        <v>3</v>
      </c>
      <c r="R356">
        <v>0</v>
      </c>
      <c r="S356" t="s">
        <v>22</v>
      </c>
      <c r="T356">
        <v>2</v>
      </c>
      <c r="U356">
        <v>0</v>
      </c>
    </row>
    <row r="357" spans="1:21" x14ac:dyDescent="0.25">
      <c r="A357">
        <v>9944601</v>
      </c>
      <c r="B357" t="s">
        <v>15</v>
      </c>
      <c r="C357" s="1">
        <v>43314</v>
      </c>
      <c r="D357" s="2">
        <f>YEAR(C357)</f>
        <v>2018</v>
      </c>
      <c r="E357">
        <v>288000</v>
      </c>
      <c r="F357" t="s">
        <v>85</v>
      </c>
      <c r="G357">
        <v>1953</v>
      </c>
      <c r="H357">
        <v>8143</v>
      </c>
      <c r="I357" t="s">
        <v>71</v>
      </c>
      <c r="J357">
        <v>76</v>
      </c>
      <c r="K357">
        <v>60077</v>
      </c>
      <c r="L357">
        <v>1305</v>
      </c>
      <c r="M357">
        <v>7</v>
      </c>
      <c r="N357">
        <v>2</v>
      </c>
      <c r="O357">
        <v>0</v>
      </c>
      <c r="P357" t="s">
        <v>18</v>
      </c>
      <c r="Q357">
        <v>4</v>
      </c>
      <c r="R357">
        <v>0</v>
      </c>
      <c r="S357" t="s">
        <v>22</v>
      </c>
      <c r="T357">
        <v>2</v>
      </c>
      <c r="U357">
        <v>0</v>
      </c>
    </row>
    <row r="358" spans="1:21" x14ac:dyDescent="0.25">
      <c r="A358">
        <v>10022784</v>
      </c>
      <c r="B358" t="s">
        <v>15</v>
      </c>
      <c r="C358" s="1">
        <v>43343</v>
      </c>
      <c r="D358" s="2">
        <f>YEAR(C358)</f>
        <v>2018</v>
      </c>
      <c r="E358">
        <v>318000</v>
      </c>
      <c r="F358" t="s">
        <v>85</v>
      </c>
      <c r="G358">
        <v>1953</v>
      </c>
      <c r="H358">
        <v>9350</v>
      </c>
      <c r="I358" t="s">
        <v>130</v>
      </c>
      <c r="J358">
        <v>76</v>
      </c>
      <c r="K358">
        <v>60076</v>
      </c>
      <c r="L358">
        <v>1300</v>
      </c>
      <c r="M358">
        <v>7</v>
      </c>
      <c r="N358">
        <v>2</v>
      </c>
      <c r="O358">
        <v>0</v>
      </c>
      <c r="P358" t="s">
        <v>18</v>
      </c>
      <c r="Q358">
        <v>3</v>
      </c>
      <c r="R358">
        <v>0</v>
      </c>
      <c r="S358" t="s">
        <v>21</v>
      </c>
      <c r="T358">
        <v>1</v>
      </c>
      <c r="U358">
        <v>0</v>
      </c>
    </row>
    <row r="359" spans="1:21" x14ac:dyDescent="0.25">
      <c r="A359">
        <v>9381222</v>
      </c>
      <c r="B359" t="s">
        <v>15</v>
      </c>
      <c r="C359" s="1">
        <v>42828</v>
      </c>
      <c r="D359" s="2">
        <f>YEAR(C359)</f>
        <v>2017</v>
      </c>
      <c r="E359">
        <v>185264</v>
      </c>
      <c r="F359" t="s">
        <v>85</v>
      </c>
      <c r="G359">
        <v>1953</v>
      </c>
      <c r="H359">
        <v>5140</v>
      </c>
      <c r="I359" t="s">
        <v>49</v>
      </c>
      <c r="J359">
        <v>76</v>
      </c>
      <c r="K359">
        <v>60077</v>
      </c>
      <c r="L359">
        <v>1153</v>
      </c>
      <c r="M359">
        <v>7</v>
      </c>
      <c r="N359">
        <v>2</v>
      </c>
      <c r="O359">
        <v>0</v>
      </c>
      <c r="P359" t="s">
        <v>18</v>
      </c>
      <c r="Q359">
        <v>3</v>
      </c>
      <c r="R359">
        <v>0</v>
      </c>
      <c r="S359" t="s">
        <v>21</v>
      </c>
      <c r="T359">
        <v>1</v>
      </c>
      <c r="U359">
        <v>0</v>
      </c>
    </row>
    <row r="360" spans="1:21" x14ac:dyDescent="0.25">
      <c r="A360">
        <v>9808592</v>
      </c>
      <c r="B360" t="s">
        <v>15</v>
      </c>
      <c r="C360" s="1">
        <v>43195</v>
      </c>
      <c r="D360" s="2">
        <f>YEAR(C360)</f>
        <v>2018</v>
      </c>
      <c r="E360">
        <v>325000</v>
      </c>
      <c r="F360" t="s">
        <v>85</v>
      </c>
      <c r="G360">
        <v>1953</v>
      </c>
      <c r="H360">
        <v>5138</v>
      </c>
      <c r="I360" t="s">
        <v>177</v>
      </c>
      <c r="J360">
        <v>76</v>
      </c>
      <c r="K360">
        <v>60077</v>
      </c>
      <c r="L360">
        <v>1119</v>
      </c>
      <c r="M360">
        <v>6</v>
      </c>
      <c r="N360">
        <v>1</v>
      </c>
      <c r="O360">
        <v>0</v>
      </c>
      <c r="P360" t="s">
        <v>18</v>
      </c>
      <c r="Q360">
        <v>3</v>
      </c>
      <c r="R360">
        <v>0</v>
      </c>
      <c r="S360" t="s">
        <v>22</v>
      </c>
      <c r="T360">
        <v>2</v>
      </c>
      <c r="U360">
        <v>0</v>
      </c>
    </row>
    <row r="361" spans="1:21" x14ac:dyDescent="0.25">
      <c r="A361">
        <v>9922110</v>
      </c>
      <c r="B361" t="s">
        <v>15</v>
      </c>
      <c r="C361" s="1">
        <v>43279</v>
      </c>
      <c r="D361" s="2">
        <f>YEAR(C361)</f>
        <v>2018</v>
      </c>
      <c r="E361">
        <v>255000</v>
      </c>
      <c r="F361" t="s">
        <v>85</v>
      </c>
      <c r="G361">
        <v>1953</v>
      </c>
      <c r="H361">
        <v>8144</v>
      </c>
      <c r="I361" t="s">
        <v>101</v>
      </c>
      <c r="J361">
        <v>76</v>
      </c>
      <c r="K361">
        <v>60076</v>
      </c>
      <c r="L361">
        <v>1053</v>
      </c>
      <c r="M361">
        <v>5</v>
      </c>
      <c r="N361">
        <v>1</v>
      </c>
      <c r="O361">
        <v>0</v>
      </c>
      <c r="P361" t="s">
        <v>18</v>
      </c>
      <c r="Q361">
        <v>2</v>
      </c>
      <c r="R361">
        <v>0</v>
      </c>
      <c r="S361" t="s">
        <v>22</v>
      </c>
      <c r="T361">
        <v>1</v>
      </c>
      <c r="U361">
        <v>0</v>
      </c>
    </row>
    <row r="362" spans="1:21" x14ac:dyDescent="0.25">
      <c r="A362">
        <v>9901871</v>
      </c>
      <c r="B362" t="s">
        <v>15</v>
      </c>
      <c r="C362" s="1">
        <v>43265</v>
      </c>
      <c r="D362" s="2">
        <f>YEAR(C362)</f>
        <v>2018</v>
      </c>
      <c r="E362">
        <v>250000</v>
      </c>
      <c r="F362" t="s">
        <v>85</v>
      </c>
      <c r="G362">
        <v>1953</v>
      </c>
      <c r="H362">
        <v>5310</v>
      </c>
      <c r="I362" t="s">
        <v>154</v>
      </c>
      <c r="J362">
        <v>76</v>
      </c>
      <c r="K362">
        <v>60077</v>
      </c>
      <c r="L362">
        <v>1025</v>
      </c>
      <c r="M362">
        <v>5</v>
      </c>
      <c r="N362">
        <v>1</v>
      </c>
      <c r="O362">
        <v>0</v>
      </c>
      <c r="P362" t="s">
        <v>18</v>
      </c>
      <c r="Q362">
        <v>2</v>
      </c>
      <c r="R362">
        <v>0</v>
      </c>
      <c r="S362" t="s">
        <v>22</v>
      </c>
      <c r="T362">
        <v>2</v>
      </c>
      <c r="U362">
        <v>0</v>
      </c>
    </row>
    <row r="363" spans="1:21" x14ac:dyDescent="0.25">
      <c r="A363">
        <v>9775615</v>
      </c>
      <c r="B363" t="s">
        <v>15</v>
      </c>
      <c r="C363" s="1">
        <v>43157</v>
      </c>
      <c r="D363" s="2">
        <f>YEAR(C363)</f>
        <v>2018</v>
      </c>
      <c r="E363">
        <v>247500</v>
      </c>
      <c r="F363" t="s">
        <v>85</v>
      </c>
      <c r="G363">
        <v>1953</v>
      </c>
      <c r="H363">
        <v>5148</v>
      </c>
      <c r="I363" t="s">
        <v>178</v>
      </c>
      <c r="J363">
        <v>76</v>
      </c>
      <c r="K363">
        <v>60077</v>
      </c>
      <c r="L363">
        <v>1014</v>
      </c>
      <c r="M363">
        <v>5</v>
      </c>
      <c r="N363">
        <v>1</v>
      </c>
      <c r="O363">
        <v>0</v>
      </c>
      <c r="P363" t="s">
        <v>18</v>
      </c>
      <c r="Q363">
        <v>2</v>
      </c>
      <c r="R363">
        <v>0</v>
      </c>
      <c r="S363" t="s">
        <v>22</v>
      </c>
      <c r="T363">
        <v>2</v>
      </c>
      <c r="U363">
        <v>0</v>
      </c>
    </row>
    <row r="364" spans="1:21" x14ac:dyDescent="0.25">
      <c r="A364">
        <v>9516092</v>
      </c>
      <c r="B364" t="s">
        <v>15</v>
      </c>
      <c r="C364" s="1">
        <v>42909</v>
      </c>
      <c r="D364" s="2">
        <f>YEAR(C364)</f>
        <v>2017</v>
      </c>
      <c r="E364">
        <v>455000</v>
      </c>
      <c r="F364" t="s">
        <v>85</v>
      </c>
      <c r="G364">
        <v>1953</v>
      </c>
      <c r="H364">
        <v>2283</v>
      </c>
      <c r="I364" t="s">
        <v>179</v>
      </c>
      <c r="J364">
        <v>62</v>
      </c>
      <c r="K364">
        <v>60062</v>
      </c>
      <c r="L364">
        <v>2300</v>
      </c>
      <c r="M364">
        <v>9</v>
      </c>
      <c r="N364">
        <v>2</v>
      </c>
      <c r="O364">
        <v>0</v>
      </c>
      <c r="P364" t="s">
        <v>18</v>
      </c>
      <c r="Q364">
        <v>4</v>
      </c>
      <c r="R364">
        <v>0</v>
      </c>
      <c r="S364" t="s">
        <v>21</v>
      </c>
      <c r="T364">
        <v>2</v>
      </c>
      <c r="U364">
        <v>0</v>
      </c>
    </row>
    <row r="365" spans="1:21" x14ac:dyDescent="0.25">
      <c r="A365">
        <v>9756679</v>
      </c>
      <c r="B365" t="s">
        <v>15</v>
      </c>
      <c r="C365" s="1">
        <v>43067</v>
      </c>
      <c r="D365" s="2">
        <f>YEAR(C365)</f>
        <v>2017</v>
      </c>
      <c r="E365">
        <v>280000</v>
      </c>
      <c r="F365" t="s">
        <v>85</v>
      </c>
      <c r="G365">
        <v>1953</v>
      </c>
      <c r="H365">
        <v>4001</v>
      </c>
      <c r="I365" t="s">
        <v>87</v>
      </c>
      <c r="J365">
        <v>62</v>
      </c>
      <c r="K365">
        <v>60062</v>
      </c>
      <c r="L365">
        <v>2121</v>
      </c>
      <c r="M365">
        <v>8</v>
      </c>
      <c r="N365">
        <v>2</v>
      </c>
      <c r="O365">
        <v>1</v>
      </c>
      <c r="P365" t="s">
        <v>18</v>
      </c>
      <c r="Q365">
        <v>4</v>
      </c>
      <c r="R365">
        <v>0</v>
      </c>
      <c r="S365" t="s">
        <v>22</v>
      </c>
      <c r="T365">
        <v>2</v>
      </c>
      <c r="U365">
        <v>0</v>
      </c>
    </row>
    <row r="366" spans="1:21" x14ac:dyDescent="0.25">
      <c r="A366">
        <v>10116368</v>
      </c>
      <c r="B366" t="s">
        <v>15</v>
      </c>
      <c r="C366" s="1">
        <v>43430</v>
      </c>
      <c r="D366" s="2">
        <f>YEAR(C366)</f>
        <v>2018</v>
      </c>
      <c r="E366">
        <v>320000</v>
      </c>
      <c r="F366" t="s">
        <v>85</v>
      </c>
      <c r="G366">
        <v>1953</v>
      </c>
      <c r="H366">
        <v>1020</v>
      </c>
      <c r="I366" t="s">
        <v>146</v>
      </c>
      <c r="J366">
        <v>62</v>
      </c>
      <c r="K366">
        <v>60062</v>
      </c>
      <c r="L366">
        <v>1846</v>
      </c>
      <c r="M366">
        <v>8</v>
      </c>
      <c r="N366">
        <v>2</v>
      </c>
      <c r="O366">
        <v>0</v>
      </c>
      <c r="P366" t="s">
        <v>18</v>
      </c>
      <c r="Q366">
        <v>3</v>
      </c>
      <c r="R366">
        <v>0</v>
      </c>
      <c r="S366" t="s">
        <v>21</v>
      </c>
      <c r="T366">
        <v>1</v>
      </c>
      <c r="U366">
        <v>0</v>
      </c>
    </row>
    <row r="367" spans="1:21" x14ac:dyDescent="0.25">
      <c r="A367">
        <v>9673104</v>
      </c>
      <c r="B367" t="s">
        <v>15</v>
      </c>
      <c r="C367" s="1">
        <v>42965</v>
      </c>
      <c r="D367" s="2">
        <f>YEAR(C367)</f>
        <v>2017</v>
      </c>
      <c r="E367">
        <v>415000</v>
      </c>
      <c r="F367" t="s">
        <v>85</v>
      </c>
      <c r="G367">
        <v>1953</v>
      </c>
      <c r="H367">
        <v>2215</v>
      </c>
      <c r="I367" t="s">
        <v>180</v>
      </c>
      <c r="J367">
        <v>62</v>
      </c>
      <c r="K367">
        <v>60062</v>
      </c>
      <c r="L367">
        <v>1476</v>
      </c>
      <c r="M367">
        <v>8</v>
      </c>
      <c r="N367">
        <v>2</v>
      </c>
      <c r="O367">
        <v>0</v>
      </c>
      <c r="P367" t="s">
        <v>18</v>
      </c>
      <c r="Q367">
        <v>3</v>
      </c>
      <c r="R367">
        <v>0</v>
      </c>
      <c r="S367" t="s">
        <v>22</v>
      </c>
      <c r="T367">
        <v>2.5</v>
      </c>
      <c r="U367">
        <v>0</v>
      </c>
    </row>
    <row r="368" spans="1:21" x14ac:dyDescent="0.25">
      <c r="A368">
        <v>9622482</v>
      </c>
      <c r="B368" t="s">
        <v>15</v>
      </c>
      <c r="C368" s="1">
        <v>43034</v>
      </c>
      <c r="D368" s="2">
        <f>YEAR(C368)</f>
        <v>2017</v>
      </c>
      <c r="E368">
        <v>250000</v>
      </c>
      <c r="F368" t="s">
        <v>85</v>
      </c>
      <c r="G368">
        <v>1953</v>
      </c>
      <c r="H368">
        <v>2428</v>
      </c>
      <c r="I368" t="s">
        <v>145</v>
      </c>
      <c r="J368">
        <v>62</v>
      </c>
      <c r="K368">
        <v>60062</v>
      </c>
      <c r="L368">
        <v>1459</v>
      </c>
      <c r="M368">
        <v>4</v>
      </c>
      <c r="N368">
        <v>1</v>
      </c>
      <c r="O368">
        <v>1</v>
      </c>
      <c r="P368" t="s">
        <v>18</v>
      </c>
      <c r="Q368">
        <v>4</v>
      </c>
      <c r="R368">
        <v>0</v>
      </c>
      <c r="S368" t="s">
        <v>22</v>
      </c>
      <c r="T368">
        <v>1.5</v>
      </c>
      <c r="U368">
        <v>0</v>
      </c>
    </row>
    <row r="369" spans="1:21" x14ac:dyDescent="0.25">
      <c r="A369">
        <v>9606038</v>
      </c>
      <c r="B369" t="s">
        <v>15</v>
      </c>
      <c r="C369" s="1">
        <v>42886</v>
      </c>
      <c r="D369" s="2">
        <f>YEAR(C369)</f>
        <v>2017</v>
      </c>
      <c r="E369">
        <v>278000</v>
      </c>
      <c r="F369" t="s">
        <v>85</v>
      </c>
      <c r="G369">
        <v>1953</v>
      </c>
      <c r="H369">
        <v>1641</v>
      </c>
      <c r="I369" t="s">
        <v>124</v>
      </c>
      <c r="J369">
        <v>62</v>
      </c>
      <c r="K369">
        <v>60062</v>
      </c>
      <c r="L369">
        <v>1419</v>
      </c>
      <c r="M369">
        <v>7</v>
      </c>
      <c r="N369">
        <v>1</v>
      </c>
      <c r="O369">
        <v>0</v>
      </c>
      <c r="P369" t="s">
        <v>18</v>
      </c>
      <c r="Q369">
        <v>3</v>
      </c>
      <c r="R369">
        <v>0</v>
      </c>
      <c r="S369" t="s">
        <v>21</v>
      </c>
      <c r="T369">
        <v>1</v>
      </c>
      <c r="U369">
        <v>0</v>
      </c>
    </row>
    <row r="370" spans="1:21" x14ac:dyDescent="0.25">
      <c r="A370">
        <v>9618338</v>
      </c>
      <c r="B370" t="s">
        <v>15</v>
      </c>
      <c r="C370" s="1">
        <v>42985</v>
      </c>
      <c r="D370" s="2">
        <f>YEAR(C370)</f>
        <v>2017</v>
      </c>
      <c r="E370">
        <v>285000</v>
      </c>
      <c r="F370" t="s">
        <v>85</v>
      </c>
      <c r="G370">
        <v>1953</v>
      </c>
      <c r="H370">
        <v>844</v>
      </c>
      <c r="I370" t="s">
        <v>112</v>
      </c>
      <c r="J370">
        <v>62</v>
      </c>
      <c r="K370">
        <v>60062</v>
      </c>
      <c r="L370">
        <v>1152</v>
      </c>
      <c r="M370">
        <v>7</v>
      </c>
      <c r="N370">
        <v>1</v>
      </c>
      <c r="O370">
        <v>0</v>
      </c>
      <c r="P370" t="s">
        <v>18</v>
      </c>
      <c r="Q370">
        <v>3</v>
      </c>
      <c r="R370">
        <v>0</v>
      </c>
      <c r="S370" t="s">
        <v>21</v>
      </c>
      <c r="T370">
        <v>1</v>
      </c>
      <c r="U370">
        <v>0</v>
      </c>
    </row>
    <row r="371" spans="1:21" x14ac:dyDescent="0.25">
      <c r="A371">
        <v>9824076</v>
      </c>
      <c r="B371" t="s">
        <v>15</v>
      </c>
      <c r="C371" s="1">
        <v>43175</v>
      </c>
      <c r="D371" s="2">
        <f>YEAR(C371)</f>
        <v>2018</v>
      </c>
      <c r="E371">
        <v>450000</v>
      </c>
      <c r="F371" t="s">
        <v>85</v>
      </c>
      <c r="G371">
        <v>1954</v>
      </c>
      <c r="H371">
        <v>8156</v>
      </c>
      <c r="I371" t="s">
        <v>89</v>
      </c>
      <c r="J371">
        <v>76</v>
      </c>
      <c r="K371">
        <v>60076</v>
      </c>
      <c r="L371">
        <v>2919</v>
      </c>
      <c r="M371">
        <v>9</v>
      </c>
      <c r="N371">
        <v>2</v>
      </c>
      <c r="O371">
        <v>0</v>
      </c>
      <c r="P371" t="s">
        <v>18</v>
      </c>
      <c r="Q371">
        <v>3</v>
      </c>
      <c r="R371">
        <v>0</v>
      </c>
      <c r="S371" t="s">
        <v>21</v>
      </c>
      <c r="T371">
        <v>2</v>
      </c>
      <c r="U371">
        <v>0</v>
      </c>
    </row>
    <row r="372" spans="1:21" x14ac:dyDescent="0.25">
      <c r="A372">
        <v>9929302</v>
      </c>
      <c r="B372" t="s">
        <v>15</v>
      </c>
      <c r="C372" s="1">
        <v>43279</v>
      </c>
      <c r="D372" s="2">
        <f>YEAR(C372)</f>
        <v>2018</v>
      </c>
      <c r="E372">
        <v>340000</v>
      </c>
      <c r="F372" t="s">
        <v>85</v>
      </c>
      <c r="G372">
        <v>1954</v>
      </c>
      <c r="H372">
        <v>7911</v>
      </c>
      <c r="I372" t="s">
        <v>108</v>
      </c>
      <c r="J372">
        <v>76</v>
      </c>
      <c r="K372">
        <v>60076</v>
      </c>
      <c r="L372">
        <v>2766</v>
      </c>
      <c r="M372">
        <v>10</v>
      </c>
      <c r="N372">
        <v>3</v>
      </c>
      <c r="O372">
        <v>1</v>
      </c>
      <c r="P372" t="s">
        <v>18</v>
      </c>
      <c r="Q372">
        <v>5</v>
      </c>
      <c r="R372">
        <v>0</v>
      </c>
      <c r="S372" t="s">
        <v>19</v>
      </c>
      <c r="T372">
        <v>0</v>
      </c>
      <c r="U372">
        <v>0</v>
      </c>
    </row>
    <row r="373" spans="1:21" x14ac:dyDescent="0.25">
      <c r="A373">
        <v>10083513</v>
      </c>
      <c r="B373" t="s">
        <v>15</v>
      </c>
      <c r="C373" s="1">
        <v>43432</v>
      </c>
      <c r="D373" s="2">
        <f>YEAR(C373)</f>
        <v>2018</v>
      </c>
      <c r="E373">
        <v>515000</v>
      </c>
      <c r="F373" t="s">
        <v>85</v>
      </c>
      <c r="G373">
        <v>1954</v>
      </c>
      <c r="H373">
        <v>8857</v>
      </c>
      <c r="I373" t="s">
        <v>30</v>
      </c>
      <c r="J373">
        <v>76</v>
      </c>
      <c r="K373">
        <v>60076</v>
      </c>
      <c r="L373">
        <v>2493</v>
      </c>
      <c r="M373">
        <v>7</v>
      </c>
      <c r="N373">
        <v>2</v>
      </c>
      <c r="O373">
        <v>0</v>
      </c>
      <c r="P373" t="s">
        <v>18</v>
      </c>
      <c r="Q373">
        <v>3</v>
      </c>
      <c r="R373">
        <v>0</v>
      </c>
      <c r="S373" t="s">
        <v>21</v>
      </c>
      <c r="T373">
        <v>2.5</v>
      </c>
      <c r="U373">
        <v>0</v>
      </c>
    </row>
    <row r="374" spans="1:21" x14ac:dyDescent="0.25">
      <c r="A374">
        <v>9936135</v>
      </c>
      <c r="B374" t="s">
        <v>15</v>
      </c>
      <c r="C374" s="1">
        <v>43266</v>
      </c>
      <c r="D374" s="2">
        <f>YEAR(C374)</f>
        <v>2018</v>
      </c>
      <c r="E374">
        <v>445000</v>
      </c>
      <c r="F374" t="s">
        <v>85</v>
      </c>
      <c r="G374">
        <v>1954</v>
      </c>
      <c r="H374">
        <v>5340</v>
      </c>
      <c r="I374" t="s">
        <v>174</v>
      </c>
      <c r="J374">
        <v>76</v>
      </c>
      <c r="K374">
        <v>60077</v>
      </c>
      <c r="L374">
        <v>2410</v>
      </c>
      <c r="M374">
        <v>10</v>
      </c>
      <c r="N374">
        <v>2</v>
      </c>
      <c r="O374">
        <v>0</v>
      </c>
      <c r="P374" t="s">
        <v>18</v>
      </c>
      <c r="Q374">
        <v>3</v>
      </c>
      <c r="R374">
        <v>0</v>
      </c>
      <c r="S374" t="s">
        <v>21</v>
      </c>
      <c r="T374">
        <v>2</v>
      </c>
      <c r="U374">
        <v>0</v>
      </c>
    </row>
    <row r="375" spans="1:21" x14ac:dyDescent="0.25">
      <c r="A375">
        <v>9883176</v>
      </c>
      <c r="B375" t="s">
        <v>15</v>
      </c>
      <c r="C375" s="1">
        <v>43228</v>
      </c>
      <c r="D375" s="2">
        <f>YEAR(C375)</f>
        <v>2018</v>
      </c>
      <c r="E375">
        <v>360500</v>
      </c>
      <c r="F375" t="s">
        <v>85</v>
      </c>
      <c r="G375">
        <v>1954</v>
      </c>
      <c r="H375">
        <v>8714</v>
      </c>
      <c r="I375" t="s">
        <v>165</v>
      </c>
      <c r="J375">
        <v>76</v>
      </c>
      <c r="K375">
        <v>60076</v>
      </c>
      <c r="L375">
        <v>2141</v>
      </c>
      <c r="M375">
        <v>8</v>
      </c>
      <c r="N375">
        <v>1</v>
      </c>
      <c r="O375">
        <v>1</v>
      </c>
      <c r="P375" t="s">
        <v>18</v>
      </c>
      <c r="Q375">
        <v>4</v>
      </c>
      <c r="R375">
        <v>0</v>
      </c>
      <c r="S375" t="s">
        <v>19</v>
      </c>
      <c r="T375">
        <v>0</v>
      </c>
      <c r="U375">
        <v>0</v>
      </c>
    </row>
    <row r="376" spans="1:21" x14ac:dyDescent="0.25">
      <c r="A376">
        <v>9571223</v>
      </c>
      <c r="B376" t="s">
        <v>15</v>
      </c>
      <c r="C376" s="1">
        <v>42888</v>
      </c>
      <c r="D376" s="2">
        <f>YEAR(C376)</f>
        <v>2017</v>
      </c>
      <c r="E376">
        <v>330000</v>
      </c>
      <c r="F376" t="s">
        <v>85</v>
      </c>
      <c r="G376">
        <v>1954</v>
      </c>
      <c r="H376">
        <v>8443</v>
      </c>
      <c r="I376" t="s">
        <v>152</v>
      </c>
      <c r="J376">
        <v>76</v>
      </c>
      <c r="K376">
        <v>60076</v>
      </c>
      <c r="L376">
        <v>1872</v>
      </c>
      <c r="M376">
        <v>7</v>
      </c>
      <c r="N376">
        <v>2</v>
      </c>
      <c r="O376">
        <v>0</v>
      </c>
      <c r="P376" t="s">
        <v>18</v>
      </c>
      <c r="Q376">
        <v>3</v>
      </c>
      <c r="R376">
        <v>0</v>
      </c>
      <c r="S376" t="s">
        <v>22</v>
      </c>
      <c r="T376">
        <v>2</v>
      </c>
      <c r="U376">
        <v>0</v>
      </c>
    </row>
    <row r="377" spans="1:21" x14ac:dyDescent="0.25">
      <c r="A377">
        <v>9688796</v>
      </c>
      <c r="B377" t="s">
        <v>15</v>
      </c>
      <c r="C377" s="1">
        <v>42978</v>
      </c>
      <c r="D377" s="2">
        <f>YEAR(C377)</f>
        <v>2017</v>
      </c>
      <c r="E377">
        <v>287000</v>
      </c>
      <c r="F377" t="s">
        <v>85</v>
      </c>
      <c r="G377">
        <v>1954</v>
      </c>
      <c r="H377">
        <v>8700</v>
      </c>
      <c r="I377" t="s">
        <v>181</v>
      </c>
      <c r="J377">
        <v>76</v>
      </c>
      <c r="K377">
        <v>60076</v>
      </c>
      <c r="L377">
        <v>1815</v>
      </c>
      <c r="M377">
        <v>7</v>
      </c>
      <c r="N377">
        <v>1</v>
      </c>
      <c r="O377">
        <v>1</v>
      </c>
      <c r="P377" t="s">
        <v>18</v>
      </c>
      <c r="Q377">
        <v>3</v>
      </c>
      <c r="R377">
        <v>0</v>
      </c>
      <c r="S377" t="s">
        <v>22</v>
      </c>
      <c r="T377">
        <v>1</v>
      </c>
      <c r="U377">
        <v>0</v>
      </c>
    </row>
    <row r="378" spans="1:21" x14ac:dyDescent="0.25">
      <c r="A378">
        <v>9738274</v>
      </c>
      <c r="B378" t="s">
        <v>15</v>
      </c>
      <c r="C378" s="1">
        <v>43164</v>
      </c>
      <c r="D378" s="2">
        <f>YEAR(C378)</f>
        <v>2018</v>
      </c>
      <c r="E378">
        <v>420000</v>
      </c>
      <c r="F378" t="s">
        <v>85</v>
      </c>
      <c r="G378">
        <v>1954</v>
      </c>
      <c r="H378">
        <v>8508</v>
      </c>
      <c r="I378" t="s">
        <v>135</v>
      </c>
      <c r="J378">
        <v>76</v>
      </c>
      <c r="K378">
        <v>60076</v>
      </c>
      <c r="L378">
        <v>1750</v>
      </c>
      <c r="M378">
        <v>10</v>
      </c>
      <c r="N378">
        <v>2</v>
      </c>
      <c r="O378">
        <v>0</v>
      </c>
      <c r="P378" t="s">
        <v>18</v>
      </c>
      <c r="Q378">
        <v>4</v>
      </c>
      <c r="R378">
        <v>0</v>
      </c>
      <c r="S378" t="s">
        <v>19</v>
      </c>
      <c r="T378">
        <v>0</v>
      </c>
      <c r="U378">
        <v>0</v>
      </c>
    </row>
    <row r="379" spans="1:21" x14ac:dyDescent="0.25">
      <c r="A379">
        <v>9578919</v>
      </c>
      <c r="B379" t="s">
        <v>15</v>
      </c>
      <c r="C379" s="1">
        <v>42969</v>
      </c>
      <c r="D379" s="2">
        <f>YEAR(C379)</f>
        <v>2017</v>
      </c>
      <c r="E379">
        <v>315000</v>
      </c>
      <c r="F379" t="s">
        <v>85</v>
      </c>
      <c r="G379">
        <v>1954</v>
      </c>
      <c r="H379">
        <v>7919</v>
      </c>
      <c r="I379" t="s">
        <v>23</v>
      </c>
      <c r="J379">
        <v>76</v>
      </c>
      <c r="K379">
        <v>60076</v>
      </c>
      <c r="L379">
        <v>1707</v>
      </c>
      <c r="M379">
        <v>8</v>
      </c>
      <c r="N379">
        <v>1</v>
      </c>
      <c r="O379">
        <v>1</v>
      </c>
      <c r="P379" t="s">
        <v>18</v>
      </c>
      <c r="Q379">
        <v>3</v>
      </c>
      <c r="R379">
        <v>0</v>
      </c>
      <c r="S379" t="s">
        <v>22</v>
      </c>
      <c r="T379">
        <v>2</v>
      </c>
      <c r="U379">
        <v>0</v>
      </c>
    </row>
    <row r="380" spans="1:21" x14ac:dyDescent="0.25">
      <c r="A380">
        <v>9997280</v>
      </c>
      <c r="B380" t="s">
        <v>15</v>
      </c>
      <c r="C380" s="1">
        <v>43360</v>
      </c>
      <c r="D380" s="2">
        <f>YEAR(C380)</f>
        <v>2018</v>
      </c>
      <c r="E380">
        <v>359900</v>
      </c>
      <c r="F380" t="s">
        <v>85</v>
      </c>
      <c r="G380">
        <v>1954</v>
      </c>
      <c r="H380">
        <v>4106</v>
      </c>
      <c r="I380" t="s">
        <v>150</v>
      </c>
      <c r="J380">
        <v>76</v>
      </c>
      <c r="K380">
        <v>60076</v>
      </c>
      <c r="L380">
        <v>1677</v>
      </c>
      <c r="M380">
        <v>7</v>
      </c>
      <c r="N380">
        <v>2</v>
      </c>
      <c r="O380">
        <v>0</v>
      </c>
      <c r="P380" t="s">
        <v>18</v>
      </c>
      <c r="Q380">
        <v>3</v>
      </c>
      <c r="R380">
        <v>0</v>
      </c>
      <c r="S380" t="s">
        <v>22</v>
      </c>
      <c r="T380">
        <v>2</v>
      </c>
      <c r="U380">
        <v>0</v>
      </c>
    </row>
    <row r="381" spans="1:21" x14ac:dyDescent="0.25">
      <c r="A381">
        <v>9966900</v>
      </c>
      <c r="B381" t="s">
        <v>15</v>
      </c>
      <c r="C381" s="1">
        <v>43304</v>
      </c>
      <c r="D381" s="2">
        <f>YEAR(C381)</f>
        <v>2018</v>
      </c>
      <c r="E381">
        <v>290000</v>
      </c>
      <c r="F381" t="s">
        <v>85</v>
      </c>
      <c r="G381">
        <v>1954</v>
      </c>
      <c r="H381">
        <v>5440</v>
      </c>
      <c r="I381" t="s">
        <v>182</v>
      </c>
      <c r="J381">
        <v>76</v>
      </c>
      <c r="K381">
        <v>60077</v>
      </c>
      <c r="L381">
        <v>1570</v>
      </c>
      <c r="M381">
        <v>8</v>
      </c>
      <c r="N381">
        <v>2</v>
      </c>
      <c r="O381">
        <v>0</v>
      </c>
      <c r="P381" t="s">
        <v>18</v>
      </c>
      <c r="Q381">
        <v>4</v>
      </c>
      <c r="R381">
        <v>0</v>
      </c>
      <c r="S381" t="s">
        <v>22</v>
      </c>
      <c r="T381">
        <v>2</v>
      </c>
      <c r="U381">
        <v>0</v>
      </c>
    </row>
    <row r="382" spans="1:21" x14ac:dyDescent="0.25">
      <c r="A382">
        <v>9517877</v>
      </c>
      <c r="B382" t="s">
        <v>15</v>
      </c>
      <c r="C382" s="1">
        <v>42887</v>
      </c>
      <c r="D382" s="2">
        <f>YEAR(C382)</f>
        <v>2017</v>
      </c>
      <c r="E382">
        <v>290000</v>
      </c>
      <c r="F382" t="s">
        <v>85</v>
      </c>
      <c r="G382">
        <v>1954</v>
      </c>
      <c r="H382">
        <v>8156</v>
      </c>
      <c r="I382" t="s">
        <v>89</v>
      </c>
      <c r="J382">
        <v>76</v>
      </c>
      <c r="K382">
        <v>60076</v>
      </c>
      <c r="L382">
        <v>1469</v>
      </c>
      <c r="M382">
        <v>6</v>
      </c>
      <c r="N382">
        <v>2</v>
      </c>
      <c r="O382">
        <v>0</v>
      </c>
      <c r="P382" t="s">
        <v>18</v>
      </c>
      <c r="Q382">
        <v>3</v>
      </c>
      <c r="R382">
        <v>0</v>
      </c>
      <c r="S382" t="s">
        <v>21</v>
      </c>
      <c r="T382">
        <v>2</v>
      </c>
      <c r="U382">
        <v>0</v>
      </c>
    </row>
    <row r="383" spans="1:21" x14ac:dyDescent="0.25">
      <c r="A383">
        <v>9291917</v>
      </c>
      <c r="B383" t="s">
        <v>15</v>
      </c>
      <c r="C383" s="1">
        <v>42928</v>
      </c>
      <c r="D383" s="2">
        <f>YEAR(C383)</f>
        <v>2017</v>
      </c>
      <c r="E383">
        <v>315000</v>
      </c>
      <c r="F383" t="s">
        <v>85</v>
      </c>
      <c r="G383">
        <v>1954</v>
      </c>
      <c r="H383">
        <v>8309</v>
      </c>
      <c r="I383" t="s">
        <v>183</v>
      </c>
      <c r="J383">
        <v>76</v>
      </c>
      <c r="K383">
        <v>60076</v>
      </c>
      <c r="L383">
        <v>1430</v>
      </c>
      <c r="M383">
        <v>6</v>
      </c>
      <c r="N383">
        <v>1</v>
      </c>
      <c r="O383">
        <v>1</v>
      </c>
      <c r="P383" t="s">
        <v>18</v>
      </c>
      <c r="Q383">
        <v>3</v>
      </c>
      <c r="R383">
        <v>0</v>
      </c>
      <c r="S383" t="s">
        <v>22</v>
      </c>
      <c r="T383">
        <v>2</v>
      </c>
      <c r="U383">
        <v>0</v>
      </c>
    </row>
    <row r="384" spans="1:21" x14ac:dyDescent="0.25">
      <c r="A384">
        <v>10050692</v>
      </c>
      <c r="B384" t="s">
        <v>15</v>
      </c>
      <c r="C384" s="1">
        <v>43376</v>
      </c>
      <c r="D384" s="2">
        <f>YEAR(C384)</f>
        <v>2018</v>
      </c>
      <c r="E384">
        <v>405000</v>
      </c>
      <c r="F384" t="s">
        <v>85</v>
      </c>
      <c r="G384">
        <v>1954</v>
      </c>
      <c r="H384">
        <v>7439</v>
      </c>
      <c r="I384" t="s">
        <v>125</v>
      </c>
      <c r="J384">
        <v>76</v>
      </c>
      <c r="K384">
        <v>60076</v>
      </c>
      <c r="L384">
        <v>1400</v>
      </c>
      <c r="M384">
        <v>8</v>
      </c>
      <c r="N384">
        <v>2</v>
      </c>
      <c r="O384">
        <v>0</v>
      </c>
      <c r="P384" t="s">
        <v>18</v>
      </c>
      <c r="Q384">
        <v>3</v>
      </c>
      <c r="R384">
        <v>1</v>
      </c>
      <c r="S384" t="s">
        <v>22</v>
      </c>
      <c r="T384">
        <v>2</v>
      </c>
      <c r="U384">
        <v>0</v>
      </c>
    </row>
    <row r="385" spans="1:21" x14ac:dyDescent="0.25">
      <c r="A385">
        <v>9580186</v>
      </c>
      <c r="B385" t="s">
        <v>15</v>
      </c>
      <c r="C385" s="1">
        <v>42986</v>
      </c>
      <c r="D385" s="2">
        <f>YEAR(C385)</f>
        <v>2017</v>
      </c>
      <c r="E385">
        <v>305000</v>
      </c>
      <c r="F385" t="s">
        <v>85</v>
      </c>
      <c r="G385">
        <v>1954</v>
      </c>
      <c r="H385">
        <v>5258</v>
      </c>
      <c r="I385" t="s">
        <v>122</v>
      </c>
      <c r="J385">
        <v>76</v>
      </c>
      <c r="K385">
        <v>60077</v>
      </c>
      <c r="L385">
        <v>1287</v>
      </c>
      <c r="M385">
        <v>8</v>
      </c>
      <c r="N385">
        <v>2</v>
      </c>
      <c r="O385">
        <v>0</v>
      </c>
      <c r="P385" t="s">
        <v>18</v>
      </c>
      <c r="Q385">
        <v>4</v>
      </c>
      <c r="R385">
        <v>0</v>
      </c>
      <c r="S385" t="s">
        <v>22</v>
      </c>
      <c r="T385">
        <v>2</v>
      </c>
      <c r="U385">
        <v>0</v>
      </c>
    </row>
    <row r="386" spans="1:21" x14ac:dyDescent="0.25">
      <c r="A386">
        <v>9681986</v>
      </c>
      <c r="B386" t="s">
        <v>15</v>
      </c>
      <c r="C386" s="1">
        <v>42961</v>
      </c>
      <c r="D386" s="2">
        <f>YEAR(C386)</f>
        <v>2017</v>
      </c>
      <c r="E386">
        <v>319900</v>
      </c>
      <c r="F386" t="s">
        <v>85</v>
      </c>
      <c r="G386">
        <v>1954</v>
      </c>
      <c r="H386">
        <v>8527</v>
      </c>
      <c r="I386" t="s">
        <v>148</v>
      </c>
      <c r="J386">
        <v>76</v>
      </c>
      <c r="K386">
        <v>60076</v>
      </c>
      <c r="L386">
        <v>1270</v>
      </c>
      <c r="M386">
        <v>6</v>
      </c>
      <c r="N386">
        <v>2</v>
      </c>
      <c r="O386">
        <v>0</v>
      </c>
      <c r="P386" t="s">
        <v>18</v>
      </c>
      <c r="Q386">
        <v>3</v>
      </c>
      <c r="R386">
        <v>0</v>
      </c>
      <c r="S386" t="s">
        <v>22</v>
      </c>
      <c r="T386">
        <v>2.5</v>
      </c>
      <c r="U386">
        <v>0</v>
      </c>
    </row>
    <row r="387" spans="1:21" x14ac:dyDescent="0.25">
      <c r="A387">
        <v>9871819</v>
      </c>
      <c r="B387" t="s">
        <v>15</v>
      </c>
      <c r="C387" s="1">
        <v>43182</v>
      </c>
      <c r="D387" s="2">
        <f>YEAR(C387)</f>
        <v>2018</v>
      </c>
      <c r="E387">
        <v>261000</v>
      </c>
      <c r="F387" t="s">
        <v>85</v>
      </c>
      <c r="G387">
        <v>1954</v>
      </c>
      <c r="H387">
        <v>7439</v>
      </c>
      <c r="I387" t="s">
        <v>125</v>
      </c>
      <c r="J387">
        <v>76</v>
      </c>
      <c r="K387">
        <v>60076</v>
      </c>
      <c r="L387">
        <v>1140</v>
      </c>
      <c r="M387">
        <v>9</v>
      </c>
      <c r="N387">
        <v>1</v>
      </c>
      <c r="O387">
        <v>0</v>
      </c>
      <c r="P387" t="s">
        <v>18</v>
      </c>
      <c r="Q387">
        <v>3</v>
      </c>
      <c r="R387">
        <v>1</v>
      </c>
      <c r="S387" t="s">
        <v>22</v>
      </c>
      <c r="T387">
        <v>2</v>
      </c>
      <c r="U387">
        <v>0</v>
      </c>
    </row>
    <row r="388" spans="1:21" x14ac:dyDescent="0.25">
      <c r="A388">
        <v>9765452</v>
      </c>
      <c r="B388" t="s">
        <v>15</v>
      </c>
      <c r="C388" s="1">
        <v>43020</v>
      </c>
      <c r="D388" s="2">
        <f>YEAR(C388)</f>
        <v>2017</v>
      </c>
      <c r="E388">
        <v>240000</v>
      </c>
      <c r="F388" t="s">
        <v>85</v>
      </c>
      <c r="G388">
        <v>1954</v>
      </c>
      <c r="H388">
        <v>7434</v>
      </c>
      <c r="I388" t="s">
        <v>152</v>
      </c>
      <c r="J388">
        <v>76</v>
      </c>
      <c r="K388">
        <v>60076</v>
      </c>
      <c r="L388">
        <v>1138</v>
      </c>
      <c r="M388">
        <v>5</v>
      </c>
      <c r="N388">
        <v>1</v>
      </c>
      <c r="O388">
        <v>0</v>
      </c>
      <c r="P388" t="s">
        <v>18</v>
      </c>
      <c r="Q388">
        <v>3</v>
      </c>
      <c r="R388">
        <v>0</v>
      </c>
      <c r="S388" t="s">
        <v>22</v>
      </c>
      <c r="T388">
        <v>2.1</v>
      </c>
      <c r="U388">
        <v>0</v>
      </c>
    </row>
    <row r="389" spans="1:21" x14ac:dyDescent="0.25">
      <c r="A389">
        <v>9568879</v>
      </c>
      <c r="B389" t="s">
        <v>15</v>
      </c>
      <c r="C389" s="1">
        <v>42839</v>
      </c>
      <c r="D389" s="2">
        <f>YEAR(C389)</f>
        <v>2017</v>
      </c>
      <c r="E389">
        <v>267000</v>
      </c>
      <c r="F389" t="s">
        <v>85</v>
      </c>
      <c r="G389">
        <v>1954</v>
      </c>
      <c r="H389">
        <v>9233</v>
      </c>
      <c r="I389" t="s">
        <v>184</v>
      </c>
      <c r="J389">
        <v>76</v>
      </c>
      <c r="K389">
        <v>60077</v>
      </c>
      <c r="L389">
        <v>1100</v>
      </c>
      <c r="M389">
        <v>7</v>
      </c>
      <c r="N389">
        <v>1</v>
      </c>
      <c r="O389">
        <v>0</v>
      </c>
      <c r="P389" t="s">
        <v>18</v>
      </c>
      <c r="Q389">
        <v>3</v>
      </c>
      <c r="R389">
        <v>0</v>
      </c>
      <c r="S389" t="s">
        <v>21</v>
      </c>
      <c r="T389">
        <v>2</v>
      </c>
      <c r="U389">
        <v>0</v>
      </c>
    </row>
    <row r="390" spans="1:21" x14ac:dyDescent="0.25">
      <c r="A390">
        <v>10057054</v>
      </c>
      <c r="B390" t="s">
        <v>15</v>
      </c>
      <c r="C390" s="1">
        <v>43369</v>
      </c>
      <c r="D390" s="2">
        <f>YEAR(C390)</f>
        <v>2018</v>
      </c>
      <c r="E390">
        <v>222500</v>
      </c>
      <c r="F390" t="s">
        <v>85</v>
      </c>
      <c r="G390">
        <v>1954</v>
      </c>
      <c r="H390">
        <v>1042</v>
      </c>
      <c r="I390" t="s">
        <v>185</v>
      </c>
      <c r="J390">
        <v>62</v>
      </c>
      <c r="K390">
        <v>60062</v>
      </c>
      <c r="L390">
        <v>1068</v>
      </c>
      <c r="M390">
        <v>6</v>
      </c>
      <c r="N390">
        <v>1</v>
      </c>
      <c r="O390">
        <v>0</v>
      </c>
      <c r="P390" t="s">
        <v>18</v>
      </c>
      <c r="Q390">
        <v>3</v>
      </c>
      <c r="R390">
        <v>0</v>
      </c>
      <c r="S390" t="s">
        <v>19</v>
      </c>
      <c r="T390">
        <v>0</v>
      </c>
      <c r="U390">
        <v>0</v>
      </c>
    </row>
    <row r="391" spans="1:21" x14ac:dyDescent="0.25">
      <c r="A391">
        <v>10122449</v>
      </c>
      <c r="B391" t="s">
        <v>15</v>
      </c>
      <c r="C391" s="1">
        <v>43430</v>
      </c>
      <c r="D391" s="2">
        <f>YEAR(C391)</f>
        <v>2018</v>
      </c>
      <c r="E391">
        <v>210000</v>
      </c>
      <c r="F391" t="s">
        <v>85</v>
      </c>
      <c r="G391">
        <v>1954</v>
      </c>
      <c r="H391">
        <v>9001</v>
      </c>
      <c r="I391" t="s">
        <v>71</v>
      </c>
      <c r="J391">
        <v>76</v>
      </c>
      <c r="K391">
        <v>60077</v>
      </c>
      <c r="L391">
        <v>995</v>
      </c>
      <c r="M391">
        <v>8</v>
      </c>
      <c r="N391">
        <v>1</v>
      </c>
      <c r="O391">
        <v>1</v>
      </c>
      <c r="P391" t="s">
        <v>18</v>
      </c>
      <c r="Q391">
        <v>3</v>
      </c>
      <c r="R391">
        <v>1</v>
      </c>
      <c r="S391" t="s">
        <v>22</v>
      </c>
      <c r="T391">
        <v>1</v>
      </c>
      <c r="U391">
        <v>0</v>
      </c>
    </row>
    <row r="392" spans="1:21" x14ac:dyDescent="0.25">
      <c r="A392">
        <v>9816195</v>
      </c>
      <c r="B392" t="s">
        <v>15</v>
      </c>
      <c r="C392" s="1">
        <v>43165</v>
      </c>
      <c r="D392" s="2">
        <f>YEAR(C392)</f>
        <v>2018</v>
      </c>
      <c r="E392">
        <v>700000</v>
      </c>
      <c r="F392" t="s">
        <v>85</v>
      </c>
      <c r="G392">
        <v>1954</v>
      </c>
      <c r="H392">
        <v>2100</v>
      </c>
      <c r="I392" t="s">
        <v>190</v>
      </c>
      <c r="J392">
        <v>62</v>
      </c>
      <c r="K392">
        <v>60062</v>
      </c>
      <c r="L392">
        <v>2408</v>
      </c>
      <c r="M392">
        <v>11</v>
      </c>
      <c r="N392">
        <v>2</v>
      </c>
      <c r="O392">
        <v>1</v>
      </c>
      <c r="P392" t="s">
        <v>18</v>
      </c>
      <c r="Q392">
        <v>4</v>
      </c>
      <c r="R392">
        <v>0</v>
      </c>
      <c r="S392" t="s">
        <v>21</v>
      </c>
      <c r="T392">
        <v>2</v>
      </c>
      <c r="U392">
        <v>0</v>
      </c>
    </row>
    <row r="393" spans="1:21" x14ac:dyDescent="0.25">
      <c r="A393">
        <v>9674303</v>
      </c>
      <c r="B393" t="s">
        <v>15</v>
      </c>
      <c r="C393" s="1">
        <v>42965</v>
      </c>
      <c r="D393" s="2">
        <f>YEAR(C393)</f>
        <v>2017</v>
      </c>
      <c r="E393">
        <v>499000</v>
      </c>
      <c r="F393" t="s">
        <v>85</v>
      </c>
      <c r="G393">
        <v>1954</v>
      </c>
      <c r="H393">
        <v>1709</v>
      </c>
      <c r="I393" t="s">
        <v>191</v>
      </c>
      <c r="J393">
        <v>62</v>
      </c>
      <c r="K393">
        <v>60062</v>
      </c>
      <c r="L393">
        <v>2300</v>
      </c>
      <c r="M393">
        <v>8</v>
      </c>
      <c r="N393">
        <v>2</v>
      </c>
      <c r="O393">
        <v>0</v>
      </c>
      <c r="P393" t="s">
        <v>18</v>
      </c>
      <c r="Q393">
        <v>4</v>
      </c>
      <c r="R393">
        <v>0</v>
      </c>
      <c r="S393" t="s">
        <v>21</v>
      </c>
      <c r="T393">
        <v>1</v>
      </c>
      <c r="U393">
        <v>0</v>
      </c>
    </row>
    <row r="394" spans="1:21" x14ac:dyDescent="0.25">
      <c r="A394">
        <v>9935702</v>
      </c>
      <c r="B394" t="s">
        <v>15</v>
      </c>
      <c r="C394" s="1">
        <v>43299</v>
      </c>
      <c r="D394" s="2">
        <f>YEAR(C394)</f>
        <v>2018</v>
      </c>
      <c r="E394">
        <v>560000</v>
      </c>
      <c r="F394" t="s">
        <v>85</v>
      </c>
      <c r="G394">
        <v>1954</v>
      </c>
      <c r="H394">
        <v>1028</v>
      </c>
      <c r="I394" t="s">
        <v>121</v>
      </c>
      <c r="J394">
        <v>62</v>
      </c>
      <c r="K394">
        <v>60062</v>
      </c>
      <c r="L394">
        <v>2260</v>
      </c>
      <c r="M394">
        <v>8</v>
      </c>
      <c r="N394">
        <v>2</v>
      </c>
      <c r="O394">
        <v>1</v>
      </c>
      <c r="P394" t="s">
        <v>18</v>
      </c>
      <c r="Q394">
        <v>4</v>
      </c>
      <c r="R394">
        <v>0</v>
      </c>
      <c r="S394" t="s">
        <v>21</v>
      </c>
      <c r="T394">
        <v>1</v>
      </c>
      <c r="U394">
        <v>0</v>
      </c>
    </row>
    <row r="395" spans="1:21" x14ac:dyDescent="0.25">
      <c r="A395">
        <v>9590060</v>
      </c>
      <c r="B395" t="s">
        <v>15</v>
      </c>
      <c r="C395" s="1">
        <v>42902</v>
      </c>
      <c r="D395" s="2">
        <f>YEAR(C395)</f>
        <v>2017</v>
      </c>
      <c r="E395">
        <v>410000</v>
      </c>
      <c r="F395" t="s">
        <v>85</v>
      </c>
      <c r="G395">
        <v>1954</v>
      </c>
      <c r="H395">
        <v>2204</v>
      </c>
      <c r="I395" t="s">
        <v>192</v>
      </c>
      <c r="J395">
        <v>62</v>
      </c>
      <c r="K395">
        <v>60062</v>
      </c>
      <c r="L395">
        <v>2172</v>
      </c>
      <c r="M395">
        <v>8</v>
      </c>
      <c r="N395">
        <v>2</v>
      </c>
      <c r="O395">
        <v>0</v>
      </c>
      <c r="P395" t="s">
        <v>18</v>
      </c>
      <c r="Q395">
        <v>3</v>
      </c>
      <c r="R395">
        <v>0</v>
      </c>
      <c r="S395" t="s">
        <v>21</v>
      </c>
      <c r="T395">
        <v>2</v>
      </c>
      <c r="U395">
        <v>0</v>
      </c>
    </row>
    <row r="396" spans="1:21" x14ac:dyDescent="0.25">
      <c r="A396">
        <v>9654032</v>
      </c>
      <c r="B396" t="s">
        <v>15</v>
      </c>
      <c r="C396" s="1">
        <v>43031</v>
      </c>
      <c r="D396" s="2">
        <f>YEAR(C396)</f>
        <v>2017</v>
      </c>
      <c r="E396">
        <v>400000</v>
      </c>
      <c r="F396" t="s">
        <v>85</v>
      </c>
      <c r="G396">
        <v>1954</v>
      </c>
      <c r="H396">
        <v>849</v>
      </c>
      <c r="I396" t="s">
        <v>112</v>
      </c>
      <c r="J396">
        <v>62</v>
      </c>
      <c r="K396">
        <v>60062</v>
      </c>
      <c r="L396">
        <v>1471</v>
      </c>
      <c r="M396">
        <v>7</v>
      </c>
      <c r="N396">
        <v>2</v>
      </c>
      <c r="O396">
        <v>0</v>
      </c>
      <c r="P396" t="s">
        <v>18</v>
      </c>
      <c r="Q396">
        <v>3</v>
      </c>
      <c r="R396">
        <v>0</v>
      </c>
      <c r="S396" t="s">
        <v>21</v>
      </c>
      <c r="T396">
        <v>1</v>
      </c>
      <c r="U396">
        <v>0</v>
      </c>
    </row>
    <row r="397" spans="1:21" x14ac:dyDescent="0.25">
      <c r="A397">
        <v>9707823</v>
      </c>
      <c r="B397" t="s">
        <v>15</v>
      </c>
      <c r="C397" s="1">
        <v>43119</v>
      </c>
      <c r="D397" s="2">
        <f>YEAR(C397)</f>
        <v>2018</v>
      </c>
      <c r="E397">
        <v>435000</v>
      </c>
      <c r="F397" t="s">
        <v>85</v>
      </c>
      <c r="G397">
        <v>1954</v>
      </c>
      <c r="H397">
        <v>1111</v>
      </c>
      <c r="I397" t="s">
        <v>193</v>
      </c>
      <c r="J397">
        <v>62</v>
      </c>
      <c r="K397">
        <v>60062</v>
      </c>
      <c r="L397">
        <v>1343</v>
      </c>
      <c r="M397">
        <v>7</v>
      </c>
      <c r="N397">
        <v>2</v>
      </c>
      <c r="O397">
        <v>0</v>
      </c>
      <c r="P397" t="s">
        <v>18</v>
      </c>
      <c r="Q397">
        <v>3</v>
      </c>
      <c r="R397">
        <v>0</v>
      </c>
      <c r="S397" t="s">
        <v>21</v>
      </c>
      <c r="T397">
        <v>2.5</v>
      </c>
      <c r="U397">
        <v>0</v>
      </c>
    </row>
    <row r="398" spans="1:21" x14ac:dyDescent="0.25">
      <c r="A398">
        <v>9843153</v>
      </c>
      <c r="B398" t="s">
        <v>15</v>
      </c>
      <c r="C398" s="1">
        <v>43195</v>
      </c>
      <c r="D398" s="2">
        <f>YEAR(C398)</f>
        <v>2018</v>
      </c>
      <c r="E398">
        <v>299000</v>
      </c>
      <c r="F398" t="s">
        <v>85</v>
      </c>
      <c r="G398">
        <v>1954</v>
      </c>
      <c r="H398">
        <v>1713</v>
      </c>
      <c r="I398" t="s">
        <v>124</v>
      </c>
      <c r="J398">
        <v>62</v>
      </c>
      <c r="K398">
        <v>60062</v>
      </c>
      <c r="L398">
        <v>1168</v>
      </c>
      <c r="M398">
        <v>6</v>
      </c>
      <c r="N398">
        <v>2</v>
      </c>
      <c r="O398">
        <v>0</v>
      </c>
      <c r="P398" t="s">
        <v>18</v>
      </c>
      <c r="Q398">
        <v>3</v>
      </c>
      <c r="R398">
        <v>0</v>
      </c>
      <c r="S398" t="s">
        <v>21</v>
      </c>
      <c r="T398">
        <v>1</v>
      </c>
      <c r="U398">
        <v>0</v>
      </c>
    </row>
    <row r="399" spans="1:21" x14ac:dyDescent="0.25">
      <c r="A399">
        <v>9576821</v>
      </c>
      <c r="B399" t="s">
        <v>15</v>
      </c>
      <c r="C399" s="1">
        <v>42909</v>
      </c>
      <c r="D399" s="2">
        <f>YEAR(C399)</f>
        <v>2017</v>
      </c>
      <c r="E399">
        <v>171500</v>
      </c>
      <c r="F399" t="s">
        <v>85</v>
      </c>
      <c r="G399">
        <v>1954</v>
      </c>
      <c r="H399">
        <v>1108</v>
      </c>
      <c r="I399" t="s">
        <v>185</v>
      </c>
      <c r="J399">
        <v>62</v>
      </c>
      <c r="K399">
        <v>60062</v>
      </c>
      <c r="L399">
        <v>1073</v>
      </c>
      <c r="M399">
        <v>6</v>
      </c>
      <c r="N399">
        <v>1</v>
      </c>
      <c r="O399">
        <v>0</v>
      </c>
      <c r="P399" t="s">
        <v>18</v>
      </c>
      <c r="Q399">
        <v>3</v>
      </c>
      <c r="R399">
        <v>0</v>
      </c>
      <c r="S399" t="s">
        <v>21</v>
      </c>
      <c r="T399">
        <v>1</v>
      </c>
      <c r="U399">
        <v>0</v>
      </c>
    </row>
    <row r="400" spans="1:21" x14ac:dyDescent="0.25">
      <c r="A400">
        <v>9697479</v>
      </c>
      <c r="B400" t="s">
        <v>15</v>
      </c>
      <c r="C400" s="1">
        <v>42990</v>
      </c>
      <c r="D400" s="2">
        <f>YEAR(C400)</f>
        <v>2017</v>
      </c>
      <c r="E400">
        <v>307000</v>
      </c>
      <c r="F400" t="s">
        <v>85</v>
      </c>
      <c r="G400">
        <v>1954</v>
      </c>
      <c r="H400">
        <v>604</v>
      </c>
      <c r="I400" t="s">
        <v>189</v>
      </c>
      <c r="J400">
        <v>62</v>
      </c>
      <c r="K400">
        <v>60062</v>
      </c>
      <c r="L400">
        <v>1068</v>
      </c>
      <c r="M400">
        <v>8</v>
      </c>
      <c r="N400">
        <v>1</v>
      </c>
      <c r="O400">
        <v>0</v>
      </c>
      <c r="P400" t="s">
        <v>18</v>
      </c>
      <c r="Q400">
        <v>3</v>
      </c>
      <c r="R400">
        <v>0</v>
      </c>
      <c r="S400" t="s">
        <v>21</v>
      </c>
      <c r="T400">
        <v>1</v>
      </c>
      <c r="U400">
        <v>0</v>
      </c>
    </row>
    <row r="401" spans="1:21" x14ac:dyDescent="0.25">
      <c r="A401">
        <v>9477472</v>
      </c>
      <c r="B401" t="s">
        <v>15</v>
      </c>
      <c r="C401" s="1">
        <v>42978</v>
      </c>
      <c r="D401" s="2">
        <f>YEAR(C401)</f>
        <v>2017</v>
      </c>
      <c r="E401">
        <v>307000</v>
      </c>
      <c r="F401" t="s">
        <v>85</v>
      </c>
      <c r="G401">
        <v>1954</v>
      </c>
      <c r="H401">
        <v>1721</v>
      </c>
      <c r="I401" t="s">
        <v>155</v>
      </c>
      <c r="J401">
        <v>62</v>
      </c>
      <c r="K401">
        <v>60062</v>
      </c>
      <c r="L401">
        <v>1008</v>
      </c>
      <c r="M401">
        <v>5</v>
      </c>
      <c r="N401">
        <v>1</v>
      </c>
      <c r="O401">
        <v>0</v>
      </c>
      <c r="P401" t="s">
        <v>18</v>
      </c>
      <c r="Q401">
        <v>3</v>
      </c>
      <c r="R401">
        <v>0</v>
      </c>
      <c r="S401" t="s">
        <v>22</v>
      </c>
      <c r="T401">
        <v>1.5</v>
      </c>
      <c r="U401">
        <v>0</v>
      </c>
    </row>
    <row r="402" spans="1:21" x14ac:dyDescent="0.25">
      <c r="A402">
        <v>9729981</v>
      </c>
      <c r="B402" t="s">
        <v>15</v>
      </c>
      <c r="C402" s="1">
        <v>43122</v>
      </c>
      <c r="D402" s="2">
        <f>YEAR(C402)</f>
        <v>2018</v>
      </c>
      <c r="E402">
        <v>327000</v>
      </c>
      <c r="F402" t="s">
        <v>85</v>
      </c>
      <c r="G402">
        <v>1955</v>
      </c>
      <c r="H402">
        <v>9600</v>
      </c>
      <c r="I402" t="s">
        <v>102</v>
      </c>
      <c r="J402">
        <v>76</v>
      </c>
      <c r="K402">
        <v>60076</v>
      </c>
      <c r="L402">
        <v>3275</v>
      </c>
      <c r="M402">
        <v>8</v>
      </c>
      <c r="N402">
        <v>2</v>
      </c>
      <c r="O402">
        <v>0</v>
      </c>
      <c r="P402" t="s">
        <v>18</v>
      </c>
      <c r="Q402">
        <v>3</v>
      </c>
      <c r="R402">
        <v>0</v>
      </c>
      <c r="S402" t="s">
        <v>21</v>
      </c>
      <c r="T402">
        <v>2</v>
      </c>
      <c r="U402">
        <v>0</v>
      </c>
    </row>
    <row r="403" spans="1:21" x14ac:dyDescent="0.25">
      <c r="A403">
        <v>9830946</v>
      </c>
      <c r="B403" t="s">
        <v>15</v>
      </c>
      <c r="C403" s="1">
        <v>43159</v>
      </c>
      <c r="D403" s="2">
        <f>YEAR(C403)</f>
        <v>2018</v>
      </c>
      <c r="E403">
        <v>369000</v>
      </c>
      <c r="F403" t="s">
        <v>85</v>
      </c>
      <c r="G403">
        <v>1955</v>
      </c>
      <c r="H403">
        <v>9250</v>
      </c>
      <c r="I403" t="s">
        <v>123</v>
      </c>
      <c r="J403">
        <v>76</v>
      </c>
      <c r="K403">
        <v>60076</v>
      </c>
      <c r="L403">
        <v>3128</v>
      </c>
      <c r="M403">
        <v>9</v>
      </c>
      <c r="N403">
        <v>2</v>
      </c>
      <c r="O403">
        <v>0</v>
      </c>
      <c r="P403" t="s">
        <v>18</v>
      </c>
      <c r="Q403">
        <v>3</v>
      </c>
      <c r="R403">
        <v>0</v>
      </c>
      <c r="S403" t="s">
        <v>22</v>
      </c>
      <c r="T403">
        <v>1.5</v>
      </c>
      <c r="U403">
        <v>0</v>
      </c>
    </row>
    <row r="404" spans="1:21" x14ac:dyDescent="0.25">
      <c r="A404">
        <v>10008384</v>
      </c>
      <c r="B404" t="s">
        <v>15</v>
      </c>
      <c r="C404" s="1">
        <v>43327</v>
      </c>
      <c r="D404" s="2">
        <f>YEAR(C404)</f>
        <v>2018</v>
      </c>
      <c r="E404">
        <v>335000</v>
      </c>
      <c r="F404" t="s">
        <v>85</v>
      </c>
      <c r="G404">
        <v>1955</v>
      </c>
      <c r="H404">
        <v>7516</v>
      </c>
      <c r="I404" t="s">
        <v>89</v>
      </c>
      <c r="J404">
        <v>76</v>
      </c>
      <c r="K404">
        <v>60076</v>
      </c>
      <c r="L404">
        <v>2280</v>
      </c>
      <c r="M404">
        <v>9</v>
      </c>
      <c r="N404">
        <v>2</v>
      </c>
      <c r="O404">
        <v>0</v>
      </c>
      <c r="P404" t="s">
        <v>18</v>
      </c>
      <c r="Q404">
        <v>3</v>
      </c>
      <c r="R404">
        <v>2</v>
      </c>
      <c r="S404" t="s">
        <v>19</v>
      </c>
      <c r="T404">
        <v>0</v>
      </c>
      <c r="U404">
        <v>0</v>
      </c>
    </row>
    <row r="405" spans="1:21" x14ac:dyDescent="0.25">
      <c r="A405">
        <v>10022724</v>
      </c>
      <c r="B405" t="s">
        <v>15</v>
      </c>
      <c r="C405" s="1">
        <v>43388</v>
      </c>
      <c r="D405" s="2">
        <f>YEAR(C405)</f>
        <v>2018</v>
      </c>
      <c r="E405">
        <v>310000</v>
      </c>
      <c r="F405" t="s">
        <v>85</v>
      </c>
      <c r="G405">
        <v>1955</v>
      </c>
      <c r="H405">
        <v>7635</v>
      </c>
      <c r="I405" t="s">
        <v>23</v>
      </c>
      <c r="J405">
        <v>76</v>
      </c>
      <c r="K405">
        <v>60076</v>
      </c>
      <c r="L405">
        <v>2000</v>
      </c>
      <c r="M405">
        <v>10</v>
      </c>
      <c r="N405">
        <v>2</v>
      </c>
      <c r="O405">
        <v>1</v>
      </c>
      <c r="P405" t="s">
        <v>18</v>
      </c>
      <c r="Q405">
        <v>4</v>
      </c>
      <c r="R405">
        <v>0</v>
      </c>
      <c r="S405" t="s">
        <v>21</v>
      </c>
      <c r="T405">
        <v>2</v>
      </c>
      <c r="U405">
        <v>0</v>
      </c>
    </row>
    <row r="406" spans="1:21" x14ac:dyDescent="0.25">
      <c r="A406">
        <v>9868662</v>
      </c>
      <c r="B406" t="s">
        <v>15</v>
      </c>
      <c r="C406" s="1">
        <v>43181</v>
      </c>
      <c r="D406" s="2">
        <f>YEAR(C406)</f>
        <v>2018</v>
      </c>
      <c r="E406">
        <v>281550</v>
      </c>
      <c r="F406" t="s">
        <v>85</v>
      </c>
      <c r="G406">
        <v>1955</v>
      </c>
      <c r="H406">
        <v>7710</v>
      </c>
      <c r="I406" t="s">
        <v>123</v>
      </c>
      <c r="J406">
        <v>76</v>
      </c>
      <c r="K406">
        <v>60076</v>
      </c>
      <c r="L406">
        <v>1860</v>
      </c>
      <c r="M406">
        <v>8</v>
      </c>
      <c r="N406">
        <v>2</v>
      </c>
      <c r="O406">
        <v>0</v>
      </c>
      <c r="P406" t="s">
        <v>18</v>
      </c>
      <c r="Q406">
        <v>3</v>
      </c>
      <c r="R406">
        <v>0</v>
      </c>
      <c r="S406" t="s">
        <v>21</v>
      </c>
      <c r="T406">
        <v>1</v>
      </c>
      <c r="U406">
        <v>0</v>
      </c>
    </row>
    <row r="407" spans="1:21" x14ac:dyDescent="0.25">
      <c r="A407">
        <v>10018726</v>
      </c>
      <c r="B407" t="s">
        <v>15</v>
      </c>
      <c r="C407" s="1">
        <v>43472</v>
      </c>
      <c r="D407" s="2">
        <f>YEAR(C407)</f>
        <v>2019</v>
      </c>
      <c r="E407">
        <v>258000</v>
      </c>
      <c r="F407" t="s">
        <v>85</v>
      </c>
      <c r="G407">
        <v>1955</v>
      </c>
      <c r="H407">
        <v>8336</v>
      </c>
      <c r="I407" t="s">
        <v>125</v>
      </c>
      <c r="J407">
        <v>76</v>
      </c>
      <c r="K407">
        <v>60076</v>
      </c>
      <c r="L407">
        <v>1848</v>
      </c>
      <c r="M407">
        <v>9</v>
      </c>
      <c r="N407">
        <v>2</v>
      </c>
      <c r="O407">
        <v>0</v>
      </c>
      <c r="P407" t="s">
        <v>18</v>
      </c>
      <c r="Q407">
        <v>4</v>
      </c>
      <c r="R407">
        <v>0</v>
      </c>
      <c r="S407" t="s">
        <v>19</v>
      </c>
      <c r="T407">
        <v>0</v>
      </c>
      <c r="U407">
        <v>0</v>
      </c>
    </row>
    <row r="408" spans="1:21" x14ac:dyDescent="0.25">
      <c r="A408">
        <v>9795194</v>
      </c>
      <c r="B408" t="s">
        <v>15</v>
      </c>
      <c r="C408" s="1">
        <v>43084</v>
      </c>
      <c r="D408" s="2">
        <f>YEAR(C408)</f>
        <v>2017</v>
      </c>
      <c r="E408">
        <v>375000</v>
      </c>
      <c r="F408" t="s">
        <v>85</v>
      </c>
      <c r="G408">
        <v>1955</v>
      </c>
      <c r="H408">
        <v>9033</v>
      </c>
      <c r="I408" t="s">
        <v>125</v>
      </c>
      <c r="J408">
        <v>76</v>
      </c>
      <c r="K408">
        <v>60076</v>
      </c>
      <c r="L408">
        <v>1766</v>
      </c>
      <c r="M408">
        <v>8</v>
      </c>
      <c r="N408">
        <v>2</v>
      </c>
      <c r="O408">
        <v>0</v>
      </c>
      <c r="P408" t="s">
        <v>18</v>
      </c>
      <c r="Q408">
        <v>3</v>
      </c>
      <c r="R408">
        <v>0</v>
      </c>
      <c r="S408" t="s">
        <v>21</v>
      </c>
      <c r="T408">
        <v>2</v>
      </c>
      <c r="U408">
        <v>0</v>
      </c>
    </row>
    <row r="409" spans="1:21" x14ac:dyDescent="0.25">
      <c r="A409">
        <v>9559939</v>
      </c>
      <c r="B409" t="s">
        <v>15</v>
      </c>
      <c r="C409" s="1">
        <v>42851</v>
      </c>
      <c r="D409" s="2">
        <f>YEAR(C409)</f>
        <v>2017</v>
      </c>
      <c r="E409">
        <v>380000</v>
      </c>
      <c r="F409" t="s">
        <v>85</v>
      </c>
      <c r="G409">
        <v>1955</v>
      </c>
      <c r="H409">
        <v>5017</v>
      </c>
      <c r="I409" t="s">
        <v>187</v>
      </c>
      <c r="J409">
        <v>76</v>
      </c>
      <c r="K409">
        <v>60077</v>
      </c>
      <c r="L409">
        <v>1765</v>
      </c>
      <c r="M409">
        <v>10</v>
      </c>
      <c r="N409">
        <v>2</v>
      </c>
      <c r="O409">
        <v>0</v>
      </c>
      <c r="P409" t="s">
        <v>18</v>
      </c>
      <c r="Q409">
        <v>4</v>
      </c>
      <c r="R409">
        <v>0</v>
      </c>
      <c r="S409" t="s">
        <v>22</v>
      </c>
      <c r="T409">
        <v>2.5</v>
      </c>
      <c r="U409">
        <v>0</v>
      </c>
    </row>
    <row r="410" spans="1:21" x14ac:dyDescent="0.25">
      <c r="A410">
        <v>9672763</v>
      </c>
      <c r="B410" t="s">
        <v>15</v>
      </c>
      <c r="C410" s="1">
        <v>43006</v>
      </c>
      <c r="D410" s="2">
        <f>YEAR(C410)</f>
        <v>2017</v>
      </c>
      <c r="E410">
        <v>375000</v>
      </c>
      <c r="F410" t="s">
        <v>85</v>
      </c>
      <c r="G410">
        <v>1955</v>
      </c>
      <c r="H410">
        <v>5129</v>
      </c>
      <c r="I410" t="s">
        <v>194</v>
      </c>
      <c r="J410">
        <v>76</v>
      </c>
      <c r="K410">
        <v>60077</v>
      </c>
      <c r="L410">
        <v>1704</v>
      </c>
      <c r="M410">
        <v>7</v>
      </c>
      <c r="N410">
        <v>2</v>
      </c>
      <c r="O410">
        <v>0</v>
      </c>
      <c r="P410" t="s">
        <v>18</v>
      </c>
      <c r="Q410">
        <v>3</v>
      </c>
      <c r="R410">
        <v>0</v>
      </c>
      <c r="S410" t="s">
        <v>21</v>
      </c>
      <c r="T410">
        <v>2</v>
      </c>
      <c r="U410">
        <v>0</v>
      </c>
    </row>
    <row r="411" spans="1:21" x14ac:dyDescent="0.25">
      <c r="A411">
        <v>9595924</v>
      </c>
      <c r="B411" t="s">
        <v>15</v>
      </c>
      <c r="C411" s="1">
        <v>42948</v>
      </c>
      <c r="D411" s="2">
        <f>YEAR(C411)</f>
        <v>2017</v>
      </c>
      <c r="E411">
        <v>317500</v>
      </c>
      <c r="F411" t="s">
        <v>85</v>
      </c>
      <c r="G411">
        <v>1955</v>
      </c>
      <c r="H411">
        <v>4153</v>
      </c>
      <c r="I411" t="s">
        <v>100</v>
      </c>
      <c r="J411">
        <v>76</v>
      </c>
      <c r="K411">
        <v>60076</v>
      </c>
      <c r="L411">
        <v>1662</v>
      </c>
      <c r="M411">
        <v>7</v>
      </c>
      <c r="N411">
        <v>2</v>
      </c>
      <c r="O411">
        <v>0</v>
      </c>
      <c r="P411" t="s">
        <v>18</v>
      </c>
      <c r="Q411">
        <v>3</v>
      </c>
      <c r="R411">
        <v>0</v>
      </c>
      <c r="S411" t="s">
        <v>21</v>
      </c>
      <c r="T411">
        <v>3.5</v>
      </c>
      <c r="U411">
        <v>0</v>
      </c>
    </row>
    <row r="412" spans="1:21" x14ac:dyDescent="0.25">
      <c r="A412">
        <v>9760394</v>
      </c>
      <c r="B412" t="s">
        <v>15</v>
      </c>
      <c r="C412" s="1">
        <v>43196</v>
      </c>
      <c r="D412" s="2">
        <f>YEAR(C412)</f>
        <v>2018</v>
      </c>
      <c r="E412">
        <v>260000</v>
      </c>
      <c r="F412" t="s">
        <v>85</v>
      </c>
      <c r="G412">
        <v>1955</v>
      </c>
      <c r="H412">
        <v>7814</v>
      </c>
      <c r="I412" t="s">
        <v>136</v>
      </c>
      <c r="J412">
        <v>76</v>
      </c>
      <c r="K412">
        <v>60076</v>
      </c>
      <c r="L412">
        <v>1650</v>
      </c>
      <c r="M412">
        <v>6</v>
      </c>
      <c r="N412">
        <v>1</v>
      </c>
      <c r="O412">
        <v>1</v>
      </c>
      <c r="P412" t="s">
        <v>18</v>
      </c>
      <c r="Q412">
        <v>2</v>
      </c>
      <c r="R412">
        <v>0</v>
      </c>
      <c r="S412" t="s">
        <v>21</v>
      </c>
      <c r="T412">
        <v>1</v>
      </c>
      <c r="U412">
        <v>0</v>
      </c>
    </row>
    <row r="413" spans="1:21" x14ac:dyDescent="0.25">
      <c r="A413">
        <v>9354162</v>
      </c>
      <c r="B413" t="s">
        <v>15</v>
      </c>
      <c r="C413" s="1">
        <v>42853</v>
      </c>
      <c r="D413" s="2">
        <f>YEAR(C413)</f>
        <v>2017</v>
      </c>
      <c r="E413">
        <v>311000</v>
      </c>
      <c r="F413" t="s">
        <v>85</v>
      </c>
      <c r="G413">
        <v>1955</v>
      </c>
      <c r="H413">
        <v>8105</v>
      </c>
      <c r="I413" t="s">
        <v>23</v>
      </c>
      <c r="J413">
        <v>76</v>
      </c>
      <c r="K413">
        <v>60076</v>
      </c>
      <c r="L413">
        <v>1605</v>
      </c>
      <c r="M413">
        <v>9</v>
      </c>
      <c r="N413">
        <v>2</v>
      </c>
      <c r="O413">
        <v>0</v>
      </c>
      <c r="P413" t="s">
        <v>18</v>
      </c>
      <c r="Q413">
        <v>3</v>
      </c>
      <c r="R413">
        <v>0</v>
      </c>
      <c r="S413" t="s">
        <v>22</v>
      </c>
      <c r="T413">
        <v>2</v>
      </c>
      <c r="U413">
        <v>0</v>
      </c>
    </row>
    <row r="414" spans="1:21" x14ac:dyDescent="0.25">
      <c r="A414">
        <v>10008398</v>
      </c>
      <c r="B414" t="s">
        <v>15</v>
      </c>
      <c r="C414" s="1">
        <v>43287</v>
      </c>
      <c r="D414" s="2">
        <f>YEAR(C414)</f>
        <v>2018</v>
      </c>
      <c r="E414">
        <v>380000</v>
      </c>
      <c r="F414" t="s">
        <v>85</v>
      </c>
      <c r="G414">
        <v>1955</v>
      </c>
      <c r="H414">
        <v>5149</v>
      </c>
      <c r="I414" t="s">
        <v>194</v>
      </c>
      <c r="J414">
        <v>76</v>
      </c>
      <c r="K414">
        <v>60077</v>
      </c>
      <c r="L414">
        <v>1598</v>
      </c>
      <c r="M414">
        <v>7</v>
      </c>
      <c r="N414">
        <v>1</v>
      </c>
      <c r="O414">
        <v>1</v>
      </c>
      <c r="P414" t="s">
        <v>18</v>
      </c>
      <c r="Q414">
        <v>3</v>
      </c>
      <c r="R414">
        <v>0</v>
      </c>
      <c r="S414" t="s">
        <v>21</v>
      </c>
      <c r="T414">
        <v>2</v>
      </c>
      <c r="U414">
        <v>0</v>
      </c>
    </row>
    <row r="415" spans="1:21" x14ac:dyDescent="0.25">
      <c r="A415">
        <v>10105946</v>
      </c>
      <c r="B415" t="s">
        <v>15</v>
      </c>
      <c r="C415" s="1">
        <v>43487</v>
      </c>
      <c r="D415" s="2">
        <f>YEAR(C415)</f>
        <v>2019</v>
      </c>
      <c r="E415">
        <v>305000</v>
      </c>
      <c r="F415" t="s">
        <v>85</v>
      </c>
      <c r="G415">
        <v>1955</v>
      </c>
      <c r="H415">
        <v>8635</v>
      </c>
      <c r="I415" t="s">
        <v>135</v>
      </c>
      <c r="J415">
        <v>76</v>
      </c>
      <c r="K415">
        <v>60076</v>
      </c>
      <c r="L415">
        <v>1492</v>
      </c>
      <c r="M415">
        <v>7</v>
      </c>
      <c r="N415">
        <v>2</v>
      </c>
      <c r="O415">
        <v>0</v>
      </c>
      <c r="P415" t="s">
        <v>18</v>
      </c>
      <c r="Q415">
        <v>3</v>
      </c>
      <c r="R415">
        <v>0</v>
      </c>
      <c r="S415" t="s">
        <v>22</v>
      </c>
      <c r="T415">
        <v>2</v>
      </c>
      <c r="U415">
        <v>0</v>
      </c>
    </row>
    <row r="416" spans="1:21" x14ac:dyDescent="0.25">
      <c r="A416">
        <v>9872983</v>
      </c>
      <c r="B416" t="s">
        <v>15</v>
      </c>
      <c r="C416" s="1">
        <v>43199</v>
      </c>
      <c r="D416" s="2">
        <f>YEAR(C416)</f>
        <v>2018</v>
      </c>
      <c r="E416">
        <v>275000</v>
      </c>
      <c r="F416" t="s">
        <v>85</v>
      </c>
      <c r="G416">
        <v>1955</v>
      </c>
      <c r="H416">
        <v>8232</v>
      </c>
      <c r="I416" t="s">
        <v>195</v>
      </c>
      <c r="J416">
        <v>76</v>
      </c>
      <c r="K416">
        <v>60076</v>
      </c>
      <c r="L416">
        <v>1456</v>
      </c>
      <c r="M416">
        <v>6</v>
      </c>
      <c r="N416">
        <v>1</v>
      </c>
      <c r="O416">
        <v>1</v>
      </c>
      <c r="P416" t="s">
        <v>18</v>
      </c>
      <c r="Q416">
        <v>3</v>
      </c>
      <c r="R416">
        <v>0</v>
      </c>
      <c r="S416" t="s">
        <v>21</v>
      </c>
      <c r="T416">
        <v>2</v>
      </c>
      <c r="U416">
        <v>0</v>
      </c>
    </row>
    <row r="417" spans="1:21" x14ac:dyDescent="0.25">
      <c r="A417">
        <v>9857678</v>
      </c>
      <c r="B417" t="s">
        <v>15</v>
      </c>
      <c r="C417" s="1">
        <v>43215</v>
      </c>
      <c r="D417" s="2">
        <f>YEAR(C417)</f>
        <v>2018</v>
      </c>
      <c r="E417">
        <v>295000</v>
      </c>
      <c r="F417" t="s">
        <v>85</v>
      </c>
      <c r="G417">
        <v>1955</v>
      </c>
      <c r="H417">
        <v>8723</v>
      </c>
      <c r="I417" t="s">
        <v>148</v>
      </c>
      <c r="J417">
        <v>76</v>
      </c>
      <c r="K417">
        <v>60076</v>
      </c>
      <c r="L417">
        <v>1433</v>
      </c>
      <c r="M417">
        <v>8</v>
      </c>
      <c r="N417">
        <v>1</v>
      </c>
      <c r="O417">
        <v>1</v>
      </c>
      <c r="P417" t="s">
        <v>18</v>
      </c>
      <c r="Q417">
        <v>4</v>
      </c>
      <c r="R417">
        <v>0</v>
      </c>
      <c r="S417" t="s">
        <v>22</v>
      </c>
      <c r="T417">
        <v>2</v>
      </c>
      <c r="U417">
        <v>0</v>
      </c>
    </row>
    <row r="418" spans="1:21" x14ac:dyDescent="0.25">
      <c r="A418">
        <v>9576276</v>
      </c>
      <c r="B418" t="s">
        <v>15</v>
      </c>
      <c r="C418" s="1">
        <v>42873</v>
      </c>
      <c r="D418" s="2">
        <f>YEAR(C418)</f>
        <v>2017</v>
      </c>
      <c r="E418">
        <v>305000</v>
      </c>
      <c r="F418" t="s">
        <v>85</v>
      </c>
      <c r="G418">
        <v>1955</v>
      </c>
      <c r="H418">
        <v>4333</v>
      </c>
      <c r="I418" t="s">
        <v>45</v>
      </c>
      <c r="J418">
        <v>76</v>
      </c>
      <c r="K418">
        <v>60076</v>
      </c>
      <c r="L418">
        <v>1422</v>
      </c>
      <c r="M418">
        <v>9</v>
      </c>
      <c r="N418">
        <v>1</v>
      </c>
      <c r="O418">
        <v>1</v>
      </c>
      <c r="P418" t="s">
        <v>18</v>
      </c>
      <c r="Q418">
        <v>3</v>
      </c>
      <c r="R418">
        <v>0</v>
      </c>
      <c r="S418" t="s">
        <v>22</v>
      </c>
      <c r="T418">
        <v>2.5</v>
      </c>
      <c r="U418">
        <v>0</v>
      </c>
    </row>
    <row r="419" spans="1:21" x14ac:dyDescent="0.25">
      <c r="A419">
        <v>9891644</v>
      </c>
      <c r="B419" t="s">
        <v>15</v>
      </c>
      <c r="C419" s="1">
        <v>43224</v>
      </c>
      <c r="D419" s="2">
        <f>YEAR(C419)</f>
        <v>2018</v>
      </c>
      <c r="E419">
        <v>280000</v>
      </c>
      <c r="F419" t="s">
        <v>85</v>
      </c>
      <c r="G419">
        <v>1955</v>
      </c>
      <c r="H419">
        <v>8705</v>
      </c>
      <c r="I419" t="s">
        <v>196</v>
      </c>
      <c r="J419">
        <v>76</v>
      </c>
      <c r="K419">
        <v>60076</v>
      </c>
      <c r="L419">
        <v>1422</v>
      </c>
      <c r="M419">
        <v>7</v>
      </c>
      <c r="N419">
        <v>1</v>
      </c>
      <c r="O419">
        <v>1</v>
      </c>
      <c r="P419" t="s">
        <v>18</v>
      </c>
      <c r="Q419">
        <v>3</v>
      </c>
      <c r="R419">
        <v>0</v>
      </c>
      <c r="S419" t="s">
        <v>19</v>
      </c>
      <c r="T419">
        <v>0</v>
      </c>
      <c r="U419">
        <v>0</v>
      </c>
    </row>
    <row r="420" spans="1:21" x14ac:dyDescent="0.25">
      <c r="A420">
        <v>9560523</v>
      </c>
      <c r="B420" t="s">
        <v>15</v>
      </c>
      <c r="C420" s="1">
        <v>42874</v>
      </c>
      <c r="D420" s="2">
        <f>YEAR(C420)</f>
        <v>2017</v>
      </c>
      <c r="E420">
        <v>345000</v>
      </c>
      <c r="F420" t="s">
        <v>85</v>
      </c>
      <c r="G420">
        <v>1955</v>
      </c>
      <c r="H420">
        <v>7440</v>
      </c>
      <c r="I420" t="s">
        <v>125</v>
      </c>
      <c r="J420">
        <v>76</v>
      </c>
      <c r="K420">
        <v>60076</v>
      </c>
      <c r="L420">
        <v>1384</v>
      </c>
      <c r="M420">
        <v>7</v>
      </c>
      <c r="N420">
        <v>2</v>
      </c>
      <c r="O420">
        <v>0</v>
      </c>
      <c r="P420" t="s">
        <v>18</v>
      </c>
      <c r="Q420">
        <v>3</v>
      </c>
      <c r="R420">
        <v>0</v>
      </c>
      <c r="S420" t="s">
        <v>21</v>
      </c>
      <c r="T420">
        <v>1</v>
      </c>
      <c r="U420">
        <v>0</v>
      </c>
    </row>
    <row r="421" spans="1:21" x14ac:dyDescent="0.25">
      <c r="A421">
        <v>9368685</v>
      </c>
      <c r="B421" t="s">
        <v>15</v>
      </c>
      <c r="C421" s="1">
        <v>42809</v>
      </c>
      <c r="D421" s="2">
        <f>YEAR(C421)</f>
        <v>2017</v>
      </c>
      <c r="E421">
        <v>275000</v>
      </c>
      <c r="F421" t="s">
        <v>85</v>
      </c>
      <c r="G421">
        <v>1955</v>
      </c>
      <c r="H421">
        <v>1800</v>
      </c>
      <c r="I421" t="s">
        <v>197</v>
      </c>
      <c r="J421">
        <v>62</v>
      </c>
      <c r="K421">
        <v>60062</v>
      </c>
      <c r="L421">
        <v>1372</v>
      </c>
      <c r="M421">
        <v>7</v>
      </c>
      <c r="N421">
        <v>1</v>
      </c>
      <c r="O421">
        <v>1</v>
      </c>
      <c r="P421" t="s">
        <v>18</v>
      </c>
      <c r="Q421">
        <v>3</v>
      </c>
      <c r="R421">
        <v>0</v>
      </c>
      <c r="S421" t="s">
        <v>19</v>
      </c>
      <c r="T421">
        <v>0</v>
      </c>
      <c r="U421">
        <v>0</v>
      </c>
    </row>
    <row r="422" spans="1:21" x14ac:dyDescent="0.25">
      <c r="A422">
        <v>10128707</v>
      </c>
      <c r="B422" t="s">
        <v>15</v>
      </c>
      <c r="C422" s="1">
        <v>43425</v>
      </c>
      <c r="D422" s="2">
        <f>YEAR(C422)</f>
        <v>2018</v>
      </c>
      <c r="E422">
        <v>250000</v>
      </c>
      <c r="F422" t="s">
        <v>85</v>
      </c>
      <c r="G422">
        <v>1955</v>
      </c>
      <c r="H422">
        <v>5430</v>
      </c>
      <c r="I422" t="s">
        <v>198</v>
      </c>
      <c r="J422">
        <v>76</v>
      </c>
      <c r="K422">
        <v>60077</v>
      </c>
      <c r="L422">
        <v>1351</v>
      </c>
      <c r="M422">
        <v>7</v>
      </c>
      <c r="N422">
        <v>2</v>
      </c>
      <c r="O422">
        <v>0</v>
      </c>
      <c r="P422" t="s">
        <v>18</v>
      </c>
      <c r="Q422">
        <v>3</v>
      </c>
      <c r="R422">
        <v>0</v>
      </c>
      <c r="S422" t="s">
        <v>22</v>
      </c>
      <c r="T422">
        <v>2</v>
      </c>
      <c r="U422">
        <v>0</v>
      </c>
    </row>
    <row r="423" spans="1:21" x14ac:dyDescent="0.25">
      <c r="A423">
        <v>9562855</v>
      </c>
      <c r="B423" t="s">
        <v>15</v>
      </c>
      <c r="C423" s="1">
        <v>42885</v>
      </c>
      <c r="D423" s="2">
        <f>YEAR(C423)</f>
        <v>2017</v>
      </c>
      <c r="E423">
        <v>297000</v>
      </c>
      <c r="F423" t="s">
        <v>85</v>
      </c>
      <c r="G423">
        <v>1955</v>
      </c>
      <c r="H423">
        <v>8017</v>
      </c>
      <c r="I423" t="s">
        <v>125</v>
      </c>
      <c r="J423">
        <v>76</v>
      </c>
      <c r="K423">
        <v>60076</v>
      </c>
      <c r="L423">
        <v>1343</v>
      </c>
      <c r="M423">
        <v>7</v>
      </c>
      <c r="N423">
        <v>2</v>
      </c>
      <c r="O423">
        <v>0</v>
      </c>
      <c r="P423" t="s">
        <v>18</v>
      </c>
      <c r="Q423">
        <v>3</v>
      </c>
      <c r="R423">
        <v>0</v>
      </c>
      <c r="S423" t="s">
        <v>22</v>
      </c>
      <c r="T423">
        <v>2</v>
      </c>
      <c r="U423">
        <v>0</v>
      </c>
    </row>
    <row r="424" spans="1:21" x14ac:dyDescent="0.25">
      <c r="A424">
        <v>9392011</v>
      </c>
      <c r="B424" t="s">
        <v>15</v>
      </c>
      <c r="C424" s="1">
        <v>42937</v>
      </c>
      <c r="D424" s="2">
        <f>YEAR(C424)</f>
        <v>2017</v>
      </c>
      <c r="E424">
        <v>340000</v>
      </c>
      <c r="F424" t="s">
        <v>85</v>
      </c>
      <c r="G424">
        <v>1955</v>
      </c>
      <c r="H424">
        <v>4661</v>
      </c>
      <c r="I424" t="s">
        <v>199</v>
      </c>
      <c r="J424">
        <v>76</v>
      </c>
      <c r="K424">
        <v>60076</v>
      </c>
      <c r="L424">
        <v>1284</v>
      </c>
      <c r="M424">
        <v>6</v>
      </c>
      <c r="N424">
        <v>1</v>
      </c>
      <c r="O424">
        <v>1</v>
      </c>
      <c r="P424" t="s">
        <v>18</v>
      </c>
      <c r="Q424">
        <v>3</v>
      </c>
      <c r="R424">
        <v>0</v>
      </c>
      <c r="S424" t="s">
        <v>21</v>
      </c>
      <c r="T424">
        <v>2</v>
      </c>
      <c r="U424">
        <v>0</v>
      </c>
    </row>
    <row r="425" spans="1:21" x14ac:dyDescent="0.25">
      <c r="A425">
        <v>9692298</v>
      </c>
      <c r="B425" t="s">
        <v>15</v>
      </c>
      <c r="C425" s="1">
        <v>42948</v>
      </c>
      <c r="D425" s="2">
        <f>YEAR(C425)</f>
        <v>2017</v>
      </c>
      <c r="E425">
        <v>260000</v>
      </c>
      <c r="F425" t="s">
        <v>85</v>
      </c>
      <c r="G425">
        <v>1955</v>
      </c>
      <c r="H425">
        <v>9640</v>
      </c>
      <c r="I425" t="s">
        <v>105</v>
      </c>
      <c r="J425">
        <v>76</v>
      </c>
      <c r="K425">
        <v>60076</v>
      </c>
      <c r="L425">
        <v>1272</v>
      </c>
      <c r="M425">
        <v>7</v>
      </c>
      <c r="N425">
        <v>2</v>
      </c>
      <c r="O425">
        <v>0</v>
      </c>
      <c r="P425" t="s">
        <v>18</v>
      </c>
      <c r="Q425">
        <v>3</v>
      </c>
      <c r="R425">
        <v>0</v>
      </c>
      <c r="S425" t="s">
        <v>21</v>
      </c>
      <c r="T425">
        <v>2</v>
      </c>
      <c r="U425">
        <v>0</v>
      </c>
    </row>
    <row r="426" spans="1:21" x14ac:dyDescent="0.25">
      <c r="A426">
        <v>9689931</v>
      </c>
      <c r="B426" t="s">
        <v>15</v>
      </c>
      <c r="C426" s="1">
        <v>43054</v>
      </c>
      <c r="D426" s="2">
        <f>YEAR(C426)</f>
        <v>2017</v>
      </c>
      <c r="E426">
        <v>278100</v>
      </c>
      <c r="F426" t="s">
        <v>85</v>
      </c>
      <c r="G426">
        <v>1955</v>
      </c>
      <c r="H426">
        <v>9311</v>
      </c>
      <c r="I426" t="s">
        <v>101</v>
      </c>
      <c r="J426">
        <v>76</v>
      </c>
      <c r="K426">
        <v>60076</v>
      </c>
      <c r="L426">
        <v>1242</v>
      </c>
      <c r="M426">
        <v>8</v>
      </c>
      <c r="N426">
        <v>2</v>
      </c>
      <c r="O426">
        <v>0</v>
      </c>
      <c r="P426" t="s">
        <v>18</v>
      </c>
      <c r="Q426">
        <v>3</v>
      </c>
      <c r="R426">
        <v>0</v>
      </c>
      <c r="S426" t="s">
        <v>22</v>
      </c>
      <c r="T426">
        <v>2</v>
      </c>
      <c r="U426">
        <v>0</v>
      </c>
    </row>
    <row r="427" spans="1:21" x14ac:dyDescent="0.25">
      <c r="A427">
        <v>10147182</v>
      </c>
      <c r="B427" t="s">
        <v>15</v>
      </c>
      <c r="C427" s="1">
        <v>43489</v>
      </c>
      <c r="D427" s="2">
        <f>YEAR(C427)</f>
        <v>2019</v>
      </c>
      <c r="E427">
        <v>270000</v>
      </c>
      <c r="F427" t="s">
        <v>85</v>
      </c>
      <c r="G427">
        <v>1955</v>
      </c>
      <c r="H427">
        <v>4320</v>
      </c>
      <c r="I427" t="s">
        <v>45</v>
      </c>
      <c r="J427">
        <v>76</v>
      </c>
      <c r="K427">
        <v>60076</v>
      </c>
      <c r="L427">
        <v>1242</v>
      </c>
      <c r="M427">
        <v>6</v>
      </c>
      <c r="N427">
        <v>1</v>
      </c>
      <c r="O427">
        <v>1</v>
      </c>
      <c r="P427" t="s">
        <v>18</v>
      </c>
      <c r="Q427">
        <v>3</v>
      </c>
      <c r="R427">
        <v>0</v>
      </c>
      <c r="S427" t="s">
        <v>19</v>
      </c>
      <c r="T427">
        <v>0</v>
      </c>
      <c r="U427">
        <v>0</v>
      </c>
    </row>
    <row r="428" spans="1:21" x14ac:dyDescent="0.25">
      <c r="A428">
        <v>10020248</v>
      </c>
      <c r="B428" t="s">
        <v>15</v>
      </c>
      <c r="C428" s="1">
        <v>43335</v>
      </c>
      <c r="D428" s="2">
        <f>YEAR(C428)</f>
        <v>2018</v>
      </c>
      <c r="E428">
        <v>270000</v>
      </c>
      <c r="F428" t="s">
        <v>85</v>
      </c>
      <c r="G428">
        <v>1955</v>
      </c>
      <c r="H428">
        <v>8620</v>
      </c>
      <c r="I428" t="s">
        <v>200</v>
      </c>
      <c r="J428">
        <v>76</v>
      </c>
      <c r="K428">
        <v>60076</v>
      </c>
      <c r="L428">
        <v>1153</v>
      </c>
      <c r="M428">
        <v>8</v>
      </c>
      <c r="N428">
        <v>1</v>
      </c>
      <c r="O428">
        <v>1</v>
      </c>
      <c r="P428" t="s">
        <v>18</v>
      </c>
      <c r="Q428">
        <v>3</v>
      </c>
      <c r="R428">
        <v>0</v>
      </c>
      <c r="S428" t="s">
        <v>19</v>
      </c>
      <c r="T428">
        <v>0</v>
      </c>
      <c r="U428">
        <v>0</v>
      </c>
    </row>
    <row r="429" spans="1:21" x14ac:dyDescent="0.25">
      <c r="A429">
        <v>9917796</v>
      </c>
      <c r="B429" t="s">
        <v>15</v>
      </c>
      <c r="C429" s="1">
        <v>43265</v>
      </c>
      <c r="D429" s="2">
        <f>YEAR(C429)</f>
        <v>2018</v>
      </c>
      <c r="E429">
        <v>282000</v>
      </c>
      <c r="F429" t="s">
        <v>85</v>
      </c>
      <c r="G429">
        <v>1955</v>
      </c>
      <c r="H429">
        <v>5020</v>
      </c>
      <c r="I429" t="s">
        <v>122</v>
      </c>
      <c r="J429">
        <v>76</v>
      </c>
      <c r="K429">
        <v>60077</v>
      </c>
      <c r="L429">
        <v>1144</v>
      </c>
      <c r="M429">
        <v>7</v>
      </c>
      <c r="N429">
        <v>1</v>
      </c>
      <c r="O429">
        <v>1</v>
      </c>
      <c r="P429" t="s">
        <v>18</v>
      </c>
      <c r="Q429">
        <v>3</v>
      </c>
      <c r="R429">
        <v>0</v>
      </c>
      <c r="S429" t="s">
        <v>22</v>
      </c>
      <c r="T429">
        <v>2</v>
      </c>
      <c r="U429">
        <v>0</v>
      </c>
    </row>
    <row r="430" spans="1:21" x14ac:dyDescent="0.25">
      <c r="A430">
        <v>10040107</v>
      </c>
      <c r="B430" t="s">
        <v>15</v>
      </c>
      <c r="C430" s="1">
        <v>43356</v>
      </c>
      <c r="D430" s="2">
        <f>YEAR(C430)</f>
        <v>2018</v>
      </c>
      <c r="E430">
        <v>292000</v>
      </c>
      <c r="F430" t="s">
        <v>85</v>
      </c>
      <c r="G430">
        <v>1955</v>
      </c>
      <c r="H430">
        <v>8235</v>
      </c>
      <c r="I430" t="s">
        <v>148</v>
      </c>
      <c r="J430">
        <v>76</v>
      </c>
      <c r="K430">
        <v>60076</v>
      </c>
      <c r="L430">
        <v>1128</v>
      </c>
      <c r="M430">
        <v>8</v>
      </c>
      <c r="N430">
        <v>2</v>
      </c>
      <c r="O430">
        <v>0</v>
      </c>
      <c r="P430" t="s">
        <v>18</v>
      </c>
      <c r="Q430">
        <v>3</v>
      </c>
      <c r="R430">
        <v>0</v>
      </c>
      <c r="S430" t="s">
        <v>22</v>
      </c>
      <c r="T430">
        <v>2</v>
      </c>
      <c r="U430">
        <v>0</v>
      </c>
    </row>
    <row r="431" spans="1:21" x14ac:dyDescent="0.25">
      <c r="A431">
        <v>9519400</v>
      </c>
      <c r="B431" t="s">
        <v>15</v>
      </c>
      <c r="C431" s="1">
        <v>42846</v>
      </c>
      <c r="D431" s="2">
        <f>YEAR(C431)</f>
        <v>2017</v>
      </c>
      <c r="E431">
        <v>281000</v>
      </c>
      <c r="F431" t="s">
        <v>85</v>
      </c>
      <c r="G431">
        <v>1955</v>
      </c>
      <c r="H431">
        <v>8339</v>
      </c>
      <c r="I431" t="s">
        <v>148</v>
      </c>
      <c r="J431">
        <v>76</v>
      </c>
      <c r="K431">
        <v>60076</v>
      </c>
      <c r="L431">
        <v>1064</v>
      </c>
      <c r="M431">
        <v>5</v>
      </c>
      <c r="N431">
        <v>1</v>
      </c>
      <c r="O431">
        <v>0</v>
      </c>
      <c r="P431" t="s">
        <v>18</v>
      </c>
      <c r="Q431">
        <v>2</v>
      </c>
      <c r="R431">
        <v>0</v>
      </c>
      <c r="S431" t="s">
        <v>19</v>
      </c>
      <c r="T431">
        <v>0</v>
      </c>
      <c r="U431">
        <v>0</v>
      </c>
    </row>
    <row r="432" spans="1:21" x14ac:dyDescent="0.25">
      <c r="A432">
        <v>9796532</v>
      </c>
      <c r="B432" t="s">
        <v>15</v>
      </c>
      <c r="C432" s="1">
        <v>43241</v>
      </c>
      <c r="D432" s="2">
        <f>YEAR(C432)</f>
        <v>2018</v>
      </c>
      <c r="E432">
        <v>245000</v>
      </c>
      <c r="F432" t="s">
        <v>85</v>
      </c>
      <c r="G432">
        <v>1955</v>
      </c>
      <c r="H432">
        <v>5045</v>
      </c>
      <c r="I432" t="s">
        <v>176</v>
      </c>
      <c r="J432">
        <v>76</v>
      </c>
      <c r="K432">
        <v>60077</v>
      </c>
      <c r="L432">
        <v>1040</v>
      </c>
      <c r="M432">
        <v>7</v>
      </c>
      <c r="N432">
        <v>1</v>
      </c>
      <c r="O432">
        <v>0</v>
      </c>
      <c r="P432" t="s">
        <v>18</v>
      </c>
      <c r="Q432">
        <v>3</v>
      </c>
      <c r="R432">
        <v>0</v>
      </c>
      <c r="S432" t="s">
        <v>22</v>
      </c>
      <c r="T432">
        <v>2</v>
      </c>
      <c r="U432">
        <v>0</v>
      </c>
    </row>
    <row r="433" spans="1:21" x14ac:dyDescent="0.25">
      <c r="A433">
        <v>9967970</v>
      </c>
      <c r="B433" t="s">
        <v>15</v>
      </c>
      <c r="C433" s="1">
        <v>43318</v>
      </c>
      <c r="D433" s="2">
        <f>YEAR(C433)</f>
        <v>2018</v>
      </c>
      <c r="E433">
        <v>279000</v>
      </c>
      <c r="F433" t="s">
        <v>85</v>
      </c>
      <c r="G433">
        <v>1955</v>
      </c>
      <c r="H433">
        <v>7609</v>
      </c>
      <c r="I433" t="s">
        <v>201</v>
      </c>
      <c r="J433">
        <v>76</v>
      </c>
      <c r="K433">
        <v>60077</v>
      </c>
      <c r="L433">
        <v>1008</v>
      </c>
      <c r="M433">
        <v>5</v>
      </c>
      <c r="N433">
        <v>2</v>
      </c>
      <c r="O433">
        <v>0</v>
      </c>
      <c r="P433" t="s">
        <v>18</v>
      </c>
      <c r="Q433">
        <v>2</v>
      </c>
      <c r="R433">
        <v>0</v>
      </c>
      <c r="S433" t="s">
        <v>22</v>
      </c>
      <c r="T433">
        <v>2</v>
      </c>
      <c r="U433">
        <v>0</v>
      </c>
    </row>
    <row r="434" spans="1:21" x14ac:dyDescent="0.25">
      <c r="A434">
        <v>9480961</v>
      </c>
      <c r="B434" t="s">
        <v>15</v>
      </c>
      <c r="C434" s="1">
        <v>42901</v>
      </c>
      <c r="D434" s="2">
        <f>YEAR(C434)</f>
        <v>2017</v>
      </c>
      <c r="E434">
        <v>304500</v>
      </c>
      <c r="F434" t="s">
        <v>85</v>
      </c>
      <c r="G434">
        <v>1955</v>
      </c>
      <c r="H434">
        <v>7617</v>
      </c>
      <c r="I434" t="s">
        <v>201</v>
      </c>
      <c r="J434">
        <v>76</v>
      </c>
      <c r="K434">
        <v>60077</v>
      </c>
      <c r="L434">
        <v>1008</v>
      </c>
      <c r="M434">
        <v>7</v>
      </c>
      <c r="N434">
        <v>2</v>
      </c>
      <c r="O434">
        <v>0</v>
      </c>
      <c r="P434" t="s">
        <v>18</v>
      </c>
      <c r="Q434">
        <v>2</v>
      </c>
      <c r="R434">
        <v>0</v>
      </c>
      <c r="S434" t="s">
        <v>22</v>
      </c>
      <c r="T434">
        <v>1.5</v>
      </c>
      <c r="U434">
        <v>0</v>
      </c>
    </row>
    <row r="435" spans="1:21" x14ac:dyDescent="0.25">
      <c r="A435">
        <v>10164332</v>
      </c>
      <c r="B435" t="s">
        <v>15</v>
      </c>
      <c r="C435" s="1">
        <v>43501</v>
      </c>
      <c r="D435" s="2">
        <f>YEAR(C435)</f>
        <v>2019</v>
      </c>
      <c r="E435">
        <v>225000</v>
      </c>
      <c r="F435" t="s">
        <v>85</v>
      </c>
      <c r="G435">
        <v>1955</v>
      </c>
      <c r="H435">
        <v>8427</v>
      </c>
      <c r="I435" t="s">
        <v>202</v>
      </c>
      <c r="J435">
        <v>76</v>
      </c>
      <c r="K435">
        <v>60076</v>
      </c>
      <c r="L435">
        <v>1000</v>
      </c>
      <c r="M435">
        <v>5</v>
      </c>
      <c r="N435">
        <v>1</v>
      </c>
      <c r="O435">
        <v>0</v>
      </c>
      <c r="P435" t="s">
        <v>18</v>
      </c>
      <c r="Q435">
        <v>3</v>
      </c>
      <c r="R435">
        <v>0</v>
      </c>
      <c r="S435" t="s">
        <v>22</v>
      </c>
      <c r="T435">
        <v>2</v>
      </c>
      <c r="U435">
        <v>0</v>
      </c>
    </row>
    <row r="436" spans="1:21" x14ac:dyDescent="0.25">
      <c r="A436">
        <v>9648583</v>
      </c>
      <c r="B436" t="s">
        <v>15</v>
      </c>
      <c r="C436" s="1">
        <v>42978</v>
      </c>
      <c r="D436" s="2">
        <f>YEAR(C436)</f>
        <v>2017</v>
      </c>
      <c r="E436">
        <v>715000</v>
      </c>
      <c r="F436" t="s">
        <v>85</v>
      </c>
      <c r="G436">
        <v>1955</v>
      </c>
      <c r="H436">
        <v>1179</v>
      </c>
      <c r="I436" t="s">
        <v>205</v>
      </c>
      <c r="J436">
        <v>62</v>
      </c>
      <c r="K436">
        <v>60062</v>
      </c>
      <c r="L436">
        <v>2896</v>
      </c>
      <c r="M436">
        <v>9</v>
      </c>
      <c r="N436">
        <v>3</v>
      </c>
      <c r="O436">
        <v>0</v>
      </c>
      <c r="P436" t="s">
        <v>18</v>
      </c>
      <c r="Q436">
        <v>5</v>
      </c>
      <c r="R436">
        <v>0</v>
      </c>
      <c r="S436" t="s">
        <v>21</v>
      </c>
      <c r="T436">
        <v>2</v>
      </c>
      <c r="U436">
        <v>0</v>
      </c>
    </row>
    <row r="437" spans="1:21" x14ac:dyDescent="0.25">
      <c r="A437">
        <v>9344122</v>
      </c>
      <c r="B437" t="s">
        <v>15</v>
      </c>
      <c r="C437" s="1">
        <v>42830</v>
      </c>
      <c r="D437" s="2">
        <f>YEAR(C437)</f>
        <v>2017</v>
      </c>
      <c r="E437">
        <v>415000</v>
      </c>
      <c r="F437" t="s">
        <v>85</v>
      </c>
      <c r="G437">
        <v>1955</v>
      </c>
      <c r="H437">
        <v>2259</v>
      </c>
      <c r="I437" t="s">
        <v>206</v>
      </c>
      <c r="J437">
        <v>62</v>
      </c>
      <c r="K437">
        <v>60062</v>
      </c>
      <c r="L437">
        <v>2544</v>
      </c>
      <c r="M437">
        <v>9</v>
      </c>
      <c r="N437">
        <v>2</v>
      </c>
      <c r="O437">
        <v>1</v>
      </c>
      <c r="P437" t="s">
        <v>18</v>
      </c>
      <c r="Q437">
        <v>3</v>
      </c>
      <c r="R437">
        <v>0</v>
      </c>
      <c r="S437" t="s">
        <v>21</v>
      </c>
      <c r="T437">
        <v>2</v>
      </c>
      <c r="U437">
        <v>0</v>
      </c>
    </row>
    <row r="438" spans="1:21" x14ac:dyDescent="0.25">
      <c r="A438">
        <v>9310717</v>
      </c>
      <c r="B438" t="s">
        <v>15</v>
      </c>
      <c r="C438" s="1">
        <v>42843</v>
      </c>
      <c r="D438" s="2">
        <f>YEAR(C438)</f>
        <v>2017</v>
      </c>
      <c r="E438">
        <v>475000</v>
      </c>
      <c r="F438" t="s">
        <v>85</v>
      </c>
      <c r="G438">
        <v>1955</v>
      </c>
      <c r="H438">
        <v>1181</v>
      </c>
      <c r="I438" t="s">
        <v>207</v>
      </c>
      <c r="J438">
        <v>62</v>
      </c>
      <c r="K438">
        <v>60062</v>
      </c>
      <c r="L438">
        <v>2300</v>
      </c>
      <c r="M438">
        <v>9</v>
      </c>
      <c r="N438">
        <v>2</v>
      </c>
      <c r="O438">
        <v>0</v>
      </c>
      <c r="P438" t="s">
        <v>18</v>
      </c>
      <c r="Q438">
        <v>4</v>
      </c>
      <c r="R438">
        <v>0</v>
      </c>
      <c r="S438" t="s">
        <v>21</v>
      </c>
      <c r="T438">
        <v>2</v>
      </c>
      <c r="U438">
        <v>0</v>
      </c>
    </row>
    <row r="439" spans="1:21" x14ac:dyDescent="0.25">
      <c r="A439">
        <v>9928306</v>
      </c>
      <c r="B439" t="s">
        <v>15</v>
      </c>
      <c r="C439" s="1">
        <v>43266</v>
      </c>
      <c r="D439" s="2">
        <f>YEAR(C439)</f>
        <v>2018</v>
      </c>
      <c r="E439">
        <v>435000</v>
      </c>
      <c r="F439" t="s">
        <v>85</v>
      </c>
      <c r="G439">
        <v>1955</v>
      </c>
      <c r="H439">
        <v>1007</v>
      </c>
      <c r="I439" t="s">
        <v>208</v>
      </c>
      <c r="J439">
        <v>62</v>
      </c>
      <c r="K439">
        <v>60062</v>
      </c>
      <c r="L439">
        <v>1752</v>
      </c>
      <c r="M439">
        <v>10</v>
      </c>
      <c r="N439">
        <v>2</v>
      </c>
      <c r="O439">
        <v>0</v>
      </c>
      <c r="P439" t="s">
        <v>18</v>
      </c>
      <c r="Q439">
        <v>3</v>
      </c>
      <c r="R439">
        <v>0</v>
      </c>
      <c r="S439" t="s">
        <v>21</v>
      </c>
      <c r="T439">
        <v>2</v>
      </c>
      <c r="U439">
        <v>0</v>
      </c>
    </row>
    <row r="440" spans="1:21" x14ac:dyDescent="0.25">
      <c r="A440">
        <v>10112392</v>
      </c>
      <c r="B440" t="s">
        <v>15</v>
      </c>
      <c r="C440" s="1">
        <v>43518</v>
      </c>
      <c r="D440" s="2">
        <f>YEAR(C440)</f>
        <v>2019</v>
      </c>
      <c r="E440">
        <v>222777</v>
      </c>
      <c r="F440" t="s">
        <v>85</v>
      </c>
      <c r="G440">
        <v>1955</v>
      </c>
      <c r="H440">
        <v>2006</v>
      </c>
      <c r="I440" t="s">
        <v>209</v>
      </c>
      <c r="J440">
        <v>62</v>
      </c>
      <c r="K440">
        <v>60062</v>
      </c>
      <c r="L440">
        <v>1662</v>
      </c>
      <c r="M440">
        <v>8</v>
      </c>
      <c r="N440">
        <v>1</v>
      </c>
      <c r="O440">
        <v>0</v>
      </c>
      <c r="P440" t="s">
        <v>18</v>
      </c>
      <c r="Q440">
        <v>3</v>
      </c>
      <c r="R440">
        <v>0</v>
      </c>
      <c r="S440" t="s">
        <v>21</v>
      </c>
      <c r="T440">
        <v>2</v>
      </c>
      <c r="U440">
        <v>0</v>
      </c>
    </row>
    <row r="441" spans="1:21" x14ac:dyDescent="0.25">
      <c r="A441">
        <v>9563342</v>
      </c>
      <c r="B441" t="s">
        <v>15</v>
      </c>
      <c r="C441" s="1">
        <v>42860</v>
      </c>
      <c r="D441" s="2">
        <f>YEAR(C441)</f>
        <v>2017</v>
      </c>
      <c r="E441">
        <v>480000</v>
      </c>
      <c r="F441" t="s">
        <v>85</v>
      </c>
      <c r="G441">
        <v>1955</v>
      </c>
      <c r="H441">
        <v>1305</v>
      </c>
      <c r="I441" t="s">
        <v>210</v>
      </c>
      <c r="J441">
        <v>62</v>
      </c>
      <c r="K441">
        <v>60062</v>
      </c>
      <c r="L441">
        <v>1632</v>
      </c>
      <c r="M441">
        <v>7</v>
      </c>
      <c r="N441">
        <v>2</v>
      </c>
      <c r="O441">
        <v>0</v>
      </c>
      <c r="P441" t="s">
        <v>18</v>
      </c>
      <c r="Q441">
        <v>3</v>
      </c>
      <c r="R441">
        <v>0</v>
      </c>
      <c r="S441" t="s">
        <v>22</v>
      </c>
      <c r="T441">
        <v>2</v>
      </c>
      <c r="U441">
        <v>0</v>
      </c>
    </row>
    <row r="442" spans="1:21" x14ac:dyDescent="0.25">
      <c r="A442">
        <v>9591779</v>
      </c>
      <c r="B442" t="s">
        <v>15</v>
      </c>
      <c r="C442" s="1">
        <v>42887</v>
      </c>
      <c r="D442" s="2">
        <f>YEAR(C442)</f>
        <v>2017</v>
      </c>
      <c r="E442">
        <v>453500</v>
      </c>
      <c r="F442" t="s">
        <v>85</v>
      </c>
      <c r="G442">
        <v>1955</v>
      </c>
      <c r="H442">
        <v>1709</v>
      </c>
      <c r="I442" t="s">
        <v>211</v>
      </c>
      <c r="J442">
        <v>62</v>
      </c>
      <c r="K442">
        <v>60062</v>
      </c>
      <c r="L442">
        <v>1326</v>
      </c>
      <c r="M442">
        <v>8</v>
      </c>
      <c r="N442">
        <v>2</v>
      </c>
      <c r="O442">
        <v>0</v>
      </c>
      <c r="P442" t="s">
        <v>18</v>
      </c>
      <c r="Q442">
        <v>4</v>
      </c>
      <c r="R442">
        <v>0</v>
      </c>
      <c r="S442" t="s">
        <v>21</v>
      </c>
      <c r="T442">
        <v>1</v>
      </c>
      <c r="U442">
        <v>0</v>
      </c>
    </row>
    <row r="443" spans="1:21" x14ac:dyDescent="0.25">
      <c r="A443">
        <v>9996456</v>
      </c>
      <c r="B443" t="s">
        <v>15</v>
      </c>
      <c r="C443" s="1">
        <v>43327</v>
      </c>
      <c r="D443" s="2">
        <f>YEAR(C443)</f>
        <v>2018</v>
      </c>
      <c r="E443">
        <v>285000</v>
      </c>
      <c r="F443" t="s">
        <v>85</v>
      </c>
      <c r="G443">
        <v>1955</v>
      </c>
      <c r="H443">
        <v>1729</v>
      </c>
      <c r="I443" t="s">
        <v>172</v>
      </c>
      <c r="J443">
        <v>62</v>
      </c>
      <c r="K443">
        <v>60062</v>
      </c>
      <c r="L443">
        <v>1237</v>
      </c>
      <c r="M443">
        <v>7</v>
      </c>
      <c r="N443">
        <v>1</v>
      </c>
      <c r="O443">
        <v>0</v>
      </c>
      <c r="P443" t="s">
        <v>18</v>
      </c>
      <c r="Q443">
        <v>3</v>
      </c>
      <c r="R443">
        <v>0</v>
      </c>
      <c r="S443" t="s">
        <v>21</v>
      </c>
      <c r="T443">
        <v>1</v>
      </c>
      <c r="U443">
        <v>0</v>
      </c>
    </row>
    <row r="444" spans="1:21" x14ac:dyDescent="0.25">
      <c r="A444">
        <v>9385310</v>
      </c>
      <c r="B444" t="s">
        <v>15</v>
      </c>
      <c r="C444" s="1">
        <v>42822</v>
      </c>
      <c r="D444" s="2">
        <f>YEAR(C444)</f>
        <v>2017</v>
      </c>
      <c r="E444">
        <v>288000</v>
      </c>
      <c r="F444" t="s">
        <v>85</v>
      </c>
      <c r="G444">
        <v>1955</v>
      </c>
      <c r="H444">
        <v>1733</v>
      </c>
      <c r="I444" t="s">
        <v>212</v>
      </c>
      <c r="J444">
        <v>62</v>
      </c>
      <c r="K444">
        <v>60062</v>
      </c>
      <c r="L444">
        <v>1193</v>
      </c>
      <c r="M444">
        <v>8</v>
      </c>
      <c r="N444">
        <v>1</v>
      </c>
      <c r="O444">
        <v>0</v>
      </c>
      <c r="P444" t="s">
        <v>18</v>
      </c>
      <c r="Q444">
        <v>2</v>
      </c>
      <c r="R444">
        <v>0</v>
      </c>
      <c r="S444" t="s">
        <v>21</v>
      </c>
      <c r="T444">
        <v>1</v>
      </c>
      <c r="U444">
        <v>0</v>
      </c>
    </row>
    <row r="445" spans="1:21" x14ac:dyDescent="0.25">
      <c r="A445">
        <v>9611683</v>
      </c>
      <c r="B445" t="s">
        <v>15</v>
      </c>
      <c r="C445" s="1">
        <v>42916</v>
      </c>
      <c r="D445" s="2">
        <f>YEAR(C445)</f>
        <v>2017</v>
      </c>
      <c r="E445">
        <v>545000</v>
      </c>
      <c r="F445" t="s">
        <v>85</v>
      </c>
      <c r="G445">
        <v>1956</v>
      </c>
      <c r="H445">
        <v>9201</v>
      </c>
      <c r="I445" t="s">
        <v>123</v>
      </c>
      <c r="J445">
        <v>76</v>
      </c>
      <c r="K445">
        <v>60076</v>
      </c>
      <c r="L445">
        <v>2600</v>
      </c>
      <c r="M445">
        <v>9</v>
      </c>
      <c r="N445">
        <v>3</v>
      </c>
      <c r="O445">
        <v>0</v>
      </c>
      <c r="P445" t="s">
        <v>18</v>
      </c>
      <c r="Q445">
        <v>5</v>
      </c>
      <c r="R445">
        <v>0</v>
      </c>
      <c r="S445" t="s">
        <v>21</v>
      </c>
      <c r="T445">
        <v>2</v>
      </c>
      <c r="U445">
        <v>0</v>
      </c>
    </row>
    <row r="446" spans="1:21" x14ac:dyDescent="0.25">
      <c r="A446">
        <v>9693337</v>
      </c>
      <c r="B446" t="s">
        <v>15</v>
      </c>
      <c r="C446" s="1">
        <v>42965</v>
      </c>
      <c r="D446" s="2">
        <f>YEAR(C446)</f>
        <v>2017</v>
      </c>
      <c r="E446">
        <v>329900</v>
      </c>
      <c r="F446" t="s">
        <v>85</v>
      </c>
      <c r="G446">
        <v>1956</v>
      </c>
      <c r="H446">
        <v>4027</v>
      </c>
      <c r="I446" t="s">
        <v>213</v>
      </c>
      <c r="J446">
        <v>76</v>
      </c>
      <c r="K446">
        <v>60076</v>
      </c>
      <c r="L446">
        <v>2000</v>
      </c>
      <c r="M446">
        <v>6</v>
      </c>
      <c r="N446">
        <v>1</v>
      </c>
      <c r="O446">
        <v>1</v>
      </c>
      <c r="P446" t="s">
        <v>18</v>
      </c>
      <c r="Q446">
        <v>3</v>
      </c>
      <c r="R446">
        <v>0</v>
      </c>
      <c r="S446" t="s">
        <v>21</v>
      </c>
      <c r="T446">
        <v>1</v>
      </c>
      <c r="U446">
        <v>0</v>
      </c>
    </row>
    <row r="447" spans="1:21" x14ac:dyDescent="0.25">
      <c r="A447">
        <v>9879479</v>
      </c>
      <c r="B447" t="s">
        <v>15</v>
      </c>
      <c r="C447" s="1">
        <v>43230</v>
      </c>
      <c r="D447" s="2">
        <f>YEAR(C447)</f>
        <v>2018</v>
      </c>
      <c r="E447">
        <v>337000</v>
      </c>
      <c r="F447" t="s">
        <v>85</v>
      </c>
      <c r="G447">
        <v>1956</v>
      </c>
      <c r="H447">
        <v>8655</v>
      </c>
      <c r="I447" t="s">
        <v>71</v>
      </c>
      <c r="J447">
        <v>76</v>
      </c>
      <c r="K447">
        <v>60077</v>
      </c>
      <c r="L447">
        <v>1872</v>
      </c>
      <c r="M447">
        <v>8</v>
      </c>
      <c r="N447">
        <v>1</v>
      </c>
      <c r="O447">
        <v>1</v>
      </c>
      <c r="P447" t="s">
        <v>18</v>
      </c>
      <c r="Q447">
        <v>3</v>
      </c>
      <c r="R447">
        <v>0</v>
      </c>
      <c r="S447" t="s">
        <v>22</v>
      </c>
      <c r="T447">
        <v>1</v>
      </c>
      <c r="U447">
        <v>0</v>
      </c>
    </row>
    <row r="448" spans="1:21" x14ac:dyDescent="0.25">
      <c r="A448">
        <v>10072679</v>
      </c>
      <c r="B448" t="s">
        <v>15</v>
      </c>
      <c r="C448" s="1">
        <v>43399</v>
      </c>
      <c r="D448" s="2">
        <f>YEAR(C448)</f>
        <v>2018</v>
      </c>
      <c r="E448">
        <v>465000</v>
      </c>
      <c r="F448" t="s">
        <v>85</v>
      </c>
      <c r="G448">
        <v>1956</v>
      </c>
      <c r="H448">
        <v>7038</v>
      </c>
      <c r="I448" t="s">
        <v>214</v>
      </c>
      <c r="J448">
        <v>76</v>
      </c>
      <c r="K448">
        <v>60077</v>
      </c>
      <c r="L448">
        <v>1665</v>
      </c>
      <c r="M448">
        <v>8</v>
      </c>
      <c r="N448">
        <v>2</v>
      </c>
      <c r="O448">
        <v>0</v>
      </c>
      <c r="P448" t="s">
        <v>18</v>
      </c>
      <c r="Q448">
        <v>3</v>
      </c>
      <c r="R448">
        <v>0</v>
      </c>
      <c r="S448" t="s">
        <v>21</v>
      </c>
      <c r="T448">
        <v>2</v>
      </c>
      <c r="U448">
        <v>0</v>
      </c>
    </row>
    <row r="449" spans="1:21" x14ac:dyDescent="0.25">
      <c r="A449">
        <v>9646427</v>
      </c>
      <c r="B449" t="s">
        <v>15</v>
      </c>
      <c r="C449" s="1">
        <v>42993</v>
      </c>
      <c r="D449" s="2">
        <f>YEAR(C449)</f>
        <v>2017</v>
      </c>
      <c r="E449">
        <v>425000</v>
      </c>
      <c r="F449" t="s">
        <v>85</v>
      </c>
      <c r="G449">
        <v>1956</v>
      </c>
      <c r="H449">
        <v>5156</v>
      </c>
      <c r="I449" t="s">
        <v>215</v>
      </c>
      <c r="J449">
        <v>76</v>
      </c>
      <c r="K449">
        <v>60077</v>
      </c>
      <c r="L449">
        <v>1631</v>
      </c>
      <c r="M449">
        <v>8</v>
      </c>
      <c r="N449">
        <v>2</v>
      </c>
      <c r="O449">
        <v>0</v>
      </c>
      <c r="P449" t="s">
        <v>18</v>
      </c>
      <c r="Q449">
        <v>3</v>
      </c>
      <c r="R449">
        <v>0</v>
      </c>
      <c r="S449" t="s">
        <v>21</v>
      </c>
      <c r="T449">
        <v>2</v>
      </c>
      <c r="U449">
        <v>0</v>
      </c>
    </row>
    <row r="450" spans="1:21" x14ac:dyDescent="0.25">
      <c r="A450">
        <v>9499193</v>
      </c>
      <c r="B450" t="s">
        <v>15</v>
      </c>
      <c r="C450" s="1">
        <v>42907</v>
      </c>
      <c r="D450" s="2">
        <f>YEAR(C450)</f>
        <v>2017</v>
      </c>
      <c r="E450">
        <v>380000</v>
      </c>
      <c r="F450" t="s">
        <v>85</v>
      </c>
      <c r="G450">
        <v>1956</v>
      </c>
      <c r="H450">
        <v>7401</v>
      </c>
      <c r="I450" t="s">
        <v>17</v>
      </c>
      <c r="J450">
        <v>76</v>
      </c>
      <c r="K450">
        <v>60077</v>
      </c>
      <c r="L450">
        <v>1624</v>
      </c>
      <c r="M450">
        <v>8</v>
      </c>
      <c r="N450">
        <v>1</v>
      </c>
      <c r="O450">
        <v>1</v>
      </c>
      <c r="P450" t="s">
        <v>18</v>
      </c>
      <c r="Q450">
        <v>3</v>
      </c>
      <c r="R450">
        <v>1</v>
      </c>
      <c r="S450" t="s">
        <v>21</v>
      </c>
      <c r="T450">
        <v>2</v>
      </c>
      <c r="U450">
        <v>0</v>
      </c>
    </row>
    <row r="451" spans="1:21" x14ac:dyDescent="0.25">
      <c r="A451">
        <v>9807973</v>
      </c>
      <c r="B451" t="s">
        <v>15</v>
      </c>
      <c r="C451" s="1">
        <v>43125</v>
      </c>
      <c r="D451" s="2">
        <f>YEAR(C451)</f>
        <v>2018</v>
      </c>
      <c r="E451">
        <v>400000</v>
      </c>
      <c r="F451" t="s">
        <v>85</v>
      </c>
      <c r="G451">
        <v>1956</v>
      </c>
      <c r="H451">
        <v>3844</v>
      </c>
      <c r="I451" t="s">
        <v>216</v>
      </c>
      <c r="J451">
        <v>76</v>
      </c>
      <c r="K451">
        <v>60076</v>
      </c>
      <c r="L451">
        <v>1523</v>
      </c>
      <c r="M451">
        <v>7</v>
      </c>
      <c r="N451">
        <v>2</v>
      </c>
      <c r="O451">
        <v>1</v>
      </c>
      <c r="P451" t="s">
        <v>18</v>
      </c>
      <c r="Q451">
        <v>3</v>
      </c>
      <c r="R451">
        <v>0</v>
      </c>
      <c r="S451" t="s">
        <v>21</v>
      </c>
      <c r="T451">
        <v>1</v>
      </c>
      <c r="U451">
        <v>0</v>
      </c>
    </row>
    <row r="452" spans="1:21" x14ac:dyDescent="0.25">
      <c r="A452">
        <v>10106275</v>
      </c>
      <c r="B452" t="s">
        <v>15</v>
      </c>
      <c r="C452" s="1">
        <v>43419</v>
      </c>
      <c r="D452" s="2">
        <f>YEAR(C452)</f>
        <v>2018</v>
      </c>
      <c r="E452">
        <v>230000</v>
      </c>
      <c r="F452" t="s">
        <v>85</v>
      </c>
      <c r="G452">
        <v>1956</v>
      </c>
      <c r="H452">
        <v>8710</v>
      </c>
      <c r="I452" t="s">
        <v>217</v>
      </c>
      <c r="J452">
        <v>76</v>
      </c>
      <c r="K452">
        <v>60076</v>
      </c>
      <c r="L452">
        <v>1512</v>
      </c>
      <c r="M452">
        <v>7</v>
      </c>
      <c r="N452">
        <v>1</v>
      </c>
      <c r="O452">
        <v>1</v>
      </c>
      <c r="P452" t="s">
        <v>18</v>
      </c>
      <c r="Q452">
        <v>3</v>
      </c>
      <c r="R452">
        <v>0</v>
      </c>
      <c r="S452" t="s">
        <v>19</v>
      </c>
      <c r="T452">
        <v>0</v>
      </c>
      <c r="U452">
        <v>0</v>
      </c>
    </row>
    <row r="453" spans="1:21" x14ac:dyDescent="0.25">
      <c r="A453">
        <v>9697902</v>
      </c>
      <c r="B453" t="s">
        <v>15</v>
      </c>
      <c r="C453" s="1">
        <v>43003</v>
      </c>
      <c r="D453" s="2">
        <f>YEAR(C453)</f>
        <v>2017</v>
      </c>
      <c r="E453">
        <v>280000</v>
      </c>
      <c r="F453" t="s">
        <v>85</v>
      </c>
      <c r="G453">
        <v>1956</v>
      </c>
      <c r="H453">
        <v>8439</v>
      </c>
      <c r="I453" t="s">
        <v>135</v>
      </c>
      <c r="J453">
        <v>76</v>
      </c>
      <c r="K453">
        <v>60076</v>
      </c>
      <c r="L453">
        <v>1414</v>
      </c>
      <c r="M453">
        <v>7</v>
      </c>
      <c r="N453">
        <v>2</v>
      </c>
      <c r="O453">
        <v>0</v>
      </c>
      <c r="P453" t="s">
        <v>18</v>
      </c>
      <c r="Q453">
        <v>3</v>
      </c>
      <c r="R453">
        <v>0</v>
      </c>
      <c r="S453" t="s">
        <v>22</v>
      </c>
      <c r="T453">
        <v>2</v>
      </c>
      <c r="U453">
        <v>0</v>
      </c>
    </row>
    <row r="454" spans="1:21" x14ac:dyDescent="0.25">
      <c r="A454">
        <v>9829655</v>
      </c>
      <c r="B454" t="s">
        <v>15</v>
      </c>
      <c r="C454" s="1">
        <v>43157</v>
      </c>
      <c r="D454" s="2">
        <f>YEAR(C454)</f>
        <v>2018</v>
      </c>
      <c r="E454">
        <v>295000</v>
      </c>
      <c r="F454" t="s">
        <v>85</v>
      </c>
      <c r="G454">
        <v>1956</v>
      </c>
      <c r="H454">
        <v>8635</v>
      </c>
      <c r="I454" t="s">
        <v>71</v>
      </c>
      <c r="J454">
        <v>76</v>
      </c>
      <c r="K454">
        <v>60077</v>
      </c>
      <c r="L454">
        <v>1367</v>
      </c>
      <c r="M454">
        <v>7</v>
      </c>
      <c r="N454">
        <v>1</v>
      </c>
      <c r="O454">
        <v>1</v>
      </c>
      <c r="P454" t="s">
        <v>18</v>
      </c>
      <c r="Q454">
        <v>3</v>
      </c>
      <c r="R454">
        <v>0</v>
      </c>
      <c r="S454" t="s">
        <v>22</v>
      </c>
      <c r="T454">
        <v>2</v>
      </c>
      <c r="U454">
        <v>0</v>
      </c>
    </row>
    <row r="455" spans="1:21" x14ac:dyDescent="0.25">
      <c r="A455">
        <v>9523271</v>
      </c>
      <c r="B455" t="s">
        <v>15</v>
      </c>
      <c r="C455" s="1">
        <v>42856</v>
      </c>
      <c r="D455" s="2">
        <f>YEAR(C455)</f>
        <v>2017</v>
      </c>
      <c r="E455">
        <v>299000</v>
      </c>
      <c r="F455" t="s">
        <v>85</v>
      </c>
      <c r="G455">
        <v>1956</v>
      </c>
      <c r="H455">
        <v>8330</v>
      </c>
      <c r="I455" t="s">
        <v>135</v>
      </c>
      <c r="J455">
        <v>76</v>
      </c>
      <c r="K455">
        <v>60076</v>
      </c>
      <c r="L455">
        <v>1300</v>
      </c>
      <c r="M455">
        <v>6</v>
      </c>
      <c r="N455">
        <v>2</v>
      </c>
      <c r="O455">
        <v>0</v>
      </c>
      <c r="P455" t="s">
        <v>18</v>
      </c>
      <c r="Q455">
        <v>2</v>
      </c>
      <c r="R455">
        <v>0</v>
      </c>
      <c r="S455" t="s">
        <v>22</v>
      </c>
      <c r="T455">
        <v>2.5</v>
      </c>
      <c r="U455">
        <v>0</v>
      </c>
    </row>
    <row r="456" spans="1:21" x14ac:dyDescent="0.25">
      <c r="A456">
        <v>9991496</v>
      </c>
      <c r="B456" t="s">
        <v>15</v>
      </c>
      <c r="C456" s="1">
        <v>43311</v>
      </c>
      <c r="D456" s="2">
        <f>YEAR(C456)</f>
        <v>2018</v>
      </c>
      <c r="E456">
        <v>252000</v>
      </c>
      <c r="F456" t="s">
        <v>85</v>
      </c>
      <c r="G456">
        <v>1956</v>
      </c>
      <c r="H456">
        <v>9320</v>
      </c>
      <c r="I456" t="s">
        <v>107</v>
      </c>
      <c r="J456">
        <v>76</v>
      </c>
      <c r="K456">
        <v>60076</v>
      </c>
      <c r="L456">
        <v>1242</v>
      </c>
      <c r="M456">
        <v>6</v>
      </c>
      <c r="N456">
        <v>1</v>
      </c>
      <c r="O456">
        <v>1</v>
      </c>
      <c r="P456" t="s">
        <v>18</v>
      </c>
      <c r="Q456">
        <v>3</v>
      </c>
      <c r="R456">
        <v>0</v>
      </c>
      <c r="S456" t="s">
        <v>19</v>
      </c>
      <c r="T456">
        <v>0</v>
      </c>
      <c r="U456">
        <v>0</v>
      </c>
    </row>
    <row r="457" spans="1:21" x14ac:dyDescent="0.25">
      <c r="A457">
        <v>10052447</v>
      </c>
      <c r="B457" t="s">
        <v>15</v>
      </c>
      <c r="C457" s="1">
        <v>43397</v>
      </c>
      <c r="D457" s="2">
        <f>YEAR(C457)</f>
        <v>2018</v>
      </c>
      <c r="E457">
        <v>235000</v>
      </c>
      <c r="F457" t="s">
        <v>85</v>
      </c>
      <c r="G457">
        <v>1956</v>
      </c>
      <c r="H457">
        <v>9639</v>
      </c>
      <c r="I457" t="s">
        <v>112</v>
      </c>
      <c r="J457">
        <v>76</v>
      </c>
      <c r="K457">
        <v>60076</v>
      </c>
      <c r="L457">
        <v>1204</v>
      </c>
      <c r="M457">
        <v>6</v>
      </c>
      <c r="N457">
        <v>1</v>
      </c>
      <c r="O457">
        <v>0</v>
      </c>
      <c r="P457" t="s">
        <v>18</v>
      </c>
      <c r="Q457">
        <v>3</v>
      </c>
      <c r="R457">
        <v>0</v>
      </c>
      <c r="S457" t="s">
        <v>21</v>
      </c>
      <c r="T457">
        <v>1</v>
      </c>
      <c r="U457">
        <v>0</v>
      </c>
    </row>
    <row r="458" spans="1:21" x14ac:dyDescent="0.25">
      <c r="A458">
        <v>9939878</v>
      </c>
      <c r="B458" t="s">
        <v>15</v>
      </c>
      <c r="C458" s="1">
        <v>43284</v>
      </c>
      <c r="D458" s="2">
        <f>YEAR(C458)</f>
        <v>2018</v>
      </c>
      <c r="E458">
        <v>317500</v>
      </c>
      <c r="F458" t="s">
        <v>85</v>
      </c>
      <c r="G458">
        <v>1956</v>
      </c>
      <c r="H458">
        <v>4450</v>
      </c>
      <c r="I458" t="s">
        <v>218</v>
      </c>
      <c r="J458">
        <v>76</v>
      </c>
      <c r="K458">
        <v>60076</v>
      </c>
      <c r="L458">
        <v>1197</v>
      </c>
      <c r="M458">
        <v>9</v>
      </c>
      <c r="N458">
        <v>2</v>
      </c>
      <c r="O458">
        <v>0</v>
      </c>
      <c r="P458" t="s">
        <v>18</v>
      </c>
      <c r="Q458">
        <v>3</v>
      </c>
      <c r="R458">
        <v>0</v>
      </c>
      <c r="S458" t="s">
        <v>22</v>
      </c>
      <c r="T458">
        <v>2</v>
      </c>
      <c r="U458">
        <v>0</v>
      </c>
    </row>
    <row r="459" spans="1:21" x14ac:dyDescent="0.25">
      <c r="A459">
        <v>9817751</v>
      </c>
      <c r="B459" t="s">
        <v>15</v>
      </c>
      <c r="C459" s="1">
        <v>43165</v>
      </c>
      <c r="D459" s="2">
        <f>YEAR(C459)</f>
        <v>2018</v>
      </c>
      <c r="E459">
        <v>250000</v>
      </c>
      <c r="F459" t="s">
        <v>85</v>
      </c>
      <c r="G459">
        <v>1956</v>
      </c>
      <c r="H459">
        <v>5206</v>
      </c>
      <c r="I459" t="s">
        <v>219</v>
      </c>
      <c r="J459">
        <v>76</v>
      </c>
      <c r="K459">
        <v>60077</v>
      </c>
      <c r="L459">
        <v>1184</v>
      </c>
      <c r="M459">
        <v>7</v>
      </c>
      <c r="N459">
        <v>1</v>
      </c>
      <c r="O459">
        <v>1</v>
      </c>
      <c r="P459" t="s">
        <v>18</v>
      </c>
      <c r="Q459">
        <v>3</v>
      </c>
      <c r="R459">
        <v>0</v>
      </c>
      <c r="S459" t="s">
        <v>22</v>
      </c>
      <c r="T459">
        <v>2</v>
      </c>
      <c r="U459">
        <v>0</v>
      </c>
    </row>
    <row r="460" spans="1:21" x14ac:dyDescent="0.25">
      <c r="A460">
        <v>9372632</v>
      </c>
      <c r="B460" t="s">
        <v>15</v>
      </c>
      <c r="C460" s="1">
        <v>42800</v>
      </c>
      <c r="D460" s="2">
        <f>YEAR(C460)</f>
        <v>2017</v>
      </c>
      <c r="E460">
        <v>270000</v>
      </c>
      <c r="F460" t="s">
        <v>85</v>
      </c>
      <c r="G460">
        <v>1956</v>
      </c>
      <c r="H460">
        <v>7734</v>
      </c>
      <c r="I460" t="s">
        <v>89</v>
      </c>
      <c r="J460">
        <v>76</v>
      </c>
      <c r="K460">
        <v>60076</v>
      </c>
      <c r="L460">
        <v>1183</v>
      </c>
      <c r="M460">
        <v>7</v>
      </c>
      <c r="N460">
        <v>2</v>
      </c>
      <c r="O460">
        <v>0</v>
      </c>
      <c r="P460" t="s">
        <v>18</v>
      </c>
      <c r="Q460">
        <v>3</v>
      </c>
      <c r="R460">
        <v>0</v>
      </c>
      <c r="S460" t="s">
        <v>22</v>
      </c>
      <c r="T460">
        <v>2</v>
      </c>
      <c r="U460">
        <v>0</v>
      </c>
    </row>
    <row r="461" spans="1:21" x14ac:dyDescent="0.25">
      <c r="A461">
        <v>9631278</v>
      </c>
      <c r="B461" t="s">
        <v>15</v>
      </c>
      <c r="C461" s="1">
        <v>42909</v>
      </c>
      <c r="D461" s="2">
        <f>YEAR(C461)</f>
        <v>2017</v>
      </c>
      <c r="E461">
        <v>287000</v>
      </c>
      <c r="F461" t="s">
        <v>85</v>
      </c>
      <c r="G461">
        <v>1956</v>
      </c>
      <c r="H461">
        <v>4513</v>
      </c>
      <c r="I461" t="s">
        <v>38</v>
      </c>
      <c r="J461">
        <v>76</v>
      </c>
      <c r="K461">
        <v>60076</v>
      </c>
      <c r="L461">
        <v>1179</v>
      </c>
      <c r="M461">
        <v>6</v>
      </c>
      <c r="N461">
        <v>1</v>
      </c>
      <c r="O461">
        <v>1</v>
      </c>
      <c r="P461" t="s">
        <v>18</v>
      </c>
      <c r="Q461">
        <v>3</v>
      </c>
      <c r="R461">
        <v>0</v>
      </c>
      <c r="S461" t="s">
        <v>22</v>
      </c>
      <c r="T461">
        <v>2.5</v>
      </c>
      <c r="U461">
        <v>0</v>
      </c>
    </row>
    <row r="462" spans="1:21" x14ac:dyDescent="0.25">
      <c r="A462">
        <v>9494472</v>
      </c>
      <c r="B462" t="s">
        <v>15</v>
      </c>
      <c r="C462" s="1">
        <v>42832</v>
      </c>
      <c r="D462" s="2">
        <f>YEAR(C462)</f>
        <v>2017</v>
      </c>
      <c r="E462">
        <v>298000</v>
      </c>
      <c r="F462" t="s">
        <v>85</v>
      </c>
      <c r="G462">
        <v>1956</v>
      </c>
      <c r="H462">
        <v>9413</v>
      </c>
      <c r="I462" t="s">
        <v>33</v>
      </c>
      <c r="J462">
        <v>76</v>
      </c>
      <c r="K462">
        <v>60077</v>
      </c>
      <c r="L462">
        <v>1144</v>
      </c>
      <c r="M462">
        <v>9</v>
      </c>
      <c r="N462">
        <v>1</v>
      </c>
      <c r="O462">
        <v>1</v>
      </c>
      <c r="P462" t="s">
        <v>18</v>
      </c>
      <c r="Q462">
        <v>3</v>
      </c>
      <c r="R462">
        <v>0</v>
      </c>
      <c r="S462" t="s">
        <v>22</v>
      </c>
      <c r="T462">
        <v>2</v>
      </c>
      <c r="U462">
        <v>0</v>
      </c>
    </row>
    <row r="463" spans="1:21" x14ac:dyDescent="0.25">
      <c r="A463">
        <v>9969530</v>
      </c>
      <c r="B463" t="s">
        <v>15</v>
      </c>
      <c r="C463" s="1">
        <v>43340</v>
      </c>
      <c r="D463" s="2">
        <f>YEAR(C463)</f>
        <v>2018</v>
      </c>
      <c r="E463">
        <v>266000</v>
      </c>
      <c r="F463" t="s">
        <v>85</v>
      </c>
      <c r="G463">
        <v>1956</v>
      </c>
      <c r="H463">
        <v>9436</v>
      </c>
      <c r="I463" t="s">
        <v>53</v>
      </c>
      <c r="J463">
        <v>76</v>
      </c>
      <c r="K463">
        <v>60077</v>
      </c>
      <c r="L463">
        <v>1131</v>
      </c>
      <c r="M463">
        <v>6</v>
      </c>
      <c r="N463">
        <v>1</v>
      </c>
      <c r="O463">
        <v>0</v>
      </c>
      <c r="P463" t="s">
        <v>18</v>
      </c>
      <c r="Q463">
        <v>3</v>
      </c>
      <c r="R463">
        <v>0</v>
      </c>
      <c r="S463" t="s">
        <v>22</v>
      </c>
      <c r="T463">
        <v>2</v>
      </c>
      <c r="U463">
        <v>0</v>
      </c>
    </row>
    <row r="464" spans="1:21" x14ac:dyDescent="0.25">
      <c r="A464">
        <v>9630518</v>
      </c>
      <c r="B464" t="s">
        <v>15</v>
      </c>
      <c r="C464" s="1">
        <v>42927</v>
      </c>
      <c r="D464" s="2">
        <f>YEAR(C464)</f>
        <v>2017</v>
      </c>
      <c r="E464">
        <v>277500</v>
      </c>
      <c r="F464" t="s">
        <v>85</v>
      </c>
      <c r="G464">
        <v>1956</v>
      </c>
      <c r="H464">
        <v>8637</v>
      </c>
      <c r="I464" t="s">
        <v>175</v>
      </c>
      <c r="J464">
        <v>76</v>
      </c>
      <c r="K464">
        <v>60076</v>
      </c>
      <c r="L464">
        <v>1040</v>
      </c>
      <c r="M464">
        <v>6</v>
      </c>
      <c r="N464">
        <v>2</v>
      </c>
      <c r="O464">
        <v>0</v>
      </c>
      <c r="P464" t="s">
        <v>18</v>
      </c>
      <c r="Q464">
        <v>3</v>
      </c>
      <c r="R464">
        <v>0</v>
      </c>
      <c r="S464" t="s">
        <v>22</v>
      </c>
      <c r="T464">
        <v>2</v>
      </c>
      <c r="U464">
        <v>0</v>
      </c>
    </row>
    <row r="465" spans="1:21" x14ac:dyDescent="0.25">
      <c r="A465">
        <v>9699770</v>
      </c>
      <c r="B465" t="s">
        <v>15</v>
      </c>
      <c r="C465" s="1">
        <v>43007</v>
      </c>
      <c r="D465" s="2">
        <f>YEAR(C465)</f>
        <v>2017</v>
      </c>
      <c r="E465">
        <v>259000</v>
      </c>
      <c r="F465" t="s">
        <v>85</v>
      </c>
      <c r="G465">
        <v>1956</v>
      </c>
      <c r="H465">
        <v>8238</v>
      </c>
      <c r="I465" t="s">
        <v>202</v>
      </c>
      <c r="J465">
        <v>76</v>
      </c>
      <c r="K465">
        <v>60076</v>
      </c>
      <c r="L465">
        <v>1025</v>
      </c>
      <c r="M465">
        <v>5</v>
      </c>
      <c r="N465">
        <v>1</v>
      </c>
      <c r="O465">
        <v>0</v>
      </c>
      <c r="P465" t="s">
        <v>18</v>
      </c>
      <c r="Q465">
        <v>3</v>
      </c>
      <c r="R465">
        <v>0</v>
      </c>
      <c r="S465" t="s">
        <v>22</v>
      </c>
      <c r="T465">
        <v>2</v>
      </c>
      <c r="U465">
        <v>0</v>
      </c>
    </row>
    <row r="466" spans="1:21" x14ac:dyDescent="0.25">
      <c r="A466">
        <v>9974349</v>
      </c>
      <c r="B466" t="s">
        <v>15</v>
      </c>
      <c r="C466" s="1">
        <v>43335</v>
      </c>
      <c r="D466" s="2">
        <f>YEAR(C466)</f>
        <v>2018</v>
      </c>
      <c r="E466">
        <v>250000</v>
      </c>
      <c r="F466" t="s">
        <v>85</v>
      </c>
      <c r="G466">
        <v>1956</v>
      </c>
      <c r="H466">
        <v>4943</v>
      </c>
      <c r="I466" t="s">
        <v>220</v>
      </c>
      <c r="J466">
        <v>76</v>
      </c>
      <c r="K466">
        <v>60077</v>
      </c>
      <c r="L466">
        <v>1025</v>
      </c>
      <c r="M466">
        <v>8</v>
      </c>
      <c r="N466">
        <v>1</v>
      </c>
      <c r="O466">
        <v>0</v>
      </c>
      <c r="P466" t="s">
        <v>18</v>
      </c>
      <c r="Q466">
        <v>3</v>
      </c>
      <c r="R466">
        <v>0</v>
      </c>
      <c r="S466" t="s">
        <v>22</v>
      </c>
      <c r="T466">
        <v>2</v>
      </c>
      <c r="U466">
        <v>0</v>
      </c>
    </row>
    <row r="467" spans="1:21" x14ac:dyDescent="0.25">
      <c r="A467">
        <v>9503950</v>
      </c>
      <c r="B467" t="s">
        <v>15</v>
      </c>
      <c r="C467" s="1">
        <v>42891</v>
      </c>
      <c r="D467" s="2">
        <f>YEAR(C467)</f>
        <v>2017</v>
      </c>
      <c r="E467">
        <v>642500</v>
      </c>
      <c r="F467" t="s">
        <v>85</v>
      </c>
      <c r="G467">
        <v>1956</v>
      </c>
      <c r="H467">
        <v>240</v>
      </c>
      <c r="I467" t="s">
        <v>223</v>
      </c>
      <c r="J467">
        <v>62</v>
      </c>
      <c r="K467">
        <v>60062</v>
      </c>
      <c r="L467">
        <v>4200</v>
      </c>
      <c r="M467">
        <v>10</v>
      </c>
      <c r="N467">
        <v>4</v>
      </c>
      <c r="O467">
        <v>0</v>
      </c>
      <c r="P467" t="s">
        <v>18</v>
      </c>
      <c r="Q467">
        <v>5</v>
      </c>
      <c r="R467">
        <v>0</v>
      </c>
      <c r="S467" t="s">
        <v>21</v>
      </c>
      <c r="T467">
        <v>2</v>
      </c>
      <c r="U467">
        <v>0</v>
      </c>
    </row>
    <row r="468" spans="1:21" x14ac:dyDescent="0.25">
      <c r="A468">
        <v>9366631</v>
      </c>
      <c r="B468" t="s">
        <v>15</v>
      </c>
      <c r="C468" s="1">
        <v>42808</v>
      </c>
      <c r="D468" s="2">
        <f>YEAR(C468)</f>
        <v>2017</v>
      </c>
      <c r="E468">
        <v>330000</v>
      </c>
      <c r="F468" t="s">
        <v>85</v>
      </c>
      <c r="G468">
        <v>1956</v>
      </c>
      <c r="H468">
        <v>248</v>
      </c>
      <c r="I468" t="s">
        <v>224</v>
      </c>
      <c r="J468">
        <v>62</v>
      </c>
      <c r="K468">
        <v>60062</v>
      </c>
      <c r="L468">
        <v>2268</v>
      </c>
      <c r="M468">
        <v>8</v>
      </c>
      <c r="N468">
        <v>2</v>
      </c>
      <c r="O468">
        <v>0</v>
      </c>
      <c r="P468" t="s">
        <v>18</v>
      </c>
      <c r="Q468">
        <v>4</v>
      </c>
      <c r="R468">
        <v>0</v>
      </c>
      <c r="S468" t="s">
        <v>21</v>
      </c>
      <c r="T468">
        <v>1</v>
      </c>
      <c r="U468">
        <v>0</v>
      </c>
    </row>
    <row r="469" spans="1:21" x14ac:dyDescent="0.25">
      <c r="A469">
        <v>9578715</v>
      </c>
      <c r="B469" t="s">
        <v>15</v>
      </c>
      <c r="C469" s="1">
        <v>42895</v>
      </c>
      <c r="D469" s="2">
        <f>YEAR(C469)</f>
        <v>2017</v>
      </c>
      <c r="E469">
        <v>434009</v>
      </c>
      <c r="F469" t="s">
        <v>85</v>
      </c>
      <c r="G469">
        <v>1956</v>
      </c>
      <c r="H469">
        <v>2202</v>
      </c>
      <c r="I469" t="s">
        <v>225</v>
      </c>
      <c r="J469">
        <v>62</v>
      </c>
      <c r="K469">
        <v>60062</v>
      </c>
      <c r="L469">
        <v>2203</v>
      </c>
      <c r="M469">
        <v>9</v>
      </c>
      <c r="N469">
        <v>2</v>
      </c>
      <c r="O469">
        <v>0</v>
      </c>
      <c r="P469" t="s">
        <v>18</v>
      </c>
      <c r="Q469">
        <v>5</v>
      </c>
      <c r="R469">
        <v>0</v>
      </c>
      <c r="S469" t="s">
        <v>21</v>
      </c>
      <c r="T469">
        <v>1.5</v>
      </c>
      <c r="U469">
        <v>0</v>
      </c>
    </row>
    <row r="470" spans="1:21" x14ac:dyDescent="0.25">
      <c r="A470">
        <v>9611609</v>
      </c>
      <c r="B470" t="s">
        <v>15</v>
      </c>
      <c r="C470" s="1">
        <v>42923</v>
      </c>
      <c r="D470" s="2">
        <f>YEAR(C470)</f>
        <v>2017</v>
      </c>
      <c r="E470">
        <v>460000</v>
      </c>
      <c r="F470" t="s">
        <v>85</v>
      </c>
      <c r="G470">
        <v>1956</v>
      </c>
      <c r="H470">
        <v>2845</v>
      </c>
      <c r="I470" t="s">
        <v>87</v>
      </c>
      <c r="J470">
        <v>62</v>
      </c>
      <c r="K470">
        <v>60062</v>
      </c>
      <c r="L470">
        <v>2012</v>
      </c>
      <c r="M470">
        <v>8</v>
      </c>
      <c r="N470">
        <v>2</v>
      </c>
      <c r="O470">
        <v>0</v>
      </c>
      <c r="P470" t="s">
        <v>18</v>
      </c>
      <c r="Q470">
        <v>4</v>
      </c>
      <c r="R470">
        <v>0</v>
      </c>
      <c r="S470" t="s">
        <v>21</v>
      </c>
      <c r="T470">
        <v>2</v>
      </c>
      <c r="U470">
        <v>0</v>
      </c>
    </row>
    <row r="471" spans="1:21" x14ac:dyDescent="0.25">
      <c r="A471">
        <v>9648645</v>
      </c>
      <c r="B471" t="s">
        <v>15</v>
      </c>
      <c r="C471" s="1">
        <v>42978</v>
      </c>
      <c r="D471" s="2">
        <f>YEAR(C471)</f>
        <v>2017</v>
      </c>
      <c r="E471">
        <v>580000</v>
      </c>
      <c r="F471" t="s">
        <v>85</v>
      </c>
      <c r="G471">
        <v>1956</v>
      </c>
      <c r="H471">
        <v>1545</v>
      </c>
      <c r="I471" t="s">
        <v>226</v>
      </c>
      <c r="J471">
        <v>62</v>
      </c>
      <c r="K471">
        <v>60062</v>
      </c>
      <c r="L471">
        <v>1820</v>
      </c>
      <c r="M471">
        <v>10</v>
      </c>
      <c r="N471">
        <v>2</v>
      </c>
      <c r="O471">
        <v>0</v>
      </c>
      <c r="P471" t="s">
        <v>18</v>
      </c>
      <c r="Q471">
        <v>3</v>
      </c>
      <c r="R471">
        <v>1</v>
      </c>
      <c r="S471" t="s">
        <v>21</v>
      </c>
      <c r="T471">
        <v>2.1</v>
      </c>
      <c r="U471">
        <v>0</v>
      </c>
    </row>
    <row r="472" spans="1:21" x14ac:dyDescent="0.25">
      <c r="A472">
        <v>9990733</v>
      </c>
      <c r="B472" t="s">
        <v>15</v>
      </c>
      <c r="C472" s="1">
        <v>43395</v>
      </c>
      <c r="D472" s="2">
        <f>YEAR(C472)</f>
        <v>2018</v>
      </c>
      <c r="E472">
        <v>390500</v>
      </c>
      <c r="F472" t="s">
        <v>85</v>
      </c>
      <c r="G472">
        <v>1956</v>
      </c>
      <c r="H472">
        <v>2006</v>
      </c>
      <c r="I472" t="s">
        <v>197</v>
      </c>
      <c r="J472">
        <v>62</v>
      </c>
      <c r="K472">
        <v>60062</v>
      </c>
      <c r="L472">
        <v>1692</v>
      </c>
      <c r="M472">
        <v>6</v>
      </c>
      <c r="N472">
        <v>1</v>
      </c>
      <c r="O472">
        <v>1</v>
      </c>
      <c r="P472" t="s">
        <v>18</v>
      </c>
      <c r="Q472">
        <v>3</v>
      </c>
      <c r="R472">
        <v>0</v>
      </c>
      <c r="S472" t="s">
        <v>21</v>
      </c>
      <c r="T472">
        <v>1</v>
      </c>
      <c r="U472">
        <v>0</v>
      </c>
    </row>
    <row r="473" spans="1:21" x14ac:dyDescent="0.25">
      <c r="A473">
        <v>9651088</v>
      </c>
      <c r="B473" t="s">
        <v>15</v>
      </c>
      <c r="C473" s="1">
        <v>42955</v>
      </c>
      <c r="D473" s="2">
        <f>YEAR(C473)</f>
        <v>2017</v>
      </c>
      <c r="E473">
        <v>485000</v>
      </c>
      <c r="F473" t="s">
        <v>85</v>
      </c>
      <c r="G473">
        <v>1956</v>
      </c>
      <c r="H473">
        <v>2240</v>
      </c>
      <c r="I473" t="s">
        <v>227</v>
      </c>
      <c r="J473">
        <v>62</v>
      </c>
      <c r="K473">
        <v>60062</v>
      </c>
      <c r="L473">
        <v>1500</v>
      </c>
      <c r="M473">
        <v>7</v>
      </c>
      <c r="N473">
        <v>2</v>
      </c>
      <c r="O473">
        <v>0</v>
      </c>
      <c r="P473" t="s">
        <v>18</v>
      </c>
      <c r="Q473">
        <v>3</v>
      </c>
      <c r="R473">
        <v>0</v>
      </c>
      <c r="S473" t="s">
        <v>22</v>
      </c>
      <c r="T473">
        <v>1</v>
      </c>
      <c r="U473">
        <v>0</v>
      </c>
    </row>
    <row r="474" spans="1:21" x14ac:dyDescent="0.25">
      <c r="A474">
        <v>9409291</v>
      </c>
      <c r="B474" t="s">
        <v>15</v>
      </c>
      <c r="C474" s="1">
        <v>42824</v>
      </c>
      <c r="D474" s="2">
        <f>YEAR(C474)</f>
        <v>2017</v>
      </c>
      <c r="E474">
        <v>250000</v>
      </c>
      <c r="F474" t="s">
        <v>85</v>
      </c>
      <c r="G474">
        <v>1956</v>
      </c>
      <c r="H474">
        <v>1780</v>
      </c>
      <c r="I474" t="s">
        <v>148</v>
      </c>
      <c r="J474">
        <v>62</v>
      </c>
      <c r="K474">
        <v>60062</v>
      </c>
      <c r="L474">
        <v>1414</v>
      </c>
      <c r="M474">
        <v>7</v>
      </c>
      <c r="N474">
        <v>1</v>
      </c>
      <c r="O474">
        <v>0</v>
      </c>
      <c r="P474" t="s">
        <v>18</v>
      </c>
      <c r="Q474">
        <v>3</v>
      </c>
      <c r="R474">
        <v>0</v>
      </c>
      <c r="S474" t="s">
        <v>22</v>
      </c>
      <c r="T474">
        <v>1</v>
      </c>
      <c r="U474">
        <v>0</v>
      </c>
    </row>
    <row r="475" spans="1:21" x14ac:dyDescent="0.25">
      <c r="A475">
        <v>9596333</v>
      </c>
      <c r="B475" t="s">
        <v>15</v>
      </c>
      <c r="C475" s="1">
        <v>43068</v>
      </c>
      <c r="D475" s="2">
        <f>YEAR(C475)</f>
        <v>2017</v>
      </c>
      <c r="E475">
        <v>392500</v>
      </c>
      <c r="F475" t="s">
        <v>85</v>
      </c>
      <c r="G475">
        <v>1956</v>
      </c>
      <c r="H475">
        <v>927</v>
      </c>
      <c r="I475" t="s">
        <v>193</v>
      </c>
      <c r="J475">
        <v>62</v>
      </c>
      <c r="K475">
        <v>60062</v>
      </c>
      <c r="L475">
        <v>1411</v>
      </c>
      <c r="M475">
        <v>8</v>
      </c>
      <c r="N475">
        <v>2</v>
      </c>
      <c r="O475">
        <v>0</v>
      </c>
      <c r="P475" t="s">
        <v>18</v>
      </c>
      <c r="Q475">
        <v>4</v>
      </c>
      <c r="R475">
        <v>0</v>
      </c>
      <c r="S475" t="s">
        <v>22</v>
      </c>
      <c r="T475">
        <v>2</v>
      </c>
      <c r="U475">
        <v>0</v>
      </c>
    </row>
    <row r="476" spans="1:21" x14ac:dyDescent="0.25">
      <c r="A476">
        <v>10024209</v>
      </c>
      <c r="B476" t="s">
        <v>15</v>
      </c>
      <c r="C476" s="1">
        <v>43334</v>
      </c>
      <c r="D476" s="2">
        <f>YEAR(C476)</f>
        <v>2018</v>
      </c>
      <c r="E476">
        <v>485000</v>
      </c>
      <c r="F476" t="s">
        <v>85</v>
      </c>
      <c r="G476">
        <v>1956</v>
      </c>
      <c r="H476">
        <v>1152</v>
      </c>
      <c r="I476" t="s">
        <v>157</v>
      </c>
      <c r="J476">
        <v>62</v>
      </c>
      <c r="K476">
        <v>60062</v>
      </c>
      <c r="L476">
        <v>1410</v>
      </c>
      <c r="M476">
        <v>8</v>
      </c>
      <c r="N476">
        <v>1</v>
      </c>
      <c r="O476">
        <v>1</v>
      </c>
      <c r="P476" t="s">
        <v>18</v>
      </c>
      <c r="Q476">
        <v>3</v>
      </c>
      <c r="R476">
        <v>0</v>
      </c>
      <c r="S476" t="s">
        <v>21</v>
      </c>
      <c r="T476">
        <v>2</v>
      </c>
      <c r="U476">
        <v>0</v>
      </c>
    </row>
    <row r="477" spans="1:21" x14ac:dyDescent="0.25">
      <c r="A477">
        <v>9740520</v>
      </c>
      <c r="B477" t="s">
        <v>15</v>
      </c>
      <c r="C477" s="1">
        <v>43059</v>
      </c>
      <c r="D477" s="2">
        <f>YEAR(C477)</f>
        <v>2017</v>
      </c>
      <c r="E477">
        <v>425000</v>
      </c>
      <c r="F477" t="s">
        <v>85</v>
      </c>
      <c r="G477">
        <v>1956</v>
      </c>
      <c r="H477">
        <v>2212</v>
      </c>
      <c r="I477" t="s">
        <v>225</v>
      </c>
      <c r="J477">
        <v>62</v>
      </c>
      <c r="K477">
        <v>60062</v>
      </c>
      <c r="L477">
        <v>1398</v>
      </c>
      <c r="M477">
        <v>6</v>
      </c>
      <c r="N477">
        <v>2</v>
      </c>
      <c r="O477">
        <v>0</v>
      </c>
      <c r="P477" t="s">
        <v>18</v>
      </c>
      <c r="Q477">
        <v>3</v>
      </c>
      <c r="R477">
        <v>0</v>
      </c>
      <c r="S477" t="s">
        <v>21</v>
      </c>
      <c r="T477">
        <v>1</v>
      </c>
      <c r="U477">
        <v>0</v>
      </c>
    </row>
    <row r="478" spans="1:21" x14ac:dyDescent="0.25">
      <c r="A478">
        <v>9589234</v>
      </c>
      <c r="B478" t="s">
        <v>15</v>
      </c>
      <c r="C478" s="1">
        <v>43006</v>
      </c>
      <c r="D478" s="2">
        <f>YEAR(C478)</f>
        <v>2017</v>
      </c>
      <c r="E478">
        <v>235000</v>
      </c>
      <c r="F478" t="s">
        <v>85</v>
      </c>
      <c r="G478">
        <v>1956</v>
      </c>
      <c r="H478">
        <v>3484</v>
      </c>
      <c r="I478" t="s">
        <v>228</v>
      </c>
      <c r="J478">
        <v>62</v>
      </c>
      <c r="K478">
        <v>60062</v>
      </c>
      <c r="L478">
        <v>1018</v>
      </c>
      <c r="M478">
        <v>6</v>
      </c>
      <c r="N478">
        <v>1</v>
      </c>
      <c r="O478">
        <v>0</v>
      </c>
      <c r="P478" t="s">
        <v>18</v>
      </c>
      <c r="Q478">
        <v>3</v>
      </c>
      <c r="R478">
        <v>0</v>
      </c>
      <c r="S478" t="s">
        <v>21</v>
      </c>
      <c r="T478">
        <v>1</v>
      </c>
      <c r="U478">
        <v>0</v>
      </c>
    </row>
    <row r="479" spans="1:21" x14ac:dyDescent="0.25">
      <c r="A479">
        <v>9873188</v>
      </c>
      <c r="B479" t="s">
        <v>15</v>
      </c>
      <c r="C479" s="1">
        <v>43181</v>
      </c>
      <c r="D479" s="2">
        <f>YEAR(C479)</f>
        <v>2018</v>
      </c>
      <c r="E479">
        <v>331000</v>
      </c>
      <c r="F479" t="s">
        <v>85</v>
      </c>
      <c r="G479">
        <v>1957</v>
      </c>
      <c r="H479">
        <v>9240</v>
      </c>
      <c r="I479" t="s">
        <v>102</v>
      </c>
      <c r="J479">
        <v>76</v>
      </c>
      <c r="K479">
        <v>60076</v>
      </c>
      <c r="L479">
        <v>2100</v>
      </c>
      <c r="M479">
        <v>8</v>
      </c>
      <c r="N479">
        <v>1</v>
      </c>
      <c r="O479">
        <v>1</v>
      </c>
      <c r="P479" t="s">
        <v>18</v>
      </c>
      <c r="Q479">
        <v>3</v>
      </c>
      <c r="R479">
        <v>0</v>
      </c>
      <c r="S479" t="s">
        <v>21</v>
      </c>
      <c r="T479">
        <v>1</v>
      </c>
      <c r="U479">
        <v>0</v>
      </c>
    </row>
    <row r="480" spans="1:21" x14ac:dyDescent="0.25">
      <c r="A480">
        <v>9682933</v>
      </c>
      <c r="B480" t="s">
        <v>15</v>
      </c>
      <c r="C480" s="1">
        <v>43033</v>
      </c>
      <c r="D480" s="2">
        <f>YEAR(C480)</f>
        <v>2017</v>
      </c>
      <c r="E480">
        <v>320000</v>
      </c>
      <c r="F480" t="s">
        <v>85</v>
      </c>
      <c r="G480">
        <v>1957</v>
      </c>
      <c r="H480">
        <v>8421</v>
      </c>
      <c r="I480" t="s">
        <v>153</v>
      </c>
      <c r="J480">
        <v>76</v>
      </c>
      <c r="K480">
        <v>60076</v>
      </c>
      <c r="L480">
        <v>2100</v>
      </c>
      <c r="M480">
        <v>7</v>
      </c>
      <c r="N480">
        <v>2</v>
      </c>
      <c r="O480">
        <v>0</v>
      </c>
      <c r="P480" t="s">
        <v>18</v>
      </c>
      <c r="Q480">
        <v>4</v>
      </c>
      <c r="R480">
        <v>0</v>
      </c>
      <c r="S480" t="s">
        <v>22</v>
      </c>
      <c r="T480">
        <v>2</v>
      </c>
      <c r="U480">
        <v>0</v>
      </c>
    </row>
    <row r="481" spans="1:21" x14ac:dyDescent="0.25">
      <c r="A481">
        <v>9408016</v>
      </c>
      <c r="B481" t="s">
        <v>15</v>
      </c>
      <c r="C481" s="1">
        <v>42894</v>
      </c>
      <c r="D481" s="2">
        <f>YEAR(C481)</f>
        <v>2017</v>
      </c>
      <c r="E481">
        <v>355000</v>
      </c>
      <c r="F481" t="s">
        <v>85</v>
      </c>
      <c r="G481">
        <v>1957</v>
      </c>
      <c r="H481">
        <v>9222</v>
      </c>
      <c r="I481" t="s">
        <v>123</v>
      </c>
      <c r="J481">
        <v>76</v>
      </c>
      <c r="K481">
        <v>60076</v>
      </c>
      <c r="L481">
        <v>2014</v>
      </c>
      <c r="M481">
        <v>7</v>
      </c>
      <c r="N481">
        <v>2</v>
      </c>
      <c r="O481">
        <v>0</v>
      </c>
      <c r="P481" t="s">
        <v>18</v>
      </c>
      <c r="Q481">
        <v>3</v>
      </c>
      <c r="R481">
        <v>0</v>
      </c>
      <c r="S481" t="s">
        <v>21</v>
      </c>
      <c r="T481">
        <v>2</v>
      </c>
      <c r="U481">
        <v>0</v>
      </c>
    </row>
    <row r="482" spans="1:21" x14ac:dyDescent="0.25">
      <c r="A482">
        <v>9876248</v>
      </c>
      <c r="B482" t="s">
        <v>15</v>
      </c>
      <c r="C482" s="1">
        <v>43221</v>
      </c>
      <c r="D482" s="2">
        <f>YEAR(C482)</f>
        <v>2018</v>
      </c>
      <c r="E482">
        <v>390000</v>
      </c>
      <c r="F482" t="s">
        <v>85</v>
      </c>
      <c r="G482">
        <v>1957</v>
      </c>
      <c r="H482">
        <v>8639</v>
      </c>
      <c r="I482" t="s">
        <v>229</v>
      </c>
      <c r="J482">
        <v>76</v>
      </c>
      <c r="K482">
        <v>60076</v>
      </c>
      <c r="L482">
        <v>2002</v>
      </c>
      <c r="M482">
        <v>8</v>
      </c>
      <c r="N482">
        <v>1</v>
      </c>
      <c r="O482">
        <v>1</v>
      </c>
      <c r="P482" t="s">
        <v>18</v>
      </c>
      <c r="Q482">
        <v>3</v>
      </c>
      <c r="R482">
        <v>0</v>
      </c>
      <c r="S482" t="s">
        <v>22</v>
      </c>
      <c r="T482">
        <v>3</v>
      </c>
      <c r="U482">
        <v>0</v>
      </c>
    </row>
    <row r="483" spans="1:21" x14ac:dyDescent="0.25">
      <c r="A483">
        <v>9699890</v>
      </c>
      <c r="B483" t="s">
        <v>15</v>
      </c>
      <c r="C483" s="1">
        <v>43243</v>
      </c>
      <c r="D483" s="2">
        <f>YEAR(C483)</f>
        <v>2018</v>
      </c>
      <c r="E483">
        <v>418000</v>
      </c>
      <c r="F483" t="s">
        <v>85</v>
      </c>
      <c r="G483">
        <v>1957</v>
      </c>
      <c r="H483">
        <v>8230</v>
      </c>
      <c r="I483" t="s">
        <v>102</v>
      </c>
      <c r="J483">
        <v>76</v>
      </c>
      <c r="K483">
        <v>60076</v>
      </c>
      <c r="L483">
        <v>1966</v>
      </c>
      <c r="M483">
        <v>10</v>
      </c>
      <c r="N483">
        <v>2</v>
      </c>
      <c r="O483">
        <v>0</v>
      </c>
      <c r="P483" t="s">
        <v>18</v>
      </c>
      <c r="Q483">
        <v>4</v>
      </c>
      <c r="R483">
        <v>0</v>
      </c>
      <c r="S483" t="s">
        <v>21</v>
      </c>
      <c r="T483">
        <v>2</v>
      </c>
      <c r="U483">
        <v>0</v>
      </c>
    </row>
    <row r="484" spans="1:21" x14ac:dyDescent="0.25">
      <c r="A484">
        <v>9946172</v>
      </c>
      <c r="B484" t="s">
        <v>15</v>
      </c>
      <c r="C484" s="1">
        <v>43287</v>
      </c>
      <c r="D484" s="2">
        <f>YEAR(C484)</f>
        <v>2018</v>
      </c>
      <c r="E484">
        <v>419000</v>
      </c>
      <c r="F484" t="s">
        <v>85</v>
      </c>
      <c r="G484">
        <v>1957</v>
      </c>
      <c r="H484">
        <v>9107</v>
      </c>
      <c r="I484" t="s">
        <v>230</v>
      </c>
      <c r="J484">
        <v>76</v>
      </c>
      <c r="K484">
        <v>60203</v>
      </c>
      <c r="L484">
        <v>1900</v>
      </c>
      <c r="M484">
        <v>7</v>
      </c>
      <c r="N484">
        <v>2</v>
      </c>
      <c r="O484">
        <v>0</v>
      </c>
      <c r="P484" t="s">
        <v>18</v>
      </c>
      <c r="Q484">
        <v>3</v>
      </c>
      <c r="R484">
        <v>0</v>
      </c>
      <c r="S484" t="s">
        <v>22</v>
      </c>
      <c r="T484">
        <v>2.5</v>
      </c>
      <c r="U484">
        <v>0</v>
      </c>
    </row>
    <row r="485" spans="1:21" x14ac:dyDescent="0.25">
      <c r="A485">
        <v>9808134</v>
      </c>
      <c r="B485" t="s">
        <v>15</v>
      </c>
      <c r="C485" s="1">
        <v>43119</v>
      </c>
      <c r="D485" s="2">
        <f>YEAR(C485)</f>
        <v>2018</v>
      </c>
      <c r="E485">
        <v>375000</v>
      </c>
      <c r="F485" t="s">
        <v>85</v>
      </c>
      <c r="G485">
        <v>1957</v>
      </c>
      <c r="H485">
        <v>8023</v>
      </c>
      <c r="I485" t="s">
        <v>108</v>
      </c>
      <c r="J485">
        <v>76</v>
      </c>
      <c r="K485">
        <v>60076</v>
      </c>
      <c r="L485">
        <v>1780</v>
      </c>
      <c r="M485">
        <v>8</v>
      </c>
      <c r="N485">
        <v>2</v>
      </c>
      <c r="O485">
        <v>0</v>
      </c>
      <c r="P485" t="s">
        <v>18</v>
      </c>
      <c r="Q485">
        <v>4</v>
      </c>
      <c r="R485">
        <v>0</v>
      </c>
      <c r="S485" t="s">
        <v>19</v>
      </c>
      <c r="T485">
        <v>0</v>
      </c>
      <c r="U485">
        <v>0</v>
      </c>
    </row>
    <row r="486" spans="1:21" x14ac:dyDescent="0.25">
      <c r="A486">
        <v>9637365</v>
      </c>
      <c r="B486" t="s">
        <v>15</v>
      </c>
      <c r="C486" s="1">
        <v>42992</v>
      </c>
      <c r="D486" s="2">
        <f>YEAR(C486)</f>
        <v>2017</v>
      </c>
      <c r="E486">
        <v>342000</v>
      </c>
      <c r="F486" t="s">
        <v>85</v>
      </c>
      <c r="G486">
        <v>1957</v>
      </c>
      <c r="H486">
        <v>8343</v>
      </c>
      <c r="I486" t="s">
        <v>217</v>
      </c>
      <c r="J486">
        <v>76</v>
      </c>
      <c r="K486">
        <v>60076</v>
      </c>
      <c r="L486">
        <v>1609</v>
      </c>
      <c r="M486">
        <v>8</v>
      </c>
      <c r="N486">
        <v>2</v>
      </c>
      <c r="O486">
        <v>0</v>
      </c>
      <c r="P486" t="s">
        <v>18</v>
      </c>
      <c r="Q486">
        <v>3</v>
      </c>
      <c r="R486">
        <v>0</v>
      </c>
      <c r="S486" t="s">
        <v>22</v>
      </c>
      <c r="T486">
        <v>2</v>
      </c>
      <c r="U486">
        <v>0</v>
      </c>
    </row>
    <row r="487" spans="1:21" x14ac:dyDescent="0.25">
      <c r="A487">
        <v>9796937</v>
      </c>
      <c r="B487" t="s">
        <v>15</v>
      </c>
      <c r="C487" s="1">
        <v>43250</v>
      </c>
      <c r="D487" s="2">
        <f>YEAR(C487)</f>
        <v>2018</v>
      </c>
      <c r="E487">
        <v>310000</v>
      </c>
      <c r="F487" t="s">
        <v>85</v>
      </c>
      <c r="G487">
        <v>1957</v>
      </c>
      <c r="H487">
        <v>8219</v>
      </c>
      <c r="I487" t="s">
        <v>105</v>
      </c>
      <c r="J487">
        <v>76</v>
      </c>
      <c r="K487">
        <v>60076</v>
      </c>
      <c r="L487">
        <v>1435</v>
      </c>
      <c r="M487">
        <v>6</v>
      </c>
      <c r="N487">
        <v>1</v>
      </c>
      <c r="O487">
        <v>1</v>
      </c>
      <c r="P487" t="s">
        <v>18</v>
      </c>
      <c r="Q487">
        <v>3</v>
      </c>
      <c r="R487">
        <v>0</v>
      </c>
      <c r="S487" t="s">
        <v>21</v>
      </c>
      <c r="T487">
        <v>1</v>
      </c>
      <c r="U487">
        <v>0</v>
      </c>
    </row>
    <row r="488" spans="1:21" x14ac:dyDescent="0.25">
      <c r="A488">
        <v>9619636</v>
      </c>
      <c r="B488" t="s">
        <v>15</v>
      </c>
      <c r="C488" s="1">
        <v>42915</v>
      </c>
      <c r="D488" s="2">
        <f>YEAR(C488)</f>
        <v>2017</v>
      </c>
      <c r="E488">
        <v>300000</v>
      </c>
      <c r="F488" t="s">
        <v>85</v>
      </c>
      <c r="G488">
        <v>1957</v>
      </c>
      <c r="H488">
        <v>8622</v>
      </c>
      <c r="I488" t="s">
        <v>118</v>
      </c>
      <c r="J488">
        <v>76</v>
      </c>
      <c r="K488">
        <v>60076</v>
      </c>
      <c r="L488">
        <v>1410</v>
      </c>
      <c r="M488">
        <v>7</v>
      </c>
      <c r="N488">
        <v>2</v>
      </c>
      <c r="O488">
        <v>1</v>
      </c>
      <c r="P488" t="s">
        <v>18</v>
      </c>
      <c r="Q488">
        <v>3</v>
      </c>
      <c r="R488">
        <v>0</v>
      </c>
      <c r="S488" t="s">
        <v>22</v>
      </c>
      <c r="T488">
        <v>2.5</v>
      </c>
      <c r="U488">
        <v>0</v>
      </c>
    </row>
    <row r="489" spans="1:21" x14ac:dyDescent="0.25">
      <c r="A489">
        <v>10066289</v>
      </c>
      <c r="B489" t="s">
        <v>15</v>
      </c>
      <c r="C489" s="1">
        <v>43395</v>
      </c>
      <c r="D489" s="2">
        <f>YEAR(C489)</f>
        <v>2018</v>
      </c>
      <c r="E489">
        <v>290000</v>
      </c>
      <c r="F489" t="s">
        <v>85</v>
      </c>
      <c r="G489">
        <v>1957</v>
      </c>
      <c r="H489">
        <v>5118</v>
      </c>
      <c r="I489" t="s">
        <v>203</v>
      </c>
      <c r="J489">
        <v>76</v>
      </c>
      <c r="K489">
        <v>60077</v>
      </c>
      <c r="L489">
        <v>1388</v>
      </c>
      <c r="M489">
        <v>7</v>
      </c>
      <c r="N489">
        <v>1</v>
      </c>
      <c r="O489">
        <v>1</v>
      </c>
      <c r="P489" t="s">
        <v>18</v>
      </c>
      <c r="Q489">
        <v>3</v>
      </c>
      <c r="R489">
        <v>0</v>
      </c>
      <c r="S489" t="s">
        <v>22</v>
      </c>
      <c r="T489">
        <v>2</v>
      </c>
      <c r="U489">
        <v>0</v>
      </c>
    </row>
    <row r="490" spans="1:21" x14ac:dyDescent="0.25">
      <c r="A490">
        <v>9958118</v>
      </c>
      <c r="B490" t="s">
        <v>15</v>
      </c>
      <c r="C490" s="1">
        <v>43348</v>
      </c>
      <c r="D490" s="2">
        <f>YEAR(C490)</f>
        <v>2018</v>
      </c>
      <c r="E490">
        <v>300000</v>
      </c>
      <c r="F490" t="s">
        <v>85</v>
      </c>
      <c r="G490">
        <v>1957</v>
      </c>
      <c r="H490">
        <v>7726</v>
      </c>
      <c r="I490" t="s">
        <v>98</v>
      </c>
      <c r="J490">
        <v>76</v>
      </c>
      <c r="K490">
        <v>60076</v>
      </c>
      <c r="L490">
        <v>1288</v>
      </c>
      <c r="M490">
        <v>6</v>
      </c>
      <c r="N490">
        <v>2</v>
      </c>
      <c r="O490">
        <v>0</v>
      </c>
      <c r="P490" t="s">
        <v>18</v>
      </c>
      <c r="Q490">
        <v>3</v>
      </c>
      <c r="R490">
        <v>0</v>
      </c>
      <c r="S490" t="s">
        <v>22</v>
      </c>
      <c r="T490">
        <v>2</v>
      </c>
      <c r="U490">
        <v>0</v>
      </c>
    </row>
    <row r="491" spans="1:21" x14ac:dyDescent="0.25">
      <c r="A491">
        <v>10072791</v>
      </c>
      <c r="B491" t="s">
        <v>15</v>
      </c>
      <c r="C491" s="1">
        <v>43385</v>
      </c>
      <c r="D491" s="2">
        <f>YEAR(C491)</f>
        <v>2018</v>
      </c>
      <c r="E491">
        <v>238000</v>
      </c>
      <c r="F491" t="s">
        <v>85</v>
      </c>
      <c r="G491">
        <v>1957</v>
      </c>
      <c r="H491">
        <v>7632</v>
      </c>
      <c r="I491" t="s">
        <v>23</v>
      </c>
      <c r="J491">
        <v>76</v>
      </c>
      <c r="K491">
        <v>60076</v>
      </c>
      <c r="L491">
        <v>1288</v>
      </c>
      <c r="M491">
        <v>6</v>
      </c>
      <c r="N491">
        <v>2</v>
      </c>
      <c r="O491">
        <v>0</v>
      </c>
      <c r="P491" t="s">
        <v>18</v>
      </c>
      <c r="Q491">
        <v>3</v>
      </c>
      <c r="R491">
        <v>0</v>
      </c>
      <c r="S491" t="s">
        <v>19</v>
      </c>
      <c r="T491">
        <v>0</v>
      </c>
      <c r="U491">
        <v>0</v>
      </c>
    </row>
    <row r="492" spans="1:21" x14ac:dyDescent="0.25">
      <c r="A492">
        <v>9563599</v>
      </c>
      <c r="B492" t="s">
        <v>15</v>
      </c>
      <c r="C492" s="1">
        <v>42860</v>
      </c>
      <c r="D492" s="2">
        <f>YEAR(C492)</f>
        <v>2017</v>
      </c>
      <c r="E492">
        <v>240000</v>
      </c>
      <c r="F492" t="s">
        <v>85</v>
      </c>
      <c r="G492">
        <v>1957</v>
      </c>
      <c r="H492">
        <v>8343</v>
      </c>
      <c r="I492" t="s">
        <v>105</v>
      </c>
      <c r="J492">
        <v>76</v>
      </c>
      <c r="K492">
        <v>60076</v>
      </c>
      <c r="L492">
        <v>1268</v>
      </c>
      <c r="M492">
        <v>6</v>
      </c>
      <c r="N492">
        <v>2</v>
      </c>
      <c r="O492">
        <v>0</v>
      </c>
      <c r="P492" t="s">
        <v>18</v>
      </c>
      <c r="Q492">
        <v>3</v>
      </c>
      <c r="R492">
        <v>0</v>
      </c>
      <c r="S492" t="s">
        <v>22</v>
      </c>
      <c r="T492">
        <v>2</v>
      </c>
      <c r="U492">
        <v>0</v>
      </c>
    </row>
    <row r="493" spans="1:21" x14ac:dyDescent="0.25">
      <c r="A493">
        <v>9906441</v>
      </c>
      <c r="B493" t="s">
        <v>15</v>
      </c>
      <c r="C493" s="1">
        <v>43265</v>
      </c>
      <c r="D493" s="2">
        <f>YEAR(C493)</f>
        <v>2018</v>
      </c>
      <c r="E493">
        <v>330000</v>
      </c>
      <c r="F493" t="s">
        <v>85</v>
      </c>
      <c r="G493">
        <v>1957</v>
      </c>
      <c r="H493">
        <v>7500</v>
      </c>
      <c r="I493" t="s">
        <v>89</v>
      </c>
      <c r="J493">
        <v>76</v>
      </c>
      <c r="K493">
        <v>60076</v>
      </c>
      <c r="L493">
        <v>1260</v>
      </c>
      <c r="M493">
        <v>7</v>
      </c>
      <c r="N493">
        <v>1</v>
      </c>
      <c r="O493">
        <v>1</v>
      </c>
      <c r="P493" t="s">
        <v>18</v>
      </c>
      <c r="Q493">
        <v>3</v>
      </c>
      <c r="R493">
        <v>0</v>
      </c>
      <c r="S493" t="s">
        <v>22</v>
      </c>
      <c r="T493">
        <v>1</v>
      </c>
      <c r="U493">
        <v>0</v>
      </c>
    </row>
    <row r="494" spans="1:21" x14ac:dyDescent="0.25">
      <c r="A494">
        <v>10024193</v>
      </c>
      <c r="B494" t="s">
        <v>15</v>
      </c>
      <c r="C494" s="1">
        <v>43382</v>
      </c>
      <c r="D494" s="2">
        <f>YEAR(C494)</f>
        <v>2018</v>
      </c>
      <c r="E494">
        <v>252000</v>
      </c>
      <c r="F494" t="s">
        <v>85</v>
      </c>
      <c r="G494">
        <v>1957</v>
      </c>
      <c r="H494">
        <v>5322</v>
      </c>
      <c r="I494" t="s">
        <v>176</v>
      </c>
      <c r="J494">
        <v>76</v>
      </c>
      <c r="K494">
        <v>60077</v>
      </c>
      <c r="L494">
        <v>1233</v>
      </c>
      <c r="M494">
        <v>6</v>
      </c>
      <c r="N494">
        <v>1</v>
      </c>
      <c r="O494">
        <v>1</v>
      </c>
      <c r="P494" t="s">
        <v>18</v>
      </c>
      <c r="Q494">
        <v>3</v>
      </c>
      <c r="R494">
        <v>0</v>
      </c>
      <c r="S494" t="s">
        <v>22</v>
      </c>
      <c r="T494">
        <v>2</v>
      </c>
      <c r="U494">
        <v>0</v>
      </c>
    </row>
    <row r="495" spans="1:21" x14ac:dyDescent="0.25">
      <c r="A495">
        <v>9797149</v>
      </c>
      <c r="B495" t="s">
        <v>15</v>
      </c>
      <c r="C495" s="1">
        <v>43111</v>
      </c>
      <c r="D495" s="2">
        <f>YEAR(C495)</f>
        <v>2018</v>
      </c>
      <c r="E495">
        <v>300000</v>
      </c>
      <c r="F495" t="s">
        <v>85</v>
      </c>
      <c r="G495">
        <v>1957</v>
      </c>
      <c r="H495">
        <v>3830</v>
      </c>
      <c r="I495" t="s">
        <v>126</v>
      </c>
      <c r="J495">
        <v>76</v>
      </c>
      <c r="K495">
        <v>60076</v>
      </c>
      <c r="L495">
        <v>1201</v>
      </c>
      <c r="M495">
        <v>7</v>
      </c>
      <c r="N495">
        <v>1</v>
      </c>
      <c r="O495">
        <v>1</v>
      </c>
      <c r="P495" t="s">
        <v>18</v>
      </c>
      <c r="Q495">
        <v>3</v>
      </c>
      <c r="R495">
        <v>0</v>
      </c>
      <c r="S495" t="s">
        <v>22</v>
      </c>
      <c r="T495">
        <v>2.5</v>
      </c>
      <c r="U495">
        <v>0</v>
      </c>
    </row>
    <row r="496" spans="1:21" x14ac:dyDescent="0.25">
      <c r="A496">
        <v>10080381</v>
      </c>
      <c r="B496" t="s">
        <v>15</v>
      </c>
      <c r="C496" s="1">
        <v>43384</v>
      </c>
      <c r="D496" s="2">
        <f>YEAR(C496)</f>
        <v>2018</v>
      </c>
      <c r="E496">
        <v>230000</v>
      </c>
      <c r="F496" t="s">
        <v>85</v>
      </c>
      <c r="G496">
        <v>1957</v>
      </c>
      <c r="H496">
        <v>8919</v>
      </c>
      <c r="I496" t="s">
        <v>148</v>
      </c>
      <c r="J496">
        <v>76</v>
      </c>
      <c r="K496">
        <v>60203</v>
      </c>
      <c r="L496">
        <v>1140</v>
      </c>
      <c r="M496">
        <v>7</v>
      </c>
      <c r="N496">
        <v>1</v>
      </c>
      <c r="O496">
        <v>0</v>
      </c>
      <c r="P496" t="s">
        <v>18</v>
      </c>
      <c r="Q496">
        <v>3</v>
      </c>
      <c r="R496">
        <v>0</v>
      </c>
      <c r="S496" t="s">
        <v>21</v>
      </c>
      <c r="T496">
        <v>2</v>
      </c>
      <c r="U496">
        <v>0</v>
      </c>
    </row>
    <row r="497" spans="1:21" x14ac:dyDescent="0.25">
      <c r="A497">
        <v>9733656</v>
      </c>
      <c r="B497" t="s">
        <v>15</v>
      </c>
      <c r="C497" s="1">
        <v>43018</v>
      </c>
      <c r="D497" s="2">
        <f>YEAR(C497)</f>
        <v>2017</v>
      </c>
      <c r="E497">
        <v>230000</v>
      </c>
      <c r="F497" t="s">
        <v>85</v>
      </c>
      <c r="G497">
        <v>1957</v>
      </c>
      <c r="H497">
        <v>7934</v>
      </c>
      <c r="I497" t="s">
        <v>98</v>
      </c>
      <c r="J497">
        <v>76</v>
      </c>
      <c r="K497">
        <v>60076</v>
      </c>
      <c r="L497">
        <v>1116</v>
      </c>
      <c r="M497">
        <v>7</v>
      </c>
      <c r="N497">
        <v>1</v>
      </c>
      <c r="O497">
        <v>0</v>
      </c>
      <c r="P497" t="s">
        <v>18</v>
      </c>
      <c r="Q497">
        <v>3</v>
      </c>
      <c r="R497">
        <v>0</v>
      </c>
      <c r="S497" t="s">
        <v>22</v>
      </c>
      <c r="T497">
        <v>1.1000000000000001</v>
      </c>
      <c r="U497">
        <v>0</v>
      </c>
    </row>
    <row r="498" spans="1:21" x14ac:dyDescent="0.25">
      <c r="A498">
        <v>9568746</v>
      </c>
      <c r="B498" t="s">
        <v>15</v>
      </c>
      <c r="C498" s="1">
        <v>42835</v>
      </c>
      <c r="D498" s="2">
        <f>YEAR(C498)</f>
        <v>2017</v>
      </c>
      <c r="E498">
        <v>225000</v>
      </c>
      <c r="F498" t="s">
        <v>85</v>
      </c>
      <c r="G498">
        <v>1957</v>
      </c>
      <c r="H498">
        <v>8603</v>
      </c>
      <c r="I498" t="s">
        <v>231</v>
      </c>
      <c r="J498">
        <v>76</v>
      </c>
      <c r="K498">
        <v>60077</v>
      </c>
      <c r="L498">
        <v>1000</v>
      </c>
      <c r="M498">
        <v>7</v>
      </c>
      <c r="N498">
        <v>1</v>
      </c>
      <c r="O498">
        <v>0</v>
      </c>
      <c r="P498" t="s">
        <v>18</v>
      </c>
      <c r="Q498">
        <v>3</v>
      </c>
      <c r="R498">
        <v>0</v>
      </c>
      <c r="S498" t="s">
        <v>22</v>
      </c>
      <c r="T498">
        <v>1</v>
      </c>
      <c r="U498">
        <v>0</v>
      </c>
    </row>
    <row r="499" spans="1:21" x14ac:dyDescent="0.25">
      <c r="A499">
        <v>10069026</v>
      </c>
      <c r="B499" t="s">
        <v>15</v>
      </c>
      <c r="C499" s="1">
        <v>43368</v>
      </c>
      <c r="D499" s="2">
        <f>YEAR(C499)</f>
        <v>2018</v>
      </c>
      <c r="E499">
        <v>215000</v>
      </c>
      <c r="F499" t="s">
        <v>85</v>
      </c>
      <c r="G499">
        <v>1957</v>
      </c>
      <c r="H499">
        <v>7743</v>
      </c>
      <c r="I499" t="s">
        <v>148</v>
      </c>
      <c r="J499">
        <v>76</v>
      </c>
      <c r="K499">
        <v>60076</v>
      </c>
      <c r="L499">
        <v>1000</v>
      </c>
      <c r="M499">
        <v>6</v>
      </c>
      <c r="N499">
        <v>1</v>
      </c>
      <c r="O499">
        <v>0</v>
      </c>
      <c r="P499" t="s">
        <v>18</v>
      </c>
      <c r="Q499">
        <v>3</v>
      </c>
      <c r="R499">
        <v>0</v>
      </c>
      <c r="S499" t="s">
        <v>19</v>
      </c>
      <c r="T499">
        <v>0</v>
      </c>
      <c r="U499">
        <v>0</v>
      </c>
    </row>
    <row r="500" spans="1:21" x14ac:dyDescent="0.25">
      <c r="A500">
        <v>9849334</v>
      </c>
      <c r="B500" t="s">
        <v>15</v>
      </c>
      <c r="C500" s="1">
        <v>43215</v>
      </c>
      <c r="D500" s="2">
        <f>YEAR(C500)</f>
        <v>2018</v>
      </c>
      <c r="E500">
        <v>255000</v>
      </c>
      <c r="F500" t="s">
        <v>85</v>
      </c>
      <c r="G500">
        <v>1957</v>
      </c>
      <c r="H500">
        <v>1253</v>
      </c>
      <c r="I500" t="s">
        <v>99</v>
      </c>
      <c r="J500">
        <v>62</v>
      </c>
      <c r="K500">
        <v>60062</v>
      </c>
      <c r="L500">
        <v>1630</v>
      </c>
      <c r="M500">
        <v>7</v>
      </c>
      <c r="N500">
        <v>3</v>
      </c>
      <c r="O500">
        <v>0</v>
      </c>
      <c r="P500" t="s">
        <v>18</v>
      </c>
      <c r="Q500">
        <v>4</v>
      </c>
      <c r="R500">
        <v>0</v>
      </c>
      <c r="S500" t="s">
        <v>21</v>
      </c>
      <c r="T500">
        <v>1</v>
      </c>
      <c r="U500">
        <v>0</v>
      </c>
    </row>
    <row r="501" spans="1:21" x14ac:dyDescent="0.25">
      <c r="A501">
        <v>9499220</v>
      </c>
      <c r="B501" t="s">
        <v>15</v>
      </c>
      <c r="C501" s="1">
        <v>42914</v>
      </c>
      <c r="D501" s="2">
        <f>YEAR(C501)</f>
        <v>2017</v>
      </c>
      <c r="E501">
        <v>437500</v>
      </c>
      <c r="F501" t="s">
        <v>85</v>
      </c>
      <c r="G501">
        <v>1957</v>
      </c>
      <c r="H501">
        <v>4131</v>
      </c>
      <c r="I501" t="s">
        <v>234</v>
      </c>
      <c r="J501">
        <v>62</v>
      </c>
      <c r="K501">
        <v>60062</v>
      </c>
      <c r="L501">
        <v>2654</v>
      </c>
      <c r="M501">
        <v>13</v>
      </c>
      <c r="N501">
        <v>3</v>
      </c>
      <c r="O501">
        <v>1</v>
      </c>
      <c r="P501" t="s">
        <v>18</v>
      </c>
      <c r="Q501">
        <v>5</v>
      </c>
      <c r="R501">
        <v>0</v>
      </c>
      <c r="S501" t="s">
        <v>21</v>
      </c>
      <c r="T501">
        <v>2</v>
      </c>
      <c r="U501">
        <v>0</v>
      </c>
    </row>
    <row r="502" spans="1:21" x14ac:dyDescent="0.25">
      <c r="A502">
        <v>9878826</v>
      </c>
      <c r="B502" t="s">
        <v>15</v>
      </c>
      <c r="C502" s="1">
        <v>43234</v>
      </c>
      <c r="D502" s="2">
        <f>YEAR(C502)</f>
        <v>2018</v>
      </c>
      <c r="E502">
        <v>460000</v>
      </c>
      <c r="F502" t="s">
        <v>85</v>
      </c>
      <c r="G502">
        <v>1957</v>
      </c>
      <c r="H502">
        <v>1829</v>
      </c>
      <c r="I502" t="s">
        <v>235</v>
      </c>
      <c r="J502">
        <v>62</v>
      </c>
      <c r="K502">
        <v>60062</v>
      </c>
      <c r="L502">
        <v>2000</v>
      </c>
      <c r="M502">
        <v>8</v>
      </c>
      <c r="N502">
        <v>2</v>
      </c>
      <c r="O502">
        <v>1</v>
      </c>
      <c r="P502" t="s">
        <v>18</v>
      </c>
      <c r="Q502">
        <v>4</v>
      </c>
      <c r="R502">
        <v>0</v>
      </c>
      <c r="S502" t="s">
        <v>21</v>
      </c>
      <c r="T502">
        <v>2</v>
      </c>
      <c r="U502">
        <v>0</v>
      </c>
    </row>
    <row r="503" spans="1:21" x14ac:dyDescent="0.25">
      <c r="A503">
        <v>10001029</v>
      </c>
      <c r="B503" t="s">
        <v>15</v>
      </c>
      <c r="C503" s="1">
        <v>43395</v>
      </c>
      <c r="D503" s="2">
        <f>YEAR(C503)</f>
        <v>2018</v>
      </c>
      <c r="E503">
        <v>370000</v>
      </c>
      <c r="F503" t="s">
        <v>85</v>
      </c>
      <c r="G503">
        <v>1957</v>
      </c>
      <c r="H503">
        <v>4765</v>
      </c>
      <c r="I503" t="s">
        <v>236</v>
      </c>
      <c r="J503">
        <v>62</v>
      </c>
      <c r="K503">
        <v>60062</v>
      </c>
      <c r="L503">
        <v>1936</v>
      </c>
      <c r="M503">
        <v>7</v>
      </c>
      <c r="N503">
        <v>3</v>
      </c>
      <c r="O503">
        <v>0</v>
      </c>
      <c r="P503" t="s">
        <v>18</v>
      </c>
      <c r="Q503">
        <v>3</v>
      </c>
      <c r="R503">
        <v>0</v>
      </c>
      <c r="S503" t="s">
        <v>21</v>
      </c>
      <c r="T503">
        <v>3</v>
      </c>
      <c r="U503">
        <v>0</v>
      </c>
    </row>
    <row r="504" spans="1:21" x14ac:dyDescent="0.25">
      <c r="A504">
        <v>9618335</v>
      </c>
      <c r="B504" t="s">
        <v>15</v>
      </c>
      <c r="C504" s="1">
        <v>42936</v>
      </c>
      <c r="D504" s="2">
        <f>YEAR(C504)</f>
        <v>2017</v>
      </c>
      <c r="E504">
        <v>475000</v>
      </c>
      <c r="F504" t="s">
        <v>85</v>
      </c>
      <c r="G504">
        <v>1957</v>
      </c>
      <c r="H504">
        <v>1321</v>
      </c>
      <c r="I504" t="s">
        <v>237</v>
      </c>
      <c r="J504">
        <v>62</v>
      </c>
      <c r="K504">
        <v>60062</v>
      </c>
      <c r="L504">
        <v>1880</v>
      </c>
      <c r="M504">
        <v>9</v>
      </c>
      <c r="N504">
        <v>2</v>
      </c>
      <c r="O504">
        <v>0</v>
      </c>
      <c r="P504" t="s">
        <v>18</v>
      </c>
      <c r="Q504">
        <v>4</v>
      </c>
      <c r="R504">
        <v>0</v>
      </c>
      <c r="S504" t="s">
        <v>21</v>
      </c>
      <c r="T504">
        <v>2</v>
      </c>
      <c r="U504">
        <v>0</v>
      </c>
    </row>
    <row r="505" spans="1:21" x14ac:dyDescent="0.25">
      <c r="A505">
        <v>9798359</v>
      </c>
      <c r="B505" t="s">
        <v>15</v>
      </c>
      <c r="C505" s="1">
        <v>43139</v>
      </c>
      <c r="D505" s="2">
        <f>YEAR(C505)</f>
        <v>2018</v>
      </c>
      <c r="E505">
        <v>348000</v>
      </c>
      <c r="F505" t="s">
        <v>85</v>
      </c>
      <c r="G505">
        <v>1957</v>
      </c>
      <c r="H505">
        <v>1732</v>
      </c>
      <c r="I505" t="s">
        <v>96</v>
      </c>
      <c r="J505">
        <v>62</v>
      </c>
      <c r="K505">
        <v>60062</v>
      </c>
      <c r="L505">
        <v>1544</v>
      </c>
      <c r="M505">
        <v>7</v>
      </c>
      <c r="N505">
        <v>2</v>
      </c>
      <c r="O505">
        <v>0</v>
      </c>
      <c r="P505" t="s">
        <v>18</v>
      </c>
      <c r="Q505">
        <v>3</v>
      </c>
      <c r="R505">
        <v>0</v>
      </c>
      <c r="S505" t="s">
        <v>22</v>
      </c>
      <c r="T505">
        <v>2</v>
      </c>
      <c r="U505">
        <v>0</v>
      </c>
    </row>
    <row r="506" spans="1:21" x14ac:dyDescent="0.25">
      <c r="A506">
        <v>9365947</v>
      </c>
      <c r="B506" t="s">
        <v>15</v>
      </c>
      <c r="C506" s="1">
        <v>42831</v>
      </c>
      <c r="D506" s="2">
        <f>YEAR(C506)</f>
        <v>2017</v>
      </c>
      <c r="E506">
        <v>338000</v>
      </c>
      <c r="F506" t="s">
        <v>85</v>
      </c>
      <c r="G506">
        <v>1957</v>
      </c>
      <c r="H506">
        <v>2043</v>
      </c>
      <c r="I506" t="s">
        <v>158</v>
      </c>
      <c r="J506">
        <v>62</v>
      </c>
      <c r="K506">
        <v>60062</v>
      </c>
      <c r="L506">
        <v>1498</v>
      </c>
      <c r="M506">
        <v>6</v>
      </c>
      <c r="N506">
        <v>1</v>
      </c>
      <c r="O506">
        <v>1</v>
      </c>
      <c r="P506" t="s">
        <v>18</v>
      </c>
      <c r="Q506">
        <v>3</v>
      </c>
      <c r="R506">
        <v>0</v>
      </c>
      <c r="S506" t="s">
        <v>21</v>
      </c>
      <c r="T506">
        <v>2</v>
      </c>
      <c r="U506">
        <v>0</v>
      </c>
    </row>
    <row r="507" spans="1:21" x14ac:dyDescent="0.25">
      <c r="A507">
        <v>9566233</v>
      </c>
      <c r="B507" t="s">
        <v>15</v>
      </c>
      <c r="C507" s="1">
        <v>42920</v>
      </c>
      <c r="D507" s="2">
        <f>YEAR(C507)</f>
        <v>2017</v>
      </c>
      <c r="E507">
        <v>250000</v>
      </c>
      <c r="F507" t="s">
        <v>85</v>
      </c>
      <c r="G507">
        <v>1957</v>
      </c>
      <c r="H507">
        <v>970</v>
      </c>
      <c r="I507" t="s">
        <v>88</v>
      </c>
      <c r="J507">
        <v>62</v>
      </c>
      <c r="K507">
        <v>60062</v>
      </c>
      <c r="L507">
        <v>1252</v>
      </c>
      <c r="M507">
        <v>5</v>
      </c>
      <c r="N507">
        <v>1</v>
      </c>
      <c r="O507">
        <v>0</v>
      </c>
      <c r="P507" t="s">
        <v>18</v>
      </c>
      <c r="Q507">
        <v>3</v>
      </c>
      <c r="R507">
        <v>0</v>
      </c>
      <c r="S507" t="s">
        <v>22</v>
      </c>
      <c r="T507">
        <v>2</v>
      </c>
      <c r="U507">
        <v>0</v>
      </c>
    </row>
    <row r="508" spans="1:21" x14ac:dyDescent="0.25">
      <c r="A508">
        <v>9486371</v>
      </c>
      <c r="B508" t="s">
        <v>15</v>
      </c>
      <c r="C508" s="1">
        <v>42948</v>
      </c>
      <c r="D508" s="2">
        <f>YEAR(C508)</f>
        <v>2017</v>
      </c>
      <c r="E508">
        <v>415000</v>
      </c>
      <c r="F508" t="s">
        <v>85</v>
      </c>
      <c r="G508">
        <v>1958</v>
      </c>
      <c r="H508">
        <v>9011</v>
      </c>
      <c r="I508" t="s">
        <v>125</v>
      </c>
      <c r="J508">
        <v>76</v>
      </c>
      <c r="K508">
        <v>60076</v>
      </c>
      <c r="L508">
        <v>3026</v>
      </c>
      <c r="M508">
        <v>11</v>
      </c>
      <c r="N508">
        <v>2</v>
      </c>
      <c r="O508">
        <v>2</v>
      </c>
      <c r="P508" t="s">
        <v>18</v>
      </c>
      <c r="Q508">
        <v>4</v>
      </c>
      <c r="R508">
        <v>0</v>
      </c>
      <c r="S508" t="s">
        <v>21</v>
      </c>
      <c r="T508">
        <v>2</v>
      </c>
      <c r="U508">
        <v>0</v>
      </c>
    </row>
    <row r="509" spans="1:21" x14ac:dyDescent="0.25">
      <c r="A509">
        <v>9706428</v>
      </c>
      <c r="B509" t="s">
        <v>15</v>
      </c>
      <c r="C509" s="1">
        <v>43090</v>
      </c>
      <c r="D509" s="2">
        <f>YEAR(C509)</f>
        <v>2017</v>
      </c>
      <c r="E509">
        <v>491770</v>
      </c>
      <c r="F509" t="s">
        <v>85</v>
      </c>
      <c r="G509">
        <v>1958</v>
      </c>
      <c r="H509">
        <v>9021</v>
      </c>
      <c r="I509" t="s">
        <v>238</v>
      </c>
      <c r="J509">
        <v>76</v>
      </c>
      <c r="K509">
        <v>60076</v>
      </c>
      <c r="L509">
        <v>2000</v>
      </c>
      <c r="M509">
        <v>10</v>
      </c>
      <c r="N509">
        <v>3</v>
      </c>
      <c r="O509">
        <v>0</v>
      </c>
      <c r="P509" t="s">
        <v>18</v>
      </c>
      <c r="Q509">
        <v>4</v>
      </c>
      <c r="R509">
        <v>0</v>
      </c>
      <c r="S509" t="s">
        <v>21</v>
      </c>
      <c r="T509">
        <v>2</v>
      </c>
      <c r="U509">
        <v>0</v>
      </c>
    </row>
    <row r="510" spans="1:21" x14ac:dyDescent="0.25">
      <c r="A510">
        <v>9767784</v>
      </c>
      <c r="B510" t="s">
        <v>15</v>
      </c>
      <c r="C510" s="1">
        <v>43080</v>
      </c>
      <c r="D510" s="2">
        <f>YEAR(C510)</f>
        <v>2017</v>
      </c>
      <c r="E510">
        <v>296000</v>
      </c>
      <c r="F510" t="s">
        <v>85</v>
      </c>
      <c r="G510">
        <v>1958</v>
      </c>
      <c r="H510">
        <v>9534</v>
      </c>
      <c r="I510" t="s">
        <v>239</v>
      </c>
      <c r="J510">
        <v>76</v>
      </c>
      <c r="K510">
        <v>60077</v>
      </c>
      <c r="L510">
        <v>1803</v>
      </c>
      <c r="M510">
        <v>7</v>
      </c>
      <c r="N510">
        <v>2</v>
      </c>
      <c r="O510">
        <v>0</v>
      </c>
      <c r="P510" t="s">
        <v>18</v>
      </c>
      <c r="Q510">
        <v>3</v>
      </c>
      <c r="R510">
        <v>0</v>
      </c>
      <c r="S510" t="s">
        <v>22</v>
      </c>
      <c r="T510">
        <v>2.5</v>
      </c>
      <c r="U510">
        <v>0</v>
      </c>
    </row>
    <row r="511" spans="1:21" x14ac:dyDescent="0.25">
      <c r="A511">
        <v>9652478</v>
      </c>
      <c r="B511" t="s">
        <v>15</v>
      </c>
      <c r="C511" s="1">
        <v>42951</v>
      </c>
      <c r="D511" s="2">
        <f>YEAR(C511)</f>
        <v>2017</v>
      </c>
      <c r="E511">
        <v>359000</v>
      </c>
      <c r="F511" t="s">
        <v>85</v>
      </c>
      <c r="G511">
        <v>1958</v>
      </c>
      <c r="H511">
        <v>9624</v>
      </c>
      <c r="I511" t="s">
        <v>102</v>
      </c>
      <c r="J511">
        <v>76</v>
      </c>
      <c r="K511">
        <v>60076</v>
      </c>
      <c r="L511">
        <v>1466</v>
      </c>
      <c r="M511">
        <v>8</v>
      </c>
      <c r="N511">
        <v>1</v>
      </c>
      <c r="O511">
        <v>1</v>
      </c>
      <c r="P511" t="s">
        <v>18</v>
      </c>
      <c r="Q511">
        <v>3</v>
      </c>
      <c r="R511">
        <v>0</v>
      </c>
      <c r="S511" t="s">
        <v>21</v>
      </c>
      <c r="T511">
        <v>2</v>
      </c>
      <c r="U511">
        <v>0</v>
      </c>
    </row>
    <row r="512" spans="1:21" x14ac:dyDescent="0.25">
      <c r="A512">
        <v>9647763</v>
      </c>
      <c r="B512" t="s">
        <v>15</v>
      </c>
      <c r="C512" s="1">
        <v>42977</v>
      </c>
      <c r="D512" s="2">
        <f>YEAR(C512)</f>
        <v>2017</v>
      </c>
      <c r="E512">
        <v>286786</v>
      </c>
      <c r="F512" t="s">
        <v>85</v>
      </c>
      <c r="G512">
        <v>1958</v>
      </c>
      <c r="H512">
        <v>8327</v>
      </c>
      <c r="I512" t="s">
        <v>196</v>
      </c>
      <c r="J512">
        <v>76</v>
      </c>
      <c r="K512">
        <v>60076</v>
      </c>
      <c r="L512">
        <v>1411</v>
      </c>
      <c r="M512">
        <v>8</v>
      </c>
      <c r="N512">
        <v>1</v>
      </c>
      <c r="O512">
        <v>1</v>
      </c>
      <c r="P512" t="s">
        <v>18</v>
      </c>
      <c r="Q512">
        <v>3</v>
      </c>
      <c r="R512">
        <v>0</v>
      </c>
      <c r="S512" t="s">
        <v>22</v>
      </c>
      <c r="T512">
        <v>2</v>
      </c>
      <c r="U512">
        <v>0</v>
      </c>
    </row>
    <row r="513" spans="1:21" x14ac:dyDescent="0.25">
      <c r="A513">
        <v>9944320</v>
      </c>
      <c r="B513" t="s">
        <v>15</v>
      </c>
      <c r="C513" s="1">
        <v>43271</v>
      </c>
      <c r="D513" s="2">
        <f>YEAR(C513)</f>
        <v>2018</v>
      </c>
      <c r="E513">
        <v>290000</v>
      </c>
      <c r="F513" t="s">
        <v>85</v>
      </c>
      <c r="G513">
        <v>1958</v>
      </c>
      <c r="H513">
        <v>4149</v>
      </c>
      <c r="I513" t="s">
        <v>134</v>
      </c>
      <c r="J513">
        <v>76</v>
      </c>
      <c r="K513">
        <v>60076</v>
      </c>
      <c r="L513">
        <v>1380</v>
      </c>
      <c r="M513">
        <v>7</v>
      </c>
      <c r="N513">
        <v>1</v>
      </c>
      <c r="O513">
        <v>1</v>
      </c>
      <c r="P513" t="s">
        <v>18</v>
      </c>
      <c r="Q513">
        <v>3</v>
      </c>
      <c r="R513">
        <v>0</v>
      </c>
      <c r="S513" t="s">
        <v>21</v>
      </c>
      <c r="T513">
        <v>1</v>
      </c>
      <c r="U513">
        <v>0</v>
      </c>
    </row>
    <row r="514" spans="1:21" x14ac:dyDescent="0.25">
      <c r="A514">
        <v>9630732</v>
      </c>
      <c r="B514" t="s">
        <v>15</v>
      </c>
      <c r="C514" s="1">
        <v>42916</v>
      </c>
      <c r="D514" s="2">
        <f>YEAR(C514)</f>
        <v>2017</v>
      </c>
      <c r="E514">
        <v>255000</v>
      </c>
      <c r="F514" t="s">
        <v>85</v>
      </c>
      <c r="G514">
        <v>1958</v>
      </c>
      <c r="H514">
        <v>5149</v>
      </c>
      <c r="I514" t="s">
        <v>240</v>
      </c>
      <c r="J514">
        <v>76</v>
      </c>
      <c r="K514">
        <v>60077</v>
      </c>
      <c r="L514">
        <v>1379</v>
      </c>
      <c r="M514">
        <v>7</v>
      </c>
      <c r="N514">
        <v>2</v>
      </c>
      <c r="O514">
        <v>0</v>
      </c>
      <c r="P514" t="s">
        <v>18</v>
      </c>
      <c r="Q514">
        <v>3</v>
      </c>
      <c r="R514">
        <v>0</v>
      </c>
      <c r="S514" t="s">
        <v>22</v>
      </c>
      <c r="T514">
        <v>2</v>
      </c>
      <c r="U514">
        <v>0</v>
      </c>
    </row>
    <row r="515" spans="1:21" x14ac:dyDescent="0.25">
      <c r="A515">
        <v>9382529</v>
      </c>
      <c r="B515" t="s">
        <v>15</v>
      </c>
      <c r="C515" s="1">
        <v>42858</v>
      </c>
      <c r="D515" s="2">
        <f>YEAR(C515)</f>
        <v>2017</v>
      </c>
      <c r="E515">
        <v>335000</v>
      </c>
      <c r="F515" t="s">
        <v>85</v>
      </c>
      <c r="G515">
        <v>1958</v>
      </c>
      <c r="H515">
        <v>8034</v>
      </c>
      <c r="I515" t="s">
        <v>165</v>
      </c>
      <c r="J515">
        <v>76</v>
      </c>
      <c r="K515">
        <v>60076</v>
      </c>
      <c r="L515">
        <v>1300</v>
      </c>
      <c r="M515">
        <v>8</v>
      </c>
      <c r="N515">
        <v>2</v>
      </c>
      <c r="O515">
        <v>0</v>
      </c>
      <c r="P515" t="s">
        <v>18</v>
      </c>
      <c r="Q515">
        <v>3</v>
      </c>
      <c r="R515">
        <v>1</v>
      </c>
      <c r="S515" t="s">
        <v>19</v>
      </c>
      <c r="T515">
        <v>0</v>
      </c>
      <c r="U515">
        <v>0</v>
      </c>
    </row>
    <row r="516" spans="1:21" x14ac:dyDescent="0.25">
      <c r="A516">
        <v>10022899</v>
      </c>
      <c r="B516" t="s">
        <v>15</v>
      </c>
      <c r="C516" s="1">
        <v>43437</v>
      </c>
      <c r="D516" s="2">
        <f>YEAR(C516)</f>
        <v>2018</v>
      </c>
      <c r="E516">
        <v>290000</v>
      </c>
      <c r="F516" t="s">
        <v>85</v>
      </c>
      <c r="G516">
        <v>1958</v>
      </c>
      <c r="H516">
        <v>8137</v>
      </c>
      <c r="I516" t="s">
        <v>165</v>
      </c>
      <c r="J516">
        <v>76</v>
      </c>
      <c r="K516">
        <v>60076</v>
      </c>
      <c r="L516">
        <v>1288</v>
      </c>
      <c r="M516">
        <v>7</v>
      </c>
      <c r="N516">
        <v>2</v>
      </c>
      <c r="O516">
        <v>0</v>
      </c>
      <c r="P516" t="s">
        <v>18</v>
      </c>
      <c r="Q516">
        <v>3</v>
      </c>
      <c r="R516">
        <v>0</v>
      </c>
      <c r="S516" t="s">
        <v>22</v>
      </c>
      <c r="T516">
        <v>2</v>
      </c>
      <c r="U516">
        <v>0</v>
      </c>
    </row>
    <row r="517" spans="1:21" x14ac:dyDescent="0.25">
      <c r="A517">
        <v>9501619</v>
      </c>
      <c r="B517" t="s">
        <v>15</v>
      </c>
      <c r="C517" s="1">
        <v>42825</v>
      </c>
      <c r="D517" s="2">
        <f>YEAR(C517)</f>
        <v>2017</v>
      </c>
      <c r="E517">
        <v>262000</v>
      </c>
      <c r="F517" t="s">
        <v>85</v>
      </c>
      <c r="G517">
        <v>1958</v>
      </c>
      <c r="H517">
        <v>8643</v>
      </c>
      <c r="I517" t="s">
        <v>84</v>
      </c>
      <c r="J517">
        <v>76</v>
      </c>
      <c r="K517">
        <v>60076</v>
      </c>
      <c r="L517">
        <v>1100</v>
      </c>
      <c r="M517">
        <v>7</v>
      </c>
      <c r="N517">
        <v>1</v>
      </c>
      <c r="O517">
        <v>0</v>
      </c>
      <c r="P517" t="s">
        <v>18</v>
      </c>
      <c r="Q517">
        <v>3</v>
      </c>
      <c r="R517">
        <v>0</v>
      </c>
      <c r="S517" t="s">
        <v>19</v>
      </c>
      <c r="T517">
        <v>0</v>
      </c>
      <c r="U517">
        <v>0</v>
      </c>
    </row>
    <row r="518" spans="1:21" x14ac:dyDescent="0.25">
      <c r="A518">
        <v>10158361</v>
      </c>
      <c r="B518" t="s">
        <v>15</v>
      </c>
      <c r="C518" s="1">
        <v>43509</v>
      </c>
      <c r="D518" s="2">
        <f>YEAR(C518)</f>
        <v>2019</v>
      </c>
      <c r="E518">
        <v>220000</v>
      </c>
      <c r="F518" t="s">
        <v>85</v>
      </c>
      <c r="G518">
        <v>1958</v>
      </c>
      <c r="H518">
        <v>8304</v>
      </c>
      <c r="I518" t="s">
        <v>135</v>
      </c>
      <c r="J518">
        <v>76</v>
      </c>
      <c r="K518">
        <v>60076</v>
      </c>
      <c r="L518">
        <v>1086</v>
      </c>
      <c r="M518">
        <v>7</v>
      </c>
      <c r="N518">
        <v>1</v>
      </c>
      <c r="O518">
        <v>0</v>
      </c>
      <c r="P518" t="s">
        <v>18</v>
      </c>
      <c r="Q518">
        <v>2</v>
      </c>
      <c r="R518">
        <v>0</v>
      </c>
      <c r="S518" t="s">
        <v>22</v>
      </c>
      <c r="T518">
        <v>2</v>
      </c>
      <c r="U518">
        <v>0</v>
      </c>
    </row>
    <row r="519" spans="1:21" x14ac:dyDescent="0.25">
      <c r="A519">
        <v>9854213</v>
      </c>
      <c r="B519" t="s">
        <v>15</v>
      </c>
      <c r="C519" s="1">
        <v>43266</v>
      </c>
      <c r="D519" s="2">
        <f>YEAR(C519)</f>
        <v>2018</v>
      </c>
      <c r="E519">
        <v>1041000</v>
      </c>
      <c r="F519" t="s">
        <v>85</v>
      </c>
      <c r="G519">
        <v>1958</v>
      </c>
      <c r="H519">
        <v>1300</v>
      </c>
      <c r="I519" t="s">
        <v>242</v>
      </c>
      <c r="J519">
        <v>62</v>
      </c>
      <c r="K519">
        <v>60062</v>
      </c>
      <c r="L519">
        <v>4000</v>
      </c>
      <c r="M519">
        <v>12</v>
      </c>
      <c r="N519">
        <v>2</v>
      </c>
      <c r="O519">
        <v>2</v>
      </c>
      <c r="P519" t="s">
        <v>18</v>
      </c>
      <c r="Q519">
        <v>4</v>
      </c>
      <c r="R519">
        <v>0</v>
      </c>
      <c r="S519" t="s">
        <v>21</v>
      </c>
      <c r="T519">
        <v>2</v>
      </c>
      <c r="U519">
        <v>0</v>
      </c>
    </row>
    <row r="520" spans="1:21" x14ac:dyDescent="0.25">
      <c r="A520">
        <v>9655851</v>
      </c>
      <c r="B520" t="s">
        <v>15</v>
      </c>
      <c r="C520" s="1">
        <v>42936</v>
      </c>
      <c r="D520" s="2">
        <f>YEAR(C520)</f>
        <v>2017</v>
      </c>
      <c r="E520">
        <v>560000</v>
      </c>
      <c r="F520" t="s">
        <v>85</v>
      </c>
      <c r="G520">
        <v>1958</v>
      </c>
      <c r="H520">
        <v>2175</v>
      </c>
      <c r="I520" t="s">
        <v>243</v>
      </c>
      <c r="J520">
        <v>62</v>
      </c>
      <c r="K520">
        <v>60062</v>
      </c>
      <c r="L520">
        <v>2352</v>
      </c>
      <c r="M520">
        <v>8</v>
      </c>
      <c r="N520">
        <v>3</v>
      </c>
      <c r="O520">
        <v>1</v>
      </c>
      <c r="P520" t="s">
        <v>18</v>
      </c>
      <c r="Q520">
        <v>5</v>
      </c>
      <c r="R520">
        <v>0</v>
      </c>
      <c r="S520" t="s">
        <v>21</v>
      </c>
      <c r="T520">
        <v>3</v>
      </c>
      <c r="U520">
        <v>0</v>
      </c>
    </row>
    <row r="521" spans="1:21" x14ac:dyDescent="0.25">
      <c r="A521">
        <v>9829471</v>
      </c>
      <c r="B521" t="s">
        <v>15</v>
      </c>
      <c r="C521" s="1">
        <v>43286</v>
      </c>
      <c r="D521" s="2">
        <f>YEAR(C521)</f>
        <v>2018</v>
      </c>
      <c r="E521">
        <v>640000</v>
      </c>
      <c r="F521" t="s">
        <v>85</v>
      </c>
      <c r="G521">
        <v>1958</v>
      </c>
      <c r="H521">
        <v>3370</v>
      </c>
      <c r="I521" t="s">
        <v>244</v>
      </c>
      <c r="J521">
        <v>62</v>
      </c>
      <c r="K521">
        <v>60062</v>
      </c>
      <c r="L521">
        <v>2021</v>
      </c>
      <c r="M521">
        <v>7</v>
      </c>
      <c r="N521">
        <v>3</v>
      </c>
      <c r="O521">
        <v>0</v>
      </c>
      <c r="P521" t="s">
        <v>18</v>
      </c>
      <c r="Q521">
        <v>4</v>
      </c>
      <c r="R521">
        <v>0</v>
      </c>
      <c r="S521" t="s">
        <v>21</v>
      </c>
      <c r="T521">
        <v>2</v>
      </c>
      <c r="U521">
        <v>0</v>
      </c>
    </row>
    <row r="522" spans="1:21" x14ac:dyDescent="0.25">
      <c r="A522">
        <v>10025114</v>
      </c>
      <c r="B522" t="s">
        <v>15</v>
      </c>
      <c r="C522" s="1">
        <v>43445</v>
      </c>
      <c r="D522" s="2">
        <f>YEAR(C522)</f>
        <v>2018</v>
      </c>
      <c r="E522">
        <v>380000</v>
      </c>
      <c r="F522" t="s">
        <v>85</v>
      </c>
      <c r="G522">
        <v>1958</v>
      </c>
      <c r="H522">
        <v>1261</v>
      </c>
      <c r="I522" t="s">
        <v>245</v>
      </c>
      <c r="J522">
        <v>62</v>
      </c>
      <c r="K522">
        <v>60062</v>
      </c>
      <c r="L522">
        <v>2000</v>
      </c>
      <c r="M522">
        <v>8</v>
      </c>
      <c r="N522">
        <v>2</v>
      </c>
      <c r="O522">
        <v>0</v>
      </c>
      <c r="P522" t="s">
        <v>18</v>
      </c>
      <c r="Q522">
        <v>4</v>
      </c>
      <c r="R522">
        <v>0</v>
      </c>
      <c r="S522" t="s">
        <v>21</v>
      </c>
      <c r="T522">
        <v>2</v>
      </c>
      <c r="U522">
        <v>0</v>
      </c>
    </row>
    <row r="523" spans="1:21" x14ac:dyDescent="0.25">
      <c r="A523">
        <v>9744606</v>
      </c>
      <c r="B523" t="s">
        <v>15</v>
      </c>
      <c r="C523" s="1">
        <v>43251</v>
      </c>
      <c r="D523" s="2">
        <f>YEAR(C523)</f>
        <v>2018</v>
      </c>
      <c r="E523">
        <v>385450</v>
      </c>
      <c r="F523" t="s">
        <v>85</v>
      </c>
      <c r="G523">
        <v>1958</v>
      </c>
      <c r="H523">
        <v>3445</v>
      </c>
      <c r="I523" t="s">
        <v>246</v>
      </c>
      <c r="J523">
        <v>62</v>
      </c>
      <c r="K523">
        <v>60062</v>
      </c>
      <c r="L523">
        <v>1854</v>
      </c>
      <c r="M523">
        <v>8</v>
      </c>
      <c r="N523">
        <v>2</v>
      </c>
      <c r="O523">
        <v>0</v>
      </c>
      <c r="P523" t="s">
        <v>18</v>
      </c>
      <c r="Q523">
        <v>3</v>
      </c>
      <c r="R523">
        <v>0</v>
      </c>
      <c r="S523" t="s">
        <v>21</v>
      </c>
      <c r="T523">
        <v>2.5</v>
      </c>
      <c r="U523">
        <v>0</v>
      </c>
    </row>
    <row r="524" spans="1:21" x14ac:dyDescent="0.25">
      <c r="A524">
        <v>9388693</v>
      </c>
      <c r="B524" t="s">
        <v>15</v>
      </c>
      <c r="C524" s="1">
        <v>42860</v>
      </c>
      <c r="D524" s="2">
        <f>YEAR(C524)</f>
        <v>2017</v>
      </c>
      <c r="E524">
        <v>478000</v>
      </c>
      <c r="F524" t="s">
        <v>85</v>
      </c>
      <c r="G524">
        <v>1958</v>
      </c>
      <c r="H524">
        <v>914</v>
      </c>
      <c r="I524" t="s">
        <v>88</v>
      </c>
      <c r="J524">
        <v>62</v>
      </c>
      <c r="K524">
        <v>60062</v>
      </c>
      <c r="L524">
        <v>1800</v>
      </c>
      <c r="M524">
        <v>9</v>
      </c>
      <c r="N524">
        <v>2</v>
      </c>
      <c r="O524">
        <v>0</v>
      </c>
      <c r="P524" t="s">
        <v>18</v>
      </c>
      <c r="Q524">
        <v>3</v>
      </c>
      <c r="R524">
        <v>0</v>
      </c>
      <c r="S524" t="s">
        <v>21</v>
      </c>
      <c r="T524">
        <v>2.5</v>
      </c>
      <c r="U524">
        <v>0</v>
      </c>
    </row>
    <row r="525" spans="1:21" x14ac:dyDescent="0.25">
      <c r="A525">
        <v>9757418</v>
      </c>
      <c r="B525" t="s">
        <v>15</v>
      </c>
      <c r="C525" s="1">
        <v>43053</v>
      </c>
      <c r="D525" s="2">
        <f>YEAR(C525)</f>
        <v>2017</v>
      </c>
      <c r="E525">
        <v>341250</v>
      </c>
      <c r="F525" t="s">
        <v>85</v>
      </c>
      <c r="G525">
        <v>1958</v>
      </c>
      <c r="H525">
        <v>1744</v>
      </c>
      <c r="I525" t="s">
        <v>157</v>
      </c>
      <c r="J525">
        <v>62</v>
      </c>
      <c r="K525">
        <v>60062</v>
      </c>
      <c r="L525">
        <v>1368</v>
      </c>
      <c r="M525">
        <v>7</v>
      </c>
      <c r="N525">
        <v>1</v>
      </c>
      <c r="O525">
        <v>0</v>
      </c>
      <c r="P525" t="s">
        <v>18</v>
      </c>
      <c r="Q525">
        <v>2</v>
      </c>
      <c r="R525">
        <v>0</v>
      </c>
      <c r="S525" t="s">
        <v>21</v>
      </c>
      <c r="T525">
        <v>2</v>
      </c>
      <c r="U525">
        <v>0</v>
      </c>
    </row>
    <row r="526" spans="1:21" x14ac:dyDescent="0.25">
      <c r="A526">
        <v>10060692</v>
      </c>
      <c r="B526" t="s">
        <v>15</v>
      </c>
      <c r="C526" s="1">
        <v>43388</v>
      </c>
      <c r="D526" s="2">
        <f>YEAR(C526)</f>
        <v>2018</v>
      </c>
      <c r="E526">
        <v>350000</v>
      </c>
      <c r="F526" t="s">
        <v>85</v>
      </c>
      <c r="G526">
        <v>1958</v>
      </c>
      <c r="H526">
        <v>2110</v>
      </c>
      <c r="I526" t="s">
        <v>247</v>
      </c>
      <c r="J526">
        <v>62</v>
      </c>
      <c r="K526">
        <v>60062</v>
      </c>
      <c r="L526">
        <v>1288</v>
      </c>
      <c r="M526">
        <v>6</v>
      </c>
      <c r="N526">
        <v>1</v>
      </c>
      <c r="O526">
        <v>0</v>
      </c>
      <c r="P526" t="s">
        <v>18</v>
      </c>
      <c r="Q526">
        <v>3</v>
      </c>
      <c r="R526">
        <v>0</v>
      </c>
      <c r="S526" t="s">
        <v>21</v>
      </c>
      <c r="T526">
        <v>2</v>
      </c>
      <c r="U526">
        <v>0</v>
      </c>
    </row>
    <row r="527" spans="1:21" x14ac:dyDescent="0.25">
      <c r="A527">
        <v>9661379</v>
      </c>
      <c r="B527" t="s">
        <v>15</v>
      </c>
      <c r="C527" s="1">
        <v>43067</v>
      </c>
      <c r="D527" s="2">
        <f>YEAR(C527)</f>
        <v>2017</v>
      </c>
      <c r="E527">
        <v>270000</v>
      </c>
      <c r="F527" t="s">
        <v>85</v>
      </c>
      <c r="G527">
        <v>1958</v>
      </c>
      <c r="H527">
        <v>3414</v>
      </c>
      <c r="I527" t="s">
        <v>246</v>
      </c>
      <c r="J527">
        <v>62</v>
      </c>
      <c r="K527">
        <v>60062</v>
      </c>
      <c r="L527">
        <v>1008</v>
      </c>
      <c r="M527">
        <v>6</v>
      </c>
      <c r="N527">
        <v>1</v>
      </c>
      <c r="O527">
        <v>1</v>
      </c>
      <c r="P527" t="s">
        <v>18</v>
      </c>
      <c r="Q527">
        <v>3</v>
      </c>
      <c r="R527">
        <v>0</v>
      </c>
      <c r="S527" t="s">
        <v>21</v>
      </c>
      <c r="T527">
        <v>2</v>
      </c>
      <c r="U527">
        <v>0</v>
      </c>
    </row>
    <row r="528" spans="1:21" x14ac:dyDescent="0.25">
      <c r="A528">
        <v>9583214</v>
      </c>
      <c r="B528" t="s">
        <v>15</v>
      </c>
      <c r="C528" s="1">
        <v>43025</v>
      </c>
      <c r="D528" s="2">
        <f>YEAR(C528)</f>
        <v>2017</v>
      </c>
      <c r="E528">
        <v>895000</v>
      </c>
      <c r="F528" t="s">
        <v>85</v>
      </c>
      <c r="G528">
        <v>1959</v>
      </c>
      <c r="H528">
        <v>9045</v>
      </c>
      <c r="I528" t="s">
        <v>123</v>
      </c>
      <c r="J528">
        <v>76</v>
      </c>
      <c r="K528">
        <v>60076</v>
      </c>
      <c r="L528">
        <v>5000</v>
      </c>
      <c r="M528">
        <v>12</v>
      </c>
      <c r="N528">
        <v>4</v>
      </c>
      <c r="O528">
        <v>1</v>
      </c>
      <c r="P528" t="s">
        <v>18</v>
      </c>
      <c r="Q528">
        <v>6</v>
      </c>
      <c r="R528">
        <v>0</v>
      </c>
      <c r="S528" t="s">
        <v>21</v>
      </c>
      <c r="T528">
        <v>2</v>
      </c>
      <c r="U528">
        <v>0</v>
      </c>
    </row>
    <row r="529" spans="1:21" x14ac:dyDescent="0.25">
      <c r="A529">
        <v>9755578</v>
      </c>
      <c r="B529" t="s">
        <v>15</v>
      </c>
      <c r="C529" s="1">
        <v>43046</v>
      </c>
      <c r="D529" s="2">
        <f>YEAR(C529)</f>
        <v>2017</v>
      </c>
      <c r="E529">
        <v>509000</v>
      </c>
      <c r="F529" t="s">
        <v>85</v>
      </c>
      <c r="G529">
        <v>1959</v>
      </c>
      <c r="H529">
        <v>9533</v>
      </c>
      <c r="I529" t="s">
        <v>98</v>
      </c>
      <c r="J529">
        <v>76</v>
      </c>
      <c r="K529">
        <v>60076</v>
      </c>
      <c r="L529">
        <v>2534</v>
      </c>
      <c r="M529">
        <v>9</v>
      </c>
      <c r="N529">
        <v>3</v>
      </c>
      <c r="O529">
        <v>0</v>
      </c>
      <c r="P529" t="s">
        <v>18</v>
      </c>
      <c r="Q529">
        <v>4</v>
      </c>
      <c r="R529">
        <v>0</v>
      </c>
      <c r="S529" t="s">
        <v>22</v>
      </c>
      <c r="T529">
        <v>2.5</v>
      </c>
      <c r="U529">
        <v>0</v>
      </c>
    </row>
    <row r="530" spans="1:21" x14ac:dyDescent="0.25">
      <c r="A530">
        <v>9620493</v>
      </c>
      <c r="B530" t="s">
        <v>15</v>
      </c>
      <c r="C530" s="1">
        <v>42928</v>
      </c>
      <c r="D530" s="2">
        <f>YEAR(C530)</f>
        <v>2017</v>
      </c>
      <c r="E530">
        <v>427500</v>
      </c>
      <c r="F530" t="s">
        <v>85</v>
      </c>
      <c r="G530">
        <v>1959</v>
      </c>
      <c r="H530">
        <v>3913</v>
      </c>
      <c r="I530" t="s">
        <v>248</v>
      </c>
      <c r="J530">
        <v>76</v>
      </c>
      <c r="K530">
        <v>60076</v>
      </c>
      <c r="L530">
        <v>2191</v>
      </c>
      <c r="M530">
        <v>9</v>
      </c>
      <c r="N530">
        <v>2</v>
      </c>
      <c r="O530">
        <v>1</v>
      </c>
      <c r="P530" t="s">
        <v>18</v>
      </c>
      <c r="Q530">
        <v>4</v>
      </c>
      <c r="R530">
        <v>0</v>
      </c>
      <c r="S530" t="s">
        <v>21</v>
      </c>
      <c r="T530">
        <v>1</v>
      </c>
      <c r="U530">
        <v>0</v>
      </c>
    </row>
    <row r="531" spans="1:21" x14ac:dyDescent="0.25">
      <c r="A531">
        <v>10118157</v>
      </c>
      <c r="B531" t="s">
        <v>15</v>
      </c>
      <c r="C531" s="1">
        <v>43483</v>
      </c>
      <c r="D531" s="2">
        <f>YEAR(C531)</f>
        <v>2019</v>
      </c>
      <c r="E531">
        <v>290000</v>
      </c>
      <c r="F531" t="s">
        <v>85</v>
      </c>
      <c r="G531">
        <v>1959</v>
      </c>
      <c r="H531">
        <v>3550</v>
      </c>
      <c r="I531" t="s">
        <v>122</v>
      </c>
      <c r="J531">
        <v>76</v>
      </c>
      <c r="K531">
        <v>60076</v>
      </c>
      <c r="L531">
        <v>1840</v>
      </c>
      <c r="M531">
        <v>9</v>
      </c>
      <c r="N531">
        <v>2</v>
      </c>
      <c r="O531">
        <v>0</v>
      </c>
      <c r="P531" t="s">
        <v>18</v>
      </c>
      <c r="Q531">
        <v>4</v>
      </c>
      <c r="R531">
        <v>0</v>
      </c>
      <c r="S531" t="s">
        <v>21</v>
      </c>
      <c r="T531">
        <v>2.5</v>
      </c>
      <c r="U531">
        <v>0</v>
      </c>
    </row>
    <row r="532" spans="1:21" x14ac:dyDescent="0.25">
      <c r="A532">
        <v>9854255</v>
      </c>
      <c r="B532" t="s">
        <v>15</v>
      </c>
      <c r="C532" s="1">
        <v>43175</v>
      </c>
      <c r="D532" s="2">
        <f>YEAR(C532)</f>
        <v>2018</v>
      </c>
      <c r="E532">
        <v>354000</v>
      </c>
      <c r="F532" t="s">
        <v>85</v>
      </c>
      <c r="G532">
        <v>1959</v>
      </c>
      <c r="H532">
        <v>5123</v>
      </c>
      <c r="I532" t="s">
        <v>198</v>
      </c>
      <c r="J532">
        <v>76</v>
      </c>
      <c r="K532">
        <v>60077</v>
      </c>
      <c r="L532">
        <v>1625</v>
      </c>
      <c r="M532">
        <v>8</v>
      </c>
      <c r="N532">
        <v>2</v>
      </c>
      <c r="O532">
        <v>1</v>
      </c>
      <c r="P532" t="s">
        <v>18</v>
      </c>
      <c r="Q532">
        <v>3</v>
      </c>
      <c r="R532">
        <v>0</v>
      </c>
      <c r="S532" t="s">
        <v>21</v>
      </c>
      <c r="T532">
        <v>1</v>
      </c>
      <c r="U532">
        <v>0</v>
      </c>
    </row>
    <row r="533" spans="1:21" x14ac:dyDescent="0.25">
      <c r="A533">
        <v>9560718</v>
      </c>
      <c r="B533" t="s">
        <v>15</v>
      </c>
      <c r="C533" s="1">
        <v>42912</v>
      </c>
      <c r="D533" s="2">
        <f>YEAR(C533)</f>
        <v>2017</v>
      </c>
      <c r="E533">
        <v>350000</v>
      </c>
      <c r="F533" t="s">
        <v>85</v>
      </c>
      <c r="G533">
        <v>1959</v>
      </c>
      <c r="H533">
        <v>9137</v>
      </c>
      <c r="I533" t="s">
        <v>105</v>
      </c>
      <c r="J533">
        <v>76</v>
      </c>
      <c r="K533">
        <v>60076</v>
      </c>
      <c r="L533">
        <v>1610</v>
      </c>
      <c r="M533">
        <v>7</v>
      </c>
      <c r="N533">
        <v>2</v>
      </c>
      <c r="O533">
        <v>1</v>
      </c>
      <c r="P533" t="s">
        <v>18</v>
      </c>
      <c r="Q533">
        <v>3</v>
      </c>
      <c r="R533">
        <v>0</v>
      </c>
      <c r="S533" t="s">
        <v>22</v>
      </c>
      <c r="T533">
        <v>1</v>
      </c>
      <c r="U533">
        <v>0</v>
      </c>
    </row>
    <row r="534" spans="1:21" x14ac:dyDescent="0.25">
      <c r="A534">
        <v>9573816</v>
      </c>
      <c r="B534" t="s">
        <v>15</v>
      </c>
      <c r="C534" s="1">
        <v>42867</v>
      </c>
      <c r="D534" s="2">
        <f>YEAR(C534)</f>
        <v>2017</v>
      </c>
      <c r="E534">
        <v>348000</v>
      </c>
      <c r="F534" t="s">
        <v>85</v>
      </c>
      <c r="G534">
        <v>1959</v>
      </c>
      <c r="H534">
        <v>9043</v>
      </c>
      <c r="I534" t="s">
        <v>23</v>
      </c>
      <c r="J534">
        <v>76</v>
      </c>
      <c r="K534">
        <v>60076</v>
      </c>
      <c r="L534">
        <v>1456</v>
      </c>
      <c r="M534">
        <v>8</v>
      </c>
      <c r="N534">
        <v>2</v>
      </c>
      <c r="O534">
        <v>0</v>
      </c>
      <c r="P534" t="s">
        <v>18</v>
      </c>
      <c r="Q534">
        <v>3</v>
      </c>
      <c r="R534">
        <v>0</v>
      </c>
      <c r="S534" t="s">
        <v>19</v>
      </c>
      <c r="T534">
        <v>0</v>
      </c>
      <c r="U534">
        <v>0</v>
      </c>
    </row>
    <row r="535" spans="1:21" x14ac:dyDescent="0.25">
      <c r="A535">
        <v>10111992</v>
      </c>
      <c r="B535" t="s">
        <v>15</v>
      </c>
      <c r="C535" s="1">
        <v>43476</v>
      </c>
      <c r="D535" s="2">
        <f>YEAR(C535)</f>
        <v>2019</v>
      </c>
      <c r="E535">
        <v>405000</v>
      </c>
      <c r="F535" t="s">
        <v>85</v>
      </c>
      <c r="G535">
        <v>1959</v>
      </c>
      <c r="H535">
        <v>5336</v>
      </c>
      <c r="I535" t="s">
        <v>249</v>
      </c>
      <c r="J535">
        <v>76</v>
      </c>
      <c r="K535">
        <v>60077</v>
      </c>
      <c r="L535">
        <v>1424</v>
      </c>
      <c r="M535">
        <v>10</v>
      </c>
      <c r="N535">
        <v>2</v>
      </c>
      <c r="O535">
        <v>0</v>
      </c>
      <c r="P535" t="s">
        <v>18</v>
      </c>
      <c r="Q535">
        <v>3</v>
      </c>
      <c r="R535">
        <v>2</v>
      </c>
      <c r="S535" t="s">
        <v>22</v>
      </c>
      <c r="T535">
        <v>2</v>
      </c>
      <c r="U535">
        <v>0</v>
      </c>
    </row>
    <row r="536" spans="1:21" x14ac:dyDescent="0.25">
      <c r="A536">
        <v>9600207</v>
      </c>
      <c r="B536" t="s">
        <v>15</v>
      </c>
      <c r="C536" s="1">
        <v>42944</v>
      </c>
      <c r="D536" s="2">
        <f>YEAR(C536)</f>
        <v>2017</v>
      </c>
      <c r="E536">
        <v>285000</v>
      </c>
      <c r="F536" t="s">
        <v>85</v>
      </c>
      <c r="G536">
        <v>1959</v>
      </c>
      <c r="H536">
        <v>7550</v>
      </c>
      <c r="I536" t="s">
        <v>101</v>
      </c>
      <c r="J536">
        <v>76</v>
      </c>
      <c r="K536">
        <v>60076</v>
      </c>
      <c r="L536">
        <v>1272</v>
      </c>
      <c r="M536">
        <v>7</v>
      </c>
      <c r="N536">
        <v>2</v>
      </c>
      <c r="O536">
        <v>0</v>
      </c>
      <c r="P536" t="s">
        <v>18</v>
      </c>
      <c r="Q536">
        <v>3</v>
      </c>
      <c r="R536">
        <v>0</v>
      </c>
      <c r="S536" t="s">
        <v>19</v>
      </c>
      <c r="T536">
        <v>0</v>
      </c>
      <c r="U536">
        <v>0</v>
      </c>
    </row>
    <row r="537" spans="1:21" x14ac:dyDescent="0.25">
      <c r="A537">
        <v>10085010</v>
      </c>
      <c r="B537" t="s">
        <v>15</v>
      </c>
      <c r="C537" s="1">
        <v>43404</v>
      </c>
      <c r="D537" s="2">
        <f>YEAR(C537)</f>
        <v>2018</v>
      </c>
      <c r="E537">
        <v>267500</v>
      </c>
      <c r="F537" t="s">
        <v>85</v>
      </c>
      <c r="G537">
        <v>1959</v>
      </c>
      <c r="H537">
        <v>9443</v>
      </c>
      <c r="I537" t="s">
        <v>125</v>
      </c>
      <c r="J537">
        <v>76</v>
      </c>
      <c r="K537">
        <v>60076</v>
      </c>
      <c r="L537">
        <v>1210</v>
      </c>
      <c r="M537">
        <v>8</v>
      </c>
      <c r="N537">
        <v>1</v>
      </c>
      <c r="O537">
        <v>1</v>
      </c>
      <c r="P537" t="s">
        <v>18</v>
      </c>
      <c r="Q537">
        <v>3</v>
      </c>
      <c r="R537">
        <v>1</v>
      </c>
      <c r="S537" t="s">
        <v>22</v>
      </c>
      <c r="T537">
        <v>2</v>
      </c>
      <c r="U537">
        <v>0</v>
      </c>
    </row>
    <row r="538" spans="1:21" x14ac:dyDescent="0.25">
      <c r="A538">
        <v>10108349</v>
      </c>
      <c r="B538" t="s">
        <v>15</v>
      </c>
      <c r="C538" s="1">
        <v>43423</v>
      </c>
      <c r="D538" s="2">
        <f>YEAR(C538)</f>
        <v>2018</v>
      </c>
      <c r="E538">
        <v>265000</v>
      </c>
      <c r="F538" t="s">
        <v>85</v>
      </c>
      <c r="G538">
        <v>1959</v>
      </c>
      <c r="H538">
        <v>5005</v>
      </c>
      <c r="I538" t="s">
        <v>176</v>
      </c>
      <c r="J538">
        <v>76</v>
      </c>
      <c r="K538">
        <v>60077</v>
      </c>
      <c r="L538">
        <v>1040</v>
      </c>
      <c r="M538">
        <v>7</v>
      </c>
      <c r="N538">
        <v>1</v>
      </c>
      <c r="O538">
        <v>0</v>
      </c>
      <c r="P538" t="s">
        <v>18</v>
      </c>
      <c r="Q538">
        <v>3</v>
      </c>
      <c r="R538">
        <v>0</v>
      </c>
      <c r="S538" t="s">
        <v>22</v>
      </c>
      <c r="T538">
        <v>2</v>
      </c>
      <c r="U538">
        <v>0</v>
      </c>
    </row>
    <row r="539" spans="1:21" x14ac:dyDescent="0.25">
      <c r="A539">
        <v>9569513</v>
      </c>
      <c r="B539" t="s">
        <v>15</v>
      </c>
      <c r="C539" s="1">
        <v>42860</v>
      </c>
      <c r="D539" s="2">
        <f>YEAR(C539)</f>
        <v>2017</v>
      </c>
      <c r="E539">
        <v>250000</v>
      </c>
      <c r="F539" t="s">
        <v>85</v>
      </c>
      <c r="G539">
        <v>1959</v>
      </c>
      <c r="H539">
        <v>4932</v>
      </c>
      <c r="I539" t="s">
        <v>35</v>
      </c>
      <c r="J539">
        <v>76</v>
      </c>
      <c r="K539">
        <v>60076</v>
      </c>
      <c r="L539">
        <v>1039</v>
      </c>
      <c r="M539">
        <v>8</v>
      </c>
      <c r="N539">
        <v>1</v>
      </c>
      <c r="O539">
        <v>0</v>
      </c>
      <c r="P539" t="s">
        <v>18</v>
      </c>
      <c r="Q539">
        <v>3</v>
      </c>
      <c r="R539">
        <v>0</v>
      </c>
      <c r="S539" t="s">
        <v>22</v>
      </c>
      <c r="T539">
        <v>2</v>
      </c>
      <c r="U539">
        <v>0</v>
      </c>
    </row>
    <row r="540" spans="1:21" x14ac:dyDescent="0.25">
      <c r="A540">
        <v>9991275</v>
      </c>
      <c r="B540" t="s">
        <v>15</v>
      </c>
      <c r="C540" s="1">
        <v>43413</v>
      </c>
      <c r="D540" s="2">
        <f>YEAR(C540)</f>
        <v>2018</v>
      </c>
      <c r="E540">
        <v>275000</v>
      </c>
      <c r="F540" t="s">
        <v>85</v>
      </c>
      <c r="G540">
        <v>1959</v>
      </c>
      <c r="H540">
        <v>1684</v>
      </c>
      <c r="I540" t="s">
        <v>155</v>
      </c>
      <c r="J540">
        <v>62</v>
      </c>
      <c r="K540">
        <v>60062</v>
      </c>
      <c r="L540">
        <v>1040</v>
      </c>
      <c r="M540">
        <v>8</v>
      </c>
      <c r="N540">
        <v>2</v>
      </c>
      <c r="O540">
        <v>0</v>
      </c>
      <c r="P540" t="s">
        <v>18</v>
      </c>
      <c r="Q540">
        <v>3</v>
      </c>
      <c r="R540">
        <v>0</v>
      </c>
      <c r="S540" t="s">
        <v>21</v>
      </c>
      <c r="T540">
        <v>2</v>
      </c>
      <c r="U540">
        <v>0</v>
      </c>
    </row>
    <row r="541" spans="1:21" x14ac:dyDescent="0.25">
      <c r="A541">
        <v>9585892</v>
      </c>
      <c r="B541" t="s">
        <v>15</v>
      </c>
      <c r="C541" s="1">
        <v>42879</v>
      </c>
      <c r="D541" s="2">
        <f>YEAR(C541)</f>
        <v>2017</v>
      </c>
      <c r="E541">
        <v>269000</v>
      </c>
      <c r="F541" t="s">
        <v>85</v>
      </c>
      <c r="G541">
        <v>1959</v>
      </c>
      <c r="H541">
        <v>1684</v>
      </c>
      <c r="I541" t="s">
        <v>148</v>
      </c>
      <c r="J541">
        <v>62</v>
      </c>
      <c r="K541">
        <v>60062</v>
      </c>
      <c r="L541">
        <v>1008</v>
      </c>
      <c r="M541">
        <v>5</v>
      </c>
      <c r="N541">
        <v>1</v>
      </c>
      <c r="O541">
        <v>0</v>
      </c>
      <c r="P541" t="s">
        <v>18</v>
      </c>
      <c r="Q541">
        <v>3</v>
      </c>
      <c r="R541">
        <v>0</v>
      </c>
      <c r="S541" t="s">
        <v>21</v>
      </c>
      <c r="T541">
        <v>1</v>
      </c>
      <c r="U541">
        <v>0</v>
      </c>
    </row>
    <row r="542" spans="1:21" x14ac:dyDescent="0.25">
      <c r="A542">
        <v>9651364</v>
      </c>
      <c r="B542" t="s">
        <v>15</v>
      </c>
      <c r="C542" s="1">
        <v>42962</v>
      </c>
      <c r="D542" s="2">
        <f>YEAR(C542)</f>
        <v>2017</v>
      </c>
      <c r="E542">
        <v>669000</v>
      </c>
      <c r="F542" t="s">
        <v>85</v>
      </c>
      <c r="G542">
        <v>1960</v>
      </c>
      <c r="H542">
        <v>9136</v>
      </c>
      <c r="I542" t="s">
        <v>250</v>
      </c>
      <c r="J542">
        <v>76</v>
      </c>
      <c r="K542">
        <v>60076</v>
      </c>
      <c r="L542">
        <v>4421</v>
      </c>
      <c r="M542">
        <v>12</v>
      </c>
      <c r="N542">
        <v>5</v>
      </c>
      <c r="O542">
        <v>0</v>
      </c>
      <c r="P542" t="s">
        <v>18</v>
      </c>
      <c r="Q542">
        <v>5</v>
      </c>
      <c r="R542">
        <v>0</v>
      </c>
      <c r="S542" t="s">
        <v>21</v>
      </c>
      <c r="T542">
        <v>2</v>
      </c>
      <c r="U542">
        <v>0</v>
      </c>
    </row>
    <row r="543" spans="1:21" x14ac:dyDescent="0.25">
      <c r="A543">
        <v>9601176</v>
      </c>
      <c r="B543" t="s">
        <v>15</v>
      </c>
      <c r="C543" s="1">
        <v>42899</v>
      </c>
      <c r="D543" s="2">
        <f>YEAR(C543)</f>
        <v>2017</v>
      </c>
      <c r="E543">
        <v>425000</v>
      </c>
      <c r="F543" t="s">
        <v>85</v>
      </c>
      <c r="G543">
        <v>1960</v>
      </c>
      <c r="H543">
        <v>4045</v>
      </c>
      <c r="I543" t="s">
        <v>67</v>
      </c>
      <c r="J543">
        <v>76</v>
      </c>
      <c r="K543">
        <v>60076</v>
      </c>
      <c r="L543">
        <v>2150</v>
      </c>
      <c r="M543">
        <v>8</v>
      </c>
      <c r="N543">
        <v>2</v>
      </c>
      <c r="O543">
        <v>0</v>
      </c>
      <c r="P543" t="s">
        <v>18</v>
      </c>
      <c r="Q543">
        <v>4</v>
      </c>
      <c r="R543">
        <v>0</v>
      </c>
      <c r="S543" t="s">
        <v>22</v>
      </c>
      <c r="T543">
        <v>2.5</v>
      </c>
      <c r="U543">
        <v>0</v>
      </c>
    </row>
    <row r="544" spans="1:21" x14ac:dyDescent="0.25">
      <c r="A544">
        <v>10052830</v>
      </c>
      <c r="B544" t="s">
        <v>15</v>
      </c>
      <c r="C544" s="1">
        <v>43439</v>
      </c>
      <c r="D544" s="2">
        <f>YEAR(C544)</f>
        <v>2018</v>
      </c>
      <c r="E544">
        <v>255000</v>
      </c>
      <c r="F544" t="s">
        <v>85</v>
      </c>
      <c r="G544">
        <v>1960</v>
      </c>
      <c r="H544">
        <v>3700</v>
      </c>
      <c r="I544" t="s">
        <v>251</v>
      </c>
      <c r="J544">
        <v>76</v>
      </c>
      <c r="K544">
        <v>60076</v>
      </c>
      <c r="L544">
        <v>2130</v>
      </c>
      <c r="M544">
        <v>8</v>
      </c>
      <c r="N544">
        <v>2</v>
      </c>
      <c r="O544">
        <v>0</v>
      </c>
      <c r="P544" t="s">
        <v>18</v>
      </c>
      <c r="Q544">
        <v>5</v>
      </c>
      <c r="R544">
        <v>0</v>
      </c>
      <c r="S544" t="s">
        <v>22</v>
      </c>
      <c r="T544">
        <v>2</v>
      </c>
      <c r="U544">
        <v>0</v>
      </c>
    </row>
    <row r="545" spans="1:21" x14ac:dyDescent="0.25">
      <c r="A545">
        <v>9931813</v>
      </c>
      <c r="B545" t="s">
        <v>15</v>
      </c>
      <c r="C545" s="1">
        <v>43297</v>
      </c>
      <c r="D545" s="2">
        <f>YEAR(C545)</f>
        <v>2018</v>
      </c>
      <c r="E545">
        <v>380000</v>
      </c>
      <c r="F545" t="s">
        <v>85</v>
      </c>
      <c r="G545">
        <v>1960</v>
      </c>
      <c r="H545">
        <v>9335</v>
      </c>
      <c r="I545" t="s">
        <v>89</v>
      </c>
      <c r="J545">
        <v>76</v>
      </c>
      <c r="K545">
        <v>60076</v>
      </c>
      <c r="L545">
        <v>1932</v>
      </c>
      <c r="M545">
        <v>10</v>
      </c>
      <c r="N545">
        <v>2</v>
      </c>
      <c r="O545">
        <v>0</v>
      </c>
      <c r="P545" t="s">
        <v>18</v>
      </c>
      <c r="Q545">
        <v>3</v>
      </c>
      <c r="R545">
        <v>1</v>
      </c>
      <c r="S545" t="s">
        <v>21</v>
      </c>
      <c r="T545">
        <v>1.5</v>
      </c>
      <c r="U545">
        <v>0</v>
      </c>
    </row>
    <row r="546" spans="1:21" x14ac:dyDescent="0.25">
      <c r="A546">
        <v>9574051</v>
      </c>
      <c r="B546" t="s">
        <v>15</v>
      </c>
      <c r="C546" s="1">
        <v>42879</v>
      </c>
      <c r="D546" s="2">
        <f>YEAR(C546)</f>
        <v>2017</v>
      </c>
      <c r="E546">
        <v>300000</v>
      </c>
      <c r="F546" t="s">
        <v>85</v>
      </c>
      <c r="G546">
        <v>1960</v>
      </c>
      <c r="H546">
        <v>5108</v>
      </c>
      <c r="I546" t="s">
        <v>203</v>
      </c>
      <c r="J546">
        <v>76</v>
      </c>
      <c r="K546">
        <v>60077</v>
      </c>
      <c r="L546">
        <v>1625</v>
      </c>
      <c r="M546">
        <v>6</v>
      </c>
      <c r="N546">
        <v>1</v>
      </c>
      <c r="O546">
        <v>1</v>
      </c>
      <c r="P546" t="s">
        <v>18</v>
      </c>
      <c r="Q546">
        <v>3</v>
      </c>
      <c r="R546">
        <v>0</v>
      </c>
      <c r="S546" t="s">
        <v>21</v>
      </c>
      <c r="T546">
        <v>1</v>
      </c>
      <c r="U546">
        <v>0</v>
      </c>
    </row>
    <row r="547" spans="1:21" x14ac:dyDescent="0.25">
      <c r="A547">
        <v>9948302</v>
      </c>
      <c r="B547" t="s">
        <v>15</v>
      </c>
      <c r="C547" s="1">
        <v>43280</v>
      </c>
      <c r="D547" s="2">
        <f>YEAR(C547)</f>
        <v>2018</v>
      </c>
      <c r="E547">
        <v>295000</v>
      </c>
      <c r="F547" t="s">
        <v>85</v>
      </c>
      <c r="G547">
        <v>1960</v>
      </c>
      <c r="H547">
        <v>9311</v>
      </c>
      <c r="I547" t="s">
        <v>239</v>
      </c>
      <c r="J547">
        <v>76</v>
      </c>
      <c r="K547">
        <v>60077</v>
      </c>
      <c r="L547">
        <v>1625</v>
      </c>
      <c r="M547">
        <v>8</v>
      </c>
      <c r="N547">
        <v>1</v>
      </c>
      <c r="O547">
        <v>1</v>
      </c>
      <c r="P547" t="s">
        <v>18</v>
      </c>
      <c r="Q547">
        <v>3</v>
      </c>
      <c r="R547">
        <v>0</v>
      </c>
      <c r="S547" t="s">
        <v>19</v>
      </c>
      <c r="T547">
        <v>0</v>
      </c>
      <c r="U547">
        <v>0</v>
      </c>
    </row>
    <row r="548" spans="1:21" x14ac:dyDescent="0.25">
      <c r="A548">
        <v>9483047</v>
      </c>
      <c r="B548" t="s">
        <v>15</v>
      </c>
      <c r="C548" s="1">
        <v>42843</v>
      </c>
      <c r="D548" s="2">
        <f>YEAR(C548)</f>
        <v>2017</v>
      </c>
      <c r="E548">
        <v>265000</v>
      </c>
      <c r="F548" t="s">
        <v>85</v>
      </c>
      <c r="G548">
        <v>1960</v>
      </c>
      <c r="H548">
        <v>7712</v>
      </c>
      <c r="I548" t="s">
        <v>125</v>
      </c>
      <c r="J548">
        <v>76</v>
      </c>
      <c r="K548">
        <v>60076</v>
      </c>
      <c r="L548">
        <v>1478</v>
      </c>
      <c r="M548">
        <v>7</v>
      </c>
      <c r="N548">
        <v>2</v>
      </c>
      <c r="O548">
        <v>0</v>
      </c>
      <c r="P548" t="s">
        <v>18</v>
      </c>
      <c r="Q548">
        <v>3</v>
      </c>
      <c r="R548">
        <v>0</v>
      </c>
      <c r="S548" t="s">
        <v>22</v>
      </c>
      <c r="T548">
        <v>2.5</v>
      </c>
      <c r="U548">
        <v>0</v>
      </c>
    </row>
    <row r="549" spans="1:21" x14ac:dyDescent="0.25">
      <c r="A549">
        <v>9996060</v>
      </c>
      <c r="B549" t="s">
        <v>15</v>
      </c>
      <c r="C549" s="1">
        <v>43441</v>
      </c>
      <c r="D549" s="2">
        <f>YEAR(C549)</f>
        <v>2018</v>
      </c>
      <c r="E549">
        <v>310000</v>
      </c>
      <c r="F549" t="s">
        <v>85</v>
      </c>
      <c r="G549">
        <v>1960</v>
      </c>
      <c r="H549">
        <v>7922</v>
      </c>
      <c r="I549" t="s">
        <v>105</v>
      </c>
      <c r="J549">
        <v>76</v>
      </c>
      <c r="K549">
        <v>60076</v>
      </c>
      <c r="L549">
        <v>1339</v>
      </c>
      <c r="M549">
        <v>7</v>
      </c>
      <c r="N549">
        <v>2</v>
      </c>
      <c r="O549">
        <v>0</v>
      </c>
      <c r="P549" t="s">
        <v>18</v>
      </c>
      <c r="Q549">
        <v>3</v>
      </c>
      <c r="R549">
        <v>0</v>
      </c>
      <c r="S549" t="s">
        <v>22</v>
      </c>
      <c r="T549">
        <v>2</v>
      </c>
      <c r="U549">
        <v>0</v>
      </c>
    </row>
    <row r="550" spans="1:21" x14ac:dyDescent="0.25">
      <c r="A550">
        <v>9809862</v>
      </c>
      <c r="B550" t="s">
        <v>15</v>
      </c>
      <c r="C550" s="1">
        <v>43209</v>
      </c>
      <c r="D550" s="2">
        <f>YEAR(C550)</f>
        <v>2018</v>
      </c>
      <c r="E550">
        <v>238000</v>
      </c>
      <c r="F550" t="s">
        <v>85</v>
      </c>
      <c r="G550">
        <v>1960</v>
      </c>
      <c r="H550">
        <v>8304</v>
      </c>
      <c r="I550" t="s">
        <v>252</v>
      </c>
      <c r="J550">
        <v>76</v>
      </c>
      <c r="K550">
        <v>60076</v>
      </c>
      <c r="L550">
        <v>1072</v>
      </c>
      <c r="M550">
        <v>6</v>
      </c>
      <c r="N550">
        <v>1</v>
      </c>
      <c r="O550">
        <v>1</v>
      </c>
      <c r="P550" t="s">
        <v>18</v>
      </c>
      <c r="Q550">
        <v>3</v>
      </c>
      <c r="R550">
        <v>0</v>
      </c>
      <c r="S550" t="s">
        <v>19</v>
      </c>
      <c r="T550">
        <v>0</v>
      </c>
      <c r="U550">
        <v>0</v>
      </c>
    </row>
    <row r="551" spans="1:21" x14ac:dyDescent="0.25">
      <c r="A551">
        <v>9738241</v>
      </c>
      <c r="B551" t="s">
        <v>15</v>
      </c>
      <c r="C551" s="1">
        <v>43041</v>
      </c>
      <c r="D551" s="2">
        <f>YEAR(C551)</f>
        <v>2017</v>
      </c>
      <c r="E551">
        <v>225000</v>
      </c>
      <c r="F551" t="s">
        <v>85</v>
      </c>
      <c r="G551">
        <v>1960</v>
      </c>
      <c r="H551">
        <v>7446</v>
      </c>
      <c r="I551" t="s">
        <v>130</v>
      </c>
      <c r="J551">
        <v>76</v>
      </c>
      <c r="K551">
        <v>60076</v>
      </c>
      <c r="L551">
        <v>1025</v>
      </c>
      <c r="M551">
        <v>7</v>
      </c>
      <c r="N551">
        <v>1</v>
      </c>
      <c r="O551">
        <v>0</v>
      </c>
      <c r="P551" t="s">
        <v>18</v>
      </c>
      <c r="Q551">
        <v>3</v>
      </c>
      <c r="R551">
        <v>0</v>
      </c>
      <c r="S551" t="s">
        <v>22</v>
      </c>
      <c r="T551">
        <v>2</v>
      </c>
      <c r="U551">
        <v>0</v>
      </c>
    </row>
    <row r="552" spans="1:21" x14ac:dyDescent="0.25">
      <c r="A552">
        <v>10106668</v>
      </c>
      <c r="B552" t="s">
        <v>15</v>
      </c>
      <c r="C552" s="1">
        <v>43474</v>
      </c>
      <c r="D552" s="2">
        <f>YEAR(C552)</f>
        <v>2019</v>
      </c>
      <c r="E552">
        <v>259000</v>
      </c>
      <c r="F552" t="s">
        <v>85</v>
      </c>
      <c r="G552">
        <v>1960</v>
      </c>
      <c r="H552">
        <v>3749</v>
      </c>
      <c r="I552" t="s">
        <v>38</v>
      </c>
      <c r="J552">
        <v>76</v>
      </c>
      <c r="K552">
        <v>60076</v>
      </c>
      <c r="L552">
        <v>1023</v>
      </c>
      <c r="M552">
        <v>5</v>
      </c>
      <c r="N552">
        <v>2</v>
      </c>
      <c r="O552">
        <v>0</v>
      </c>
      <c r="P552" t="s">
        <v>18</v>
      </c>
      <c r="Q552">
        <v>2</v>
      </c>
      <c r="R552">
        <v>0</v>
      </c>
      <c r="S552" t="s">
        <v>19</v>
      </c>
      <c r="T552">
        <v>0</v>
      </c>
      <c r="U552">
        <v>0</v>
      </c>
    </row>
    <row r="553" spans="1:21" x14ac:dyDescent="0.25">
      <c r="A553">
        <v>9409809</v>
      </c>
      <c r="B553" t="s">
        <v>15</v>
      </c>
      <c r="C553" s="1">
        <v>42824</v>
      </c>
      <c r="D553" s="2">
        <f>YEAR(C553)</f>
        <v>2017</v>
      </c>
      <c r="E553">
        <v>490000</v>
      </c>
      <c r="F553" t="s">
        <v>85</v>
      </c>
      <c r="G553">
        <v>1960</v>
      </c>
      <c r="H553">
        <v>840</v>
      </c>
      <c r="I553" t="s">
        <v>254</v>
      </c>
      <c r="J553">
        <v>62</v>
      </c>
      <c r="K553">
        <v>60062</v>
      </c>
      <c r="L553">
        <v>2800</v>
      </c>
      <c r="M553">
        <v>9</v>
      </c>
      <c r="N553">
        <v>2</v>
      </c>
      <c r="O553">
        <v>1</v>
      </c>
      <c r="P553" t="s">
        <v>18</v>
      </c>
      <c r="Q553">
        <v>5</v>
      </c>
      <c r="R553">
        <v>0</v>
      </c>
      <c r="S553" t="s">
        <v>21</v>
      </c>
      <c r="T553">
        <v>2</v>
      </c>
      <c r="U553">
        <v>0</v>
      </c>
    </row>
    <row r="554" spans="1:21" x14ac:dyDescent="0.25">
      <c r="A554">
        <v>10253592</v>
      </c>
      <c r="B554" t="s">
        <v>15</v>
      </c>
      <c r="C554" s="1">
        <v>43489</v>
      </c>
      <c r="D554" s="2">
        <f>YEAR(C554)</f>
        <v>2019</v>
      </c>
      <c r="E554">
        <v>630000</v>
      </c>
      <c r="F554" t="s">
        <v>85</v>
      </c>
      <c r="G554">
        <v>1960</v>
      </c>
      <c r="H554">
        <v>234</v>
      </c>
      <c r="I554" t="s">
        <v>255</v>
      </c>
      <c r="J554">
        <v>62</v>
      </c>
      <c r="K554">
        <v>60062</v>
      </c>
      <c r="L554">
        <v>2746</v>
      </c>
      <c r="M554">
        <v>8</v>
      </c>
      <c r="N554">
        <v>2</v>
      </c>
      <c r="O554">
        <v>1</v>
      </c>
      <c r="P554" t="s">
        <v>18</v>
      </c>
      <c r="Q554">
        <v>4</v>
      </c>
      <c r="R554">
        <v>0</v>
      </c>
      <c r="S554" t="s">
        <v>21</v>
      </c>
      <c r="T554">
        <v>2</v>
      </c>
      <c r="U554">
        <v>0</v>
      </c>
    </row>
    <row r="555" spans="1:21" x14ac:dyDescent="0.25">
      <c r="A555">
        <v>9779524</v>
      </c>
      <c r="B555" t="s">
        <v>15</v>
      </c>
      <c r="C555" s="1">
        <v>43097</v>
      </c>
      <c r="D555" s="2">
        <f>YEAR(C555)</f>
        <v>2017</v>
      </c>
      <c r="E555">
        <v>715000</v>
      </c>
      <c r="F555" t="s">
        <v>85</v>
      </c>
      <c r="G555">
        <v>1960</v>
      </c>
      <c r="H555">
        <v>837</v>
      </c>
      <c r="I555" t="s">
        <v>205</v>
      </c>
      <c r="J555">
        <v>62</v>
      </c>
      <c r="K555">
        <v>60062</v>
      </c>
      <c r="L555">
        <v>2700</v>
      </c>
      <c r="M555">
        <v>10</v>
      </c>
      <c r="N555">
        <v>3</v>
      </c>
      <c r="O555">
        <v>1</v>
      </c>
      <c r="P555" t="s">
        <v>18</v>
      </c>
      <c r="Q555">
        <v>5</v>
      </c>
      <c r="R555">
        <v>0</v>
      </c>
      <c r="S555" t="s">
        <v>21</v>
      </c>
      <c r="T555">
        <v>2.5</v>
      </c>
      <c r="U555">
        <v>0</v>
      </c>
    </row>
    <row r="556" spans="1:21" x14ac:dyDescent="0.25">
      <c r="A556">
        <v>10045129</v>
      </c>
      <c r="B556" t="s">
        <v>15</v>
      </c>
      <c r="C556" s="1">
        <v>43378</v>
      </c>
      <c r="D556" s="2">
        <f>YEAR(C556)</f>
        <v>2018</v>
      </c>
      <c r="E556">
        <v>443000</v>
      </c>
      <c r="F556" t="s">
        <v>85</v>
      </c>
      <c r="G556">
        <v>1960</v>
      </c>
      <c r="H556">
        <v>3475</v>
      </c>
      <c r="I556" t="s">
        <v>256</v>
      </c>
      <c r="J556">
        <v>62</v>
      </c>
      <c r="K556">
        <v>60062</v>
      </c>
      <c r="L556">
        <v>2565</v>
      </c>
      <c r="M556">
        <v>8</v>
      </c>
      <c r="N556">
        <v>3</v>
      </c>
      <c r="O556">
        <v>0</v>
      </c>
      <c r="P556" t="s">
        <v>18</v>
      </c>
      <c r="Q556">
        <v>4</v>
      </c>
      <c r="R556">
        <v>0</v>
      </c>
      <c r="S556" t="s">
        <v>21</v>
      </c>
      <c r="T556">
        <v>2</v>
      </c>
      <c r="U556">
        <v>0</v>
      </c>
    </row>
    <row r="557" spans="1:21" x14ac:dyDescent="0.25">
      <c r="A557">
        <v>9497499</v>
      </c>
      <c r="B557" t="s">
        <v>15</v>
      </c>
      <c r="C557" s="1">
        <v>42844</v>
      </c>
      <c r="D557" s="2">
        <f>YEAR(C557)</f>
        <v>2017</v>
      </c>
      <c r="E557">
        <v>595000</v>
      </c>
      <c r="F557" t="s">
        <v>85</v>
      </c>
      <c r="G557">
        <v>1960</v>
      </c>
      <c r="H557">
        <v>1113</v>
      </c>
      <c r="I557" t="s">
        <v>146</v>
      </c>
      <c r="J557">
        <v>62</v>
      </c>
      <c r="K557">
        <v>60062</v>
      </c>
      <c r="L557">
        <v>2499</v>
      </c>
      <c r="M557">
        <v>11</v>
      </c>
      <c r="N557">
        <v>2</v>
      </c>
      <c r="O557">
        <v>1</v>
      </c>
      <c r="P557" t="s">
        <v>18</v>
      </c>
      <c r="Q557">
        <v>5</v>
      </c>
      <c r="R557">
        <v>0</v>
      </c>
      <c r="S557" t="s">
        <v>21</v>
      </c>
      <c r="T557">
        <v>2</v>
      </c>
      <c r="U557">
        <v>0</v>
      </c>
    </row>
    <row r="558" spans="1:21" x14ac:dyDescent="0.25">
      <c r="A558">
        <v>9754700</v>
      </c>
      <c r="B558" t="s">
        <v>15</v>
      </c>
      <c r="C558" s="1">
        <v>43245</v>
      </c>
      <c r="D558" s="2">
        <f>YEAR(C558)</f>
        <v>2018</v>
      </c>
      <c r="E558">
        <v>595000</v>
      </c>
      <c r="F558" t="s">
        <v>85</v>
      </c>
      <c r="G558">
        <v>1960</v>
      </c>
      <c r="H558">
        <v>822</v>
      </c>
      <c r="I558" t="s">
        <v>205</v>
      </c>
      <c r="J558">
        <v>62</v>
      </c>
      <c r="K558">
        <v>60062</v>
      </c>
      <c r="L558">
        <v>2368</v>
      </c>
      <c r="M558">
        <v>10</v>
      </c>
      <c r="N558">
        <v>2</v>
      </c>
      <c r="O558">
        <v>1</v>
      </c>
      <c r="P558" t="s">
        <v>18</v>
      </c>
      <c r="Q558">
        <v>4</v>
      </c>
      <c r="R558">
        <v>0</v>
      </c>
      <c r="S558" t="s">
        <v>21</v>
      </c>
      <c r="T558">
        <v>2.5</v>
      </c>
      <c r="U558">
        <v>0</v>
      </c>
    </row>
    <row r="559" spans="1:21" x14ac:dyDescent="0.25">
      <c r="A559">
        <v>9987316</v>
      </c>
      <c r="B559" t="s">
        <v>15</v>
      </c>
      <c r="C559" s="1">
        <v>43298</v>
      </c>
      <c r="D559" s="2">
        <f>YEAR(C559)</f>
        <v>2018</v>
      </c>
      <c r="E559">
        <v>535000</v>
      </c>
      <c r="F559" t="s">
        <v>85</v>
      </c>
      <c r="G559">
        <v>1960</v>
      </c>
      <c r="H559">
        <v>1520</v>
      </c>
      <c r="I559" t="s">
        <v>257</v>
      </c>
      <c r="J559">
        <v>62</v>
      </c>
      <c r="K559">
        <v>60062</v>
      </c>
      <c r="L559">
        <v>2224</v>
      </c>
      <c r="M559">
        <v>8</v>
      </c>
      <c r="N559">
        <v>2</v>
      </c>
      <c r="O559">
        <v>0</v>
      </c>
      <c r="P559" t="s">
        <v>18</v>
      </c>
      <c r="Q559">
        <v>3</v>
      </c>
      <c r="R559">
        <v>0</v>
      </c>
      <c r="S559" t="s">
        <v>21</v>
      </c>
      <c r="T559">
        <v>2.5</v>
      </c>
      <c r="U559">
        <v>0</v>
      </c>
    </row>
    <row r="560" spans="1:21" x14ac:dyDescent="0.25">
      <c r="A560">
        <v>9594637</v>
      </c>
      <c r="B560" t="s">
        <v>15</v>
      </c>
      <c r="C560" s="1">
        <v>42916</v>
      </c>
      <c r="D560" s="2">
        <f>YEAR(C560)</f>
        <v>2017</v>
      </c>
      <c r="E560">
        <v>469900</v>
      </c>
      <c r="F560" t="s">
        <v>85</v>
      </c>
      <c r="G560">
        <v>1960</v>
      </c>
      <c r="H560">
        <v>853</v>
      </c>
      <c r="I560" t="s">
        <v>205</v>
      </c>
      <c r="J560">
        <v>62</v>
      </c>
      <c r="K560">
        <v>60062</v>
      </c>
      <c r="L560">
        <v>1675</v>
      </c>
      <c r="M560">
        <v>7</v>
      </c>
      <c r="N560">
        <v>1</v>
      </c>
      <c r="O560">
        <v>1</v>
      </c>
      <c r="P560" t="s">
        <v>18</v>
      </c>
      <c r="Q560">
        <v>3</v>
      </c>
      <c r="R560">
        <v>0</v>
      </c>
      <c r="S560" t="s">
        <v>21</v>
      </c>
      <c r="T560">
        <v>1</v>
      </c>
      <c r="U560">
        <v>0</v>
      </c>
    </row>
    <row r="561" spans="1:21" x14ac:dyDescent="0.25">
      <c r="A561">
        <v>10002233</v>
      </c>
      <c r="B561" t="s">
        <v>15</v>
      </c>
      <c r="C561" s="1">
        <v>43462</v>
      </c>
      <c r="D561" s="2">
        <f>YEAR(C561)</f>
        <v>2018</v>
      </c>
      <c r="E561">
        <v>452500</v>
      </c>
      <c r="F561" t="s">
        <v>85</v>
      </c>
      <c r="G561">
        <v>1960</v>
      </c>
      <c r="H561">
        <v>875</v>
      </c>
      <c r="I561" t="s">
        <v>254</v>
      </c>
      <c r="J561">
        <v>62</v>
      </c>
      <c r="K561">
        <v>60062</v>
      </c>
      <c r="L561">
        <v>1624</v>
      </c>
      <c r="M561">
        <v>7</v>
      </c>
      <c r="N561">
        <v>2</v>
      </c>
      <c r="O561">
        <v>0</v>
      </c>
      <c r="P561" t="s">
        <v>18</v>
      </c>
      <c r="Q561">
        <v>3</v>
      </c>
      <c r="R561">
        <v>0</v>
      </c>
      <c r="S561" t="s">
        <v>21</v>
      </c>
      <c r="T561">
        <v>2</v>
      </c>
      <c r="U561">
        <v>0</v>
      </c>
    </row>
    <row r="562" spans="1:21" x14ac:dyDescent="0.25">
      <c r="A562">
        <v>10161552</v>
      </c>
      <c r="B562" t="s">
        <v>15</v>
      </c>
      <c r="C562" s="1">
        <v>43501</v>
      </c>
      <c r="D562" s="2">
        <f>YEAR(C562)</f>
        <v>2019</v>
      </c>
      <c r="E562">
        <v>227000</v>
      </c>
      <c r="F562" t="s">
        <v>85</v>
      </c>
      <c r="G562">
        <v>1960</v>
      </c>
      <c r="H562">
        <v>4040</v>
      </c>
      <c r="I562" t="s">
        <v>258</v>
      </c>
      <c r="J562">
        <v>62</v>
      </c>
      <c r="K562">
        <v>60062</v>
      </c>
      <c r="L562">
        <v>1440</v>
      </c>
      <c r="M562">
        <v>6</v>
      </c>
      <c r="N562">
        <v>1</v>
      </c>
      <c r="O562">
        <v>1</v>
      </c>
      <c r="P562" t="s">
        <v>18</v>
      </c>
      <c r="Q562">
        <v>3</v>
      </c>
      <c r="R562">
        <v>0</v>
      </c>
      <c r="S562" t="s">
        <v>21</v>
      </c>
      <c r="T562">
        <v>2</v>
      </c>
      <c r="U562">
        <v>0</v>
      </c>
    </row>
    <row r="563" spans="1:21" x14ac:dyDescent="0.25">
      <c r="A563">
        <v>9567640</v>
      </c>
      <c r="B563" t="s">
        <v>15</v>
      </c>
      <c r="C563" s="1">
        <v>42899</v>
      </c>
      <c r="D563" s="2">
        <f>YEAR(C563)</f>
        <v>2017</v>
      </c>
      <c r="E563">
        <v>300000</v>
      </c>
      <c r="F563" t="s">
        <v>85</v>
      </c>
      <c r="G563">
        <v>1960</v>
      </c>
      <c r="H563">
        <v>4040</v>
      </c>
      <c r="I563" t="s">
        <v>258</v>
      </c>
      <c r="J563">
        <v>62</v>
      </c>
      <c r="K563">
        <v>60062</v>
      </c>
      <c r="L563">
        <v>1440</v>
      </c>
      <c r="M563">
        <v>6</v>
      </c>
      <c r="N563">
        <v>1</v>
      </c>
      <c r="O563">
        <v>1</v>
      </c>
      <c r="P563" t="s">
        <v>18</v>
      </c>
      <c r="Q563">
        <v>3</v>
      </c>
      <c r="R563">
        <v>0</v>
      </c>
      <c r="S563" t="s">
        <v>21</v>
      </c>
      <c r="T563">
        <v>2</v>
      </c>
      <c r="U563">
        <v>0</v>
      </c>
    </row>
    <row r="564" spans="1:21" x14ac:dyDescent="0.25">
      <c r="A564">
        <v>9318954</v>
      </c>
      <c r="B564" t="s">
        <v>15</v>
      </c>
      <c r="C564" s="1">
        <v>43009</v>
      </c>
      <c r="D564" s="2">
        <f>YEAR(C564)</f>
        <v>2017</v>
      </c>
      <c r="E564">
        <v>279384</v>
      </c>
      <c r="F564" t="s">
        <v>85</v>
      </c>
      <c r="G564">
        <v>1961</v>
      </c>
      <c r="H564">
        <v>9755</v>
      </c>
      <c r="I564" t="s">
        <v>102</v>
      </c>
      <c r="J564">
        <v>76</v>
      </c>
      <c r="K564">
        <v>60076</v>
      </c>
      <c r="L564">
        <v>2090</v>
      </c>
      <c r="M564">
        <v>7</v>
      </c>
      <c r="N564">
        <v>2</v>
      </c>
      <c r="O564">
        <v>0</v>
      </c>
      <c r="P564" t="s">
        <v>18</v>
      </c>
      <c r="Q564">
        <v>3</v>
      </c>
      <c r="R564">
        <v>0</v>
      </c>
      <c r="S564" t="s">
        <v>21</v>
      </c>
      <c r="T564">
        <v>2</v>
      </c>
      <c r="U564">
        <v>0</v>
      </c>
    </row>
    <row r="565" spans="1:21" x14ac:dyDescent="0.25">
      <c r="A565">
        <v>10265967</v>
      </c>
      <c r="B565" t="s">
        <v>15</v>
      </c>
      <c r="C565" s="1">
        <v>43515</v>
      </c>
      <c r="D565" s="2">
        <f>YEAR(C565)</f>
        <v>2019</v>
      </c>
      <c r="E565">
        <v>225000</v>
      </c>
      <c r="F565" t="s">
        <v>85</v>
      </c>
      <c r="G565">
        <v>1961</v>
      </c>
      <c r="H565">
        <v>9518</v>
      </c>
      <c r="I565" t="s">
        <v>26</v>
      </c>
      <c r="J565">
        <v>76</v>
      </c>
      <c r="K565">
        <v>60077</v>
      </c>
      <c r="L565">
        <v>1368</v>
      </c>
      <c r="M565">
        <v>7</v>
      </c>
      <c r="N565">
        <v>2</v>
      </c>
      <c r="O565">
        <v>0</v>
      </c>
      <c r="P565" t="s">
        <v>18</v>
      </c>
      <c r="Q565">
        <v>3</v>
      </c>
      <c r="R565">
        <v>0</v>
      </c>
      <c r="S565" t="s">
        <v>19</v>
      </c>
      <c r="T565">
        <v>0</v>
      </c>
      <c r="U565">
        <v>0</v>
      </c>
    </row>
    <row r="566" spans="1:21" x14ac:dyDescent="0.25">
      <c r="A566">
        <v>9950042</v>
      </c>
      <c r="B566" t="s">
        <v>15</v>
      </c>
      <c r="C566" s="1">
        <v>43279</v>
      </c>
      <c r="D566" s="2">
        <f>YEAR(C566)</f>
        <v>2018</v>
      </c>
      <c r="E566">
        <v>360000</v>
      </c>
      <c r="F566" t="s">
        <v>85</v>
      </c>
      <c r="G566">
        <v>1961</v>
      </c>
      <c r="H566">
        <v>8450</v>
      </c>
      <c r="I566" t="s">
        <v>137</v>
      </c>
      <c r="J566">
        <v>76</v>
      </c>
      <c r="K566">
        <v>60077</v>
      </c>
      <c r="L566">
        <v>1325</v>
      </c>
      <c r="M566">
        <v>8</v>
      </c>
      <c r="N566">
        <v>2</v>
      </c>
      <c r="O566">
        <v>0</v>
      </c>
      <c r="P566" t="s">
        <v>18</v>
      </c>
      <c r="Q566">
        <v>3</v>
      </c>
      <c r="R566">
        <v>0</v>
      </c>
      <c r="S566" t="s">
        <v>22</v>
      </c>
      <c r="T566">
        <v>2</v>
      </c>
      <c r="U566">
        <v>0</v>
      </c>
    </row>
    <row r="567" spans="1:21" x14ac:dyDescent="0.25">
      <c r="A567">
        <v>10133504</v>
      </c>
      <c r="B567" t="s">
        <v>15</v>
      </c>
      <c r="C567" s="1">
        <v>43420</v>
      </c>
      <c r="D567" s="2">
        <f>YEAR(C567)</f>
        <v>2018</v>
      </c>
      <c r="E567">
        <v>273000</v>
      </c>
      <c r="F567" t="s">
        <v>85</v>
      </c>
      <c r="G567">
        <v>1961</v>
      </c>
      <c r="H567">
        <v>7913</v>
      </c>
      <c r="I567" t="s">
        <v>125</v>
      </c>
      <c r="J567">
        <v>76</v>
      </c>
      <c r="K567">
        <v>60076</v>
      </c>
      <c r="L567">
        <v>1276</v>
      </c>
      <c r="M567">
        <v>7</v>
      </c>
      <c r="N567">
        <v>2</v>
      </c>
      <c r="O567">
        <v>0</v>
      </c>
      <c r="P567" t="s">
        <v>18</v>
      </c>
      <c r="Q567">
        <v>3</v>
      </c>
      <c r="R567">
        <v>0</v>
      </c>
      <c r="S567" t="s">
        <v>22</v>
      </c>
      <c r="T567">
        <v>2.5</v>
      </c>
      <c r="U567">
        <v>0</v>
      </c>
    </row>
    <row r="568" spans="1:21" x14ac:dyDescent="0.25">
      <c r="A568">
        <v>9401351</v>
      </c>
      <c r="B568" t="s">
        <v>15</v>
      </c>
      <c r="C568" s="1">
        <v>42796</v>
      </c>
      <c r="D568" s="2">
        <f>YEAR(C568)</f>
        <v>2017</v>
      </c>
      <c r="E568">
        <v>585000</v>
      </c>
      <c r="F568" t="s">
        <v>85</v>
      </c>
      <c r="G568">
        <v>1961</v>
      </c>
      <c r="H568">
        <v>1337</v>
      </c>
      <c r="I568" t="s">
        <v>259</v>
      </c>
      <c r="J568">
        <v>62</v>
      </c>
      <c r="K568">
        <v>60062</v>
      </c>
      <c r="L568">
        <v>3569</v>
      </c>
      <c r="M568">
        <v>10</v>
      </c>
      <c r="N568">
        <v>2</v>
      </c>
      <c r="O568">
        <v>2</v>
      </c>
      <c r="P568" t="s">
        <v>18</v>
      </c>
      <c r="Q568">
        <v>4</v>
      </c>
      <c r="R568">
        <v>0</v>
      </c>
      <c r="S568" t="s">
        <v>21</v>
      </c>
      <c r="T568">
        <v>2</v>
      </c>
      <c r="U568">
        <v>0</v>
      </c>
    </row>
    <row r="569" spans="1:21" x14ac:dyDescent="0.25">
      <c r="A569">
        <v>10106769</v>
      </c>
      <c r="B569" t="s">
        <v>15</v>
      </c>
      <c r="C569" s="1">
        <v>43462</v>
      </c>
      <c r="D569" s="2">
        <f>YEAR(C569)</f>
        <v>2018</v>
      </c>
      <c r="E569">
        <v>660000</v>
      </c>
      <c r="F569" t="s">
        <v>85</v>
      </c>
      <c r="G569">
        <v>1961</v>
      </c>
      <c r="H569">
        <v>908</v>
      </c>
      <c r="I569" t="s">
        <v>260</v>
      </c>
      <c r="J569">
        <v>62</v>
      </c>
      <c r="K569">
        <v>60062</v>
      </c>
      <c r="L569">
        <v>3194</v>
      </c>
      <c r="M569">
        <v>10</v>
      </c>
      <c r="N569">
        <v>2</v>
      </c>
      <c r="O569">
        <v>1</v>
      </c>
      <c r="P569" t="s">
        <v>18</v>
      </c>
      <c r="Q569">
        <v>3</v>
      </c>
      <c r="R569">
        <v>0</v>
      </c>
      <c r="S569" t="s">
        <v>21</v>
      </c>
      <c r="T569">
        <v>2</v>
      </c>
      <c r="U569">
        <v>0</v>
      </c>
    </row>
    <row r="570" spans="1:21" x14ac:dyDescent="0.25">
      <c r="A570">
        <v>9929514</v>
      </c>
      <c r="B570" t="s">
        <v>15</v>
      </c>
      <c r="C570" s="1">
        <v>43293</v>
      </c>
      <c r="D570" s="2">
        <f>YEAR(C570)</f>
        <v>2018</v>
      </c>
      <c r="E570">
        <v>742500</v>
      </c>
      <c r="F570" t="s">
        <v>85</v>
      </c>
      <c r="G570">
        <v>1961</v>
      </c>
      <c r="H570">
        <v>908</v>
      </c>
      <c r="I570" t="s">
        <v>260</v>
      </c>
      <c r="J570">
        <v>62</v>
      </c>
      <c r="K570">
        <v>60062</v>
      </c>
      <c r="L570">
        <v>3194</v>
      </c>
      <c r="M570">
        <v>10</v>
      </c>
      <c r="N570">
        <v>2</v>
      </c>
      <c r="O570">
        <v>1</v>
      </c>
      <c r="P570" t="s">
        <v>18</v>
      </c>
      <c r="Q570">
        <v>3</v>
      </c>
      <c r="R570">
        <v>0</v>
      </c>
      <c r="S570" t="s">
        <v>21</v>
      </c>
      <c r="T570">
        <v>2</v>
      </c>
      <c r="U570">
        <v>0</v>
      </c>
    </row>
    <row r="571" spans="1:21" x14ac:dyDescent="0.25">
      <c r="A571">
        <v>9947238</v>
      </c>
      <c r="B571" t="s">
        <v>15</v>
      </c>
      <c r="C571" s="1">
        <v>43322</v>
      </c>
      <c r="D571" s="2">
        <f>YEAR(C571)</f>
        <v>2018</v>
      </c>
      <c r="E571">
        <v>635000</v>
      </c>
      <c r="F571" t="s">
        <v>85</v>
      </c>
      <c r="G571">
        <v>1961</v>
      </c>
      <c r="H571">
        <v>915</v>
      </c>
      <c r="I571" t="s">
        <v>261</v>
      </c>
      <c r="J571">
        <v>62</v>
      </c>
      <c r="K571">
        <v>60062</v>
      </c>
      <c r="L571">
        <v>3062</v>
      </c>
      <c r="M571">
        <v>10</v>
      </c>
      <c r="N571">
        <v>3</v>
      </c>
      <c r="O571">
        <v>0</v>
      </c>
      <c r="P571" t="s">
        <v>18</v>
      </c>
      <c r="Q571">
        <v>4</v>
      </c>
      <c r="R571">
        <v>0</v>
      </c>
      <c r="S571" t="s">
        <v>21</v>
      </c>
      <c r="T571">
        <v>2</v>
      </c>
      <c r="U571">
        <v>0</v>
      </c>
    </row>
    <row r="572" spans="1:21" x14ac:dyDescent="0.25">
      <c r="A572">
        <v>10018207</v>
      </c>
      <c r="B572" t="s">
        <v>15</v>
      </c>
      <c r="C572" s="1">
        <v>43378</v>
      </c>
      <c r="D572" s="2">
        <f>YEAR(C572)</f>
        <v>2018</v>
      </c>
      <c r="E572">
        <v>457000</v>
      </c>
      <c r="F572" t="s">
        <v>85</v>
      </c>
      <c r="G572">
        <v>1961</v>
      </c>
      <c r="H572">
        <v>1620</v>
      </c>
      <c r="I572" t="s">
        <v>262</v>
      </c>
      <c r="J572">
        <v>62</v>
      </c>
      <c r="K572">
        <v>60062</v>
      </c>
      <c r="L572">
        <v>2571</v>
      </c>
      <c r="M572">
        <v>10</v>
      </c>
      <c r="N572">
        <v>2</v>
      </c>
      <c r="O572">
        <v>1</v>
      </c>
      <c r="P572" t="s">
        <v>18</v>
      </c>
      <c r="Q572">
        <v>3</v>
      </c>
      <c r="R572">
        <v>0</v>
      </c>
      <c r="S572" t="s">
        <v>21</v>
      </c>
      <c r="T572">
        <v>2</v>
      </c>
      <c r="U572">
        <v>0</v>
      </c>
    </row>
    <row r="573" spans="1:21" x14ac:dyDescent="0.25">
      <c r="A573">
        <v>9764595</v>
      </c>
      <c r="B573" t="s">
        <v>15</v>
      </c>
      <c r="C573" s="1">
        <v>43039</v>
      </c>
      <c r="D573" s="2">
        <f>YEAR(C573)</f>
        <v>2017</v>
      </c>
      <c r="E573">
        <v>265125</v>
      </c>
      <c r="F573" t="s">
        <v>85</v>
      </c>
      <c r="G573">
        <v>1961</v>
      </c>
      <c r="H573">
        <v>3660</v>
      </c>
      <c r="I573" t="s">
        <v>263</v>
      </c>
      <c r="J573">
        <v>62</v>
      </c>
      <c r="K573">
        <v>60062</v>
      </c>
      <c r="L573">
        <v>1836</v>
      </c>
      <c r="M573">
        <v>6</v>
      </c>
      <c r="N573">
        <v>2</v>
      </c>
      <c r="O573">
        <v>0</v>
      </c>
      <c r="P573" t="s">
        <v>18</v>
      </c>
      <c r="Q573">
        <v>3</v>
      </c>
      <c r="R573">
        <v>0</v>
      </c>
      <c r="S573" t="s">
        <v>21</v>
      </c>
      <c r="T573">
        <v>1</v>
      </c>
      <c r="U573">
        <v>0</v>
      </c>
    </row>
    <row r="574" spans="1:21" x14ac:dyDescent="0.25">
      <c r="A574">
        <v>9585412</v>
      </c>
      <c r="B574" t="s">
        <v>15</v>
      </c>
      <c r="C574" s="1">
        <v>42916</v>
      </c>
      <c r="D574" s="2">
        <f>YEAR(C574)</f>
        <v>2017</v>
      </c>
      <c r="E574">
        <v>480000</v>
      </c>
      <c r="F574" t="s">
        <v>85</v>
      </c>
      <c r="G574">
        <v>1961</v>
      </c>
      <c r="H574">
        <v>1842</v>
      </c>
      <c r="I574" t="s">
        <v>264</v>
      </c>
      <c r="J574">
        <v>62</v>
      </c>
      <c r="K574">
        <v>60062</v>
      </c>
      <c r="L574">
        <v>1778</v>
      </c>
      <c r="M574">
        <v>8</v>
      </c>
      <c r="N574">
        <v>2</v>
      </c>
      <c r="O574">
        <v>1</v>
      </c>
      <c r="P574" t="s">
        <v>18</v>
      </c>
      <c r="Q574">
        <v>4</v>
      </c>
      <c r="R574">
        <v>0</v>
      </c>
      <c r="S574" t="s">
        <v>21</v>
      </c>
      <c r="T574">
        <v>2</v>
      </c>
      <c r="U574">
        <v>0</v>
      </c>
    </row>
    <row r="575" spans="1:21" x14ac:dyDescent="0.25">
      <c r="A575">
        <v>9691382</v>
      </c>
      <c r="B575" t="s">
        <v>15</v>
      </c>
      <c r="C575" s="1">
        <v>43011</v>
      </c>
      <c r="D575" s="2">
        <f>YEAR(C575)</f>
        <v>2017</v>
      </c>
      <c r="E575">
        <v>452500</v>
      </c>
      <c r="F575" t="s">
        <v>85</v>
      </c>
      <c r="G575">
        <v>1961</v>
      </c>
      <c r="H575">
        <v>885</v>
      </c>
      <c r="I575" t="s">
        <v>265</v>
      </c>
      <c r="J575">
        <v>62</v>
      </c>
      <c r="K575">
        <v>60062</v>
      </c>
      <c r="L575">
        <v>1758</v>
      </c>
      <c r="M575">
        <v>9</v>
      </c>
      <c r="N575">
        <v>2</v>
      </c>
      <c r="O575">
        <v>1</v>
      </c>
      <c r="P575" t="s">
        <v>18</v>
      </c>
      <c r="Q575">
        <v>4</v>
      </c>
      <c r="R575">
        <v>0</v>
      </c>
      <c r="S575" t="s">
        <v>21</v>
      </c>
      <c r="T575">
        <v>2</v>
      </c>
      <c r="U575">
        <v>0</v>
      </c>
    </row>
    <row r="576" spans="1:21" x14ac:dyDescent="0.25">
      <c r="A576">
        <v>9620759</v>
      </c>
      <c r="B576" t="s">
        <v>15</v>
      </c>
      <c r="C576" s="1">
        <v>43040</v>
      </c>
      <c r="D576" s="2">
        <f>YEAR(C576)</f>
        <v>2017</v>
      </c>
      <c r="E576">
        <v>316000</v>
      </c>
      <c r="F576" t="s">
        <v>85</v>
      </c>
      <c r="G576">
        <v>1961</v>
      </c>
      <c r="H576">
        <v>3446</v>
      </c>
      <c r="I576" t="s">
        <v>142</v>
      </c>
      <c r="J576">
        <v>62</v>
      </c>
      <c r="K576">
        <v>60062</v>
      </c>
      <c r="L576">
        <v>1619</v>
      </c>
      <c r="M576">
        <v>7</v>
      </c>
      <c r="N576">
        <v>1</v>
      </c>
      <c r="O576">
        <v>1</v>
      </c>
      <c r="P576" t="s">
        <v>18</v>
      </c>
      <c r="Q576">
        <v>3</v>
      </c>
      <c r="R576">
        <v>0</v>
      </c>
      <c r="S576" t="s">
        <v>21</v>
      </c>
      <c r="T576">
        <v>2</v>
      </c>
      <c r="U576">
        <v>0</v>
      </c>
    </row>
    <row r="577" spans="1:21" x14ac:dyDescent="0.25">
      <c r="A577">
        <v>9868437</v>
      </c>
      <c r="B577" t="s">
        <v>15</v>
      </c>
      <c r="C577" s="1">
        <v>43207</v>
      </c>
      <c r="D577" s="2">
        <f>YEAR(C577)</f>
        <v>2018</v>
      </c>
      <c r="E577">
        <v>325000</v>
      </c>
      <c r="F577" t="s">
        <v>85</v>
      </c>
      <c r="G577">
        <v>1961</v>
      </c>
      <c r="H577">
        <v>3446</v>
      </c>
      <c r="I577" t="s">
        <v>142</v>
      </c>
      <c r="J577">
        <v>62</v>
      </c>
      <c r="K577">
        <v>60062</v>
      </c>
      <c r="L577">
        <v>1619</v>
      </c>
      <c r="M577">
        <v>7</v>
      </c>
      <c r="N577">
        <v>1</v>
      </c>
      <c r="O577">
        <v>1</v>
      </c>
      <c r="P577" t="s">
        <v>18</v>
      </c>
      <c r="Q577">
        <v>3</v>
      </c>
      <c r="R577">
        <v>0</v>
      </c>
      <c r="S577" t="s">
        <v>21</v>
      </c>
      <c r="T577">
        <v>2</v>
      </c>
      <c r="U577">
        <v>0</v>
      </c>
    </row>
    <row r="578" spans="1:21" x14ac:dyDescent="0.25">
      <c r="A578">
        <v>9686184</v>
      </c>
      <c r="B578" t="s">
        <v>15</v>
      </c>
      <c r="C578" s="1">
        <v>42993</v>
      </c>
      <c r="D578" s="2">
        <f>YEAR(C578)</f>
        <v>2017</v>
      </c>
      <c r="E578">
        <v>490000</v>
      </c>
      <c r="F578" t="s">
        <v>85</v>
      </c>
      <c r="G578">
        <v>1961</v>
      </c>
      <c r="H578">
        <v>1035</v>
      </c>
      <c r="I578" t="s">
        <v>144</v>
      </c>
      <c r="J578">
        <v>62</v>
      </c>
      <c r="K578">
        <v>60062</v>
      </c>
      <c r="L578">
        <v>1552</v>
      </c>
      <c r="M578">
        <v>6</v>
      </c>
      <c r="N578">
        <v>2</v>
      </c>
      <c r="O578">
        <v>0</v>
      </c>
      <c r="P578" t="s">
        <v>18</v>
      </c>
      <c r="Q578">
        <v>3</v>
      </c>
      <c r="R578">
        <v>0</v>
      </c>
      <c r="S578" t="s">
        <v>21</v>
      </c>
      <c r="T578">
        <v>1</v>
      </c>
      <c r="U578">
        <v>0</v>
      </c>
    </row>
    <row r="579" spans="1:21" x14ac:dyDescent="0.25">
      <c r="A579">
        <v>9663843</v>
      </c>
      <c r="B579" t="s">
        <v>15</v>
      </c>
      <c r="C579" s="1">
        <v>43166</v>
      </c>
      <c r="D579" s="2">
        <f>YEAR(C579)</f>
        <v>2018</v>
      </c>
      <c r="E579">
        <v>267000</v>
      </c>
      <c r="F579" t="s">
        <v>85</v>
      </c>
      <c r="G579">
        <v>1961</v>
      </c>
      <c r="H579">
        <v>2283</v>
      </c>
      <c r="I579" t="s">
        <v>266</v>
      </c>
      <c r="J579">
        <v>62</v>
      </c>
      <c r="K579">
        <v>60062</v>
      </c>
      <c r="L579">
        <v>1216</v>
      </c>
      <c r="M579">
        <v>6</v>
      </c>
      <c r="N579">
        <v>1</v>
      </c>
      <c r="O579">
        <v>0</v>
      </c>
      <c r="P579" t="s">
        <v>18</v>
      </c>
      <c r="Q579">
        <v>3</v>
      </c>
      <c r="R579">
        <v>0</v>
      </c>
      <c r="S579" t="s">
        <v>22</v>
      </c>
      <c r="T579">
        <v>2.5</v>
      </c>
      <c r="U579">
        <v>0</v>
      </c>
    </row>
    <row r="580" spans="1:21" x14ac:dyDescent="0.25">
      <c r="A580">
        <v>9847064</v>
      </c>
      <c r="B580" t="s">
        <v>15</v>
      </c>
      <c r="C580" s="1">
        <v>43206</v>
      </c>
      <c r="D580" s="2">
        <f>YEAR(C580)</f>
        <v>2018</v>
      </c>
      <c r="E580">
        <v>565000</v>
      </c>
      <c r="F580" t="s">
        <v>85</v>
      </c>
      <c r="G580">
        <v>1962</v>
      </c>
      <c r="H580">
        <v>4322</v>
      </c>
      <c r="I580" t="s">
        <v>267</v>
      </c>
      <c r="J580">
        <v>76</v>
      </c>
      <c r="K580">
        <v>60076</v>
      </c>
      <c r="L580">
        <v>2500</v>
      </c>
      <c r="M580">
        <v>8</v>
      </c>
      <c r="N580">
        <v>2</v>
      </c>
      <c r="O580">
        <v>1</v>
      </c>
      <c r="P580" t="s">
        <v>18</v>
      </c>
      <c r="Q580">
        <v>4</v>
      </c>
      <c r="R580">
        <v>0</v>
      </c>
      <c r="S580" t="s">
        <v>21</v>
      </c>
      <c r="T580">
        <v>2</v>
      </c>
      <c r="U580">
        <v>0</v>
      </c>
    </row>
    <row r="581" spans="1:21" x14ac:dyDescent="0.25">
      <c r="A581">
        <v>9929641</v>
      </c>
      <c r="B581" t="s">
        <v>15</v>
      </c>
      <c r="C581" s="1">
        <v>43280</v>
      </c>
      <c r="D581" s="2">
        <f>YEAR(C581)</f>
        <v>2018</v>
      </c>
      <c r="E581">
        <v>329000</v>
      </c>
      <c r="F581" t="s">
        <v>85</v>
      </c>
      <c r="G581">
        <v>1962</v>
      </c>
      <c r="H581">
        <v>8629</v>
      </c>
      <c r="I581" t="s">
        <v>200</v>
      </c>
      <c r="J581">
        <v>76</v>
      </c>
      <c r="K581">
        <v>60076</v>
      </c>
      <c r="L581">
        <v>2397</v>
      </c>
      <c r="M581">
        <v>7</v>
      </c>
      <c r="N581">
        <v>2</v>
      </c>
      <c r="O581">
        <v>0</v>
      </c>
      <c r="P581" t="s">
        <v>18</v>
      </c>
      <c r="Q581">
        <v>3</v>
      </c>
      <c r="R581">
        <v>0</v>
      </c>
      <c r="S581" t="s">
        <v>19</v>
      </c>
      <c r="T581">
        <v>0</v>
      </c>
      <c r="U581">
        <v>0</v>
      </c>
    </row>
    <row r="582" spans="1:21" x14ac:dyDescent="0.25">
      <c r="A582">
        <v>9150164</v>
      </c>
      <c r="B582" t="s">
        <v>15</v>
      </c>
      <c r="C582" s="1">
        <v>42811</v>
      </c>
      <c r="D582" s="2">
        <f>YEAR(C582)</f>
        <v>2017</v>
      </c>
      <c r="E582">
        <v>360000</v>
      </c>
      <c r="F582" t="s">
        <v>85</v>
      </c>
      <c r="G582">
        <v>1962</v>
      </c>
      <c r="H582">
        <v>5120</v>
      </c>
      <c r="I582" t="s">
        <v>268</v>
      </c>
      <c r="J582">
        <v>76</v>
      </c>
      <c r="K582">
        <v>60077</v>
      </c>
      <c r="L582">
        <v>2300</v>
      </c>
      <c r="M582">
        <v>8</v>
      </c>
      <c r="N582">
        <v>2</v>
      </c>
      <c r="O582">
        <v>1</v>
      </c>
      <c r="P582" t="s">
        <v>18</v>
      </c>
      <c r="Q582">
        <v>4</v>
      </c>
      <c r="R582">
        <v>0</v>
      </c>
      <c r="S582" t="s">
        <v>21</v>
      </c>
      <c r="T582">
        <v>2</v>
      </c>
      <c r="U582">
        <v>0</v>
      </c>
    </row>
    <row r="583" spans="1:21" x14ac:dyDescent="0.25">
      <c r="A583">
        <v>9849587</v>
      </c>
      <c r="B583" t="s">
        <v>15</v>
      </c>
      <c r="C583" s="1">
        <v>43188</v>
      </c>
      <c r="D583" s="2">
        <f>YEAR(C583)</f>
        <v>2018</v>
      </c>
      <c r="E583">
        <v>388000</v>
      </c>
      <c r="F583" t="s">
        <v>85</v>
      </c>
      <c r="G583">
        <v>1962</v>
      </c>
      <c r="H583">
        <v>8950</v>
      </c>
      <c r="I583" t="s">
        <v>108</v>
      </c>
      <c r="J583">
        <v>76</v>
      </c>
      <c r="K583">
        <v>60076</v>
      </c>
      <c r="L583">
        <v>1513</v>
      </c>
      <c r="M583">
        <v>9</v>
      </c>
      <c r="N583">
        <v>2</v>
      </c>
      <c r="O583">
        <v>1</v>
      </c>
      <c r="P583" t="s">
        <v>18</v>
      </c>
      <c r="Q583">
        <v>4</v>
      </c>
      <c r="R583">
        <v>0</v>
      </c>
      <c r="S583" t="s">
        <v>21</v>
      </c>
      <c r="T583">
        <v>2</v>
      </c>
      <c r="U583">
        <v>0</v>
      </c>
    </row>
    <row r="584" spans="1:21" x14ac:dyDescent="0.25">
      <c r="A584">
        <v>9637861</v>
      </c>
      <c r="B584" t="s">
        <v>15</v>
      </c>
      <c r="C584" s="1">
        <v>42944</v>
      </c>
      <c r="D584" s="2">
        <f>YEAR(C584)</f>
        <v>2017</v>
      </c>
      <c r="E584">
        <v>295500</v>
      </c>
      <c r="F584" t="s">
        <v>85</v>
      </c>
      <c r="G584">
        <v>1962</v>
      </c>
      <c r="H584">
        <v>7509</v>
      </c>
      <c r="I584" t="s">
        <v>123</v>
      </c>
      <c r="J584">
        <v>76</v>
      </c>
      <c r="K584">
        <v>60076</v>
      </c>
      <c r="L584">
        <v>1464</v>
      </c>
      <c r="M584">
        <v>7</v>
      </c>
      <c r="N584">
        <v>2</v>
      </c>
      <c r="O584">
        <v>0</v>
      </c>
      <c r="P584" t="s">
        <v>18</v>
      </c>
      <c r="Q584">
        <v>3</v>
      </c>
      <c r="R584">
        <v>0</v>
      </c>
      <c r="S584" t="s">
        <v>19</v>
      </c>
      <c r="T584">
        <v>0</v>
      </c>
      <c r="U584">
        <v>0</v>
      </c>
    </row>
    <row r="585" spans="1:21" x14ac:dyDescent="0.25">
      <c r="A585">
        <v>9761321</v>
      </c>
      <c r="B585" t="s">
        <v>15</v>
      </c>
      <c r="C585" s="1">
        <v>43054</v>
      </c>
      <c r="D585" s="2">
        <f>YEAR(C585)</f>
        <v>2017</v>
      </c>
      <c r="E585">
        <v>271000</v>
      </c>
      <c r="F585" t="s">
        <v>85</v>
      </c>
      <c r="G585">
        <v>1962</v>
      </c>
      <c r="H585">
        <v>8209</v>
      </c>
      <c r="I585" t="s">
        <v>101</v>
      </c>
      <c r="J585">
        <v>76</v>
      </c>
      <c r="K585">
        <v>60076</v>
      </c>
      <c r="L585">
        <v>1369</v>
      </c>
      <c r="M585">
        <v>7</v>
      </c>
      <c r="N585">
        <v>2</v>
      </c>
      <c r="O585">
        <v>0</v>
      </c>
      <c r="P585" t="s">
        <v>18</v>
      </c>
      <c r="Q585">
        <v>3</v>
      </c>
      <c r="R585">
        <v>0</v>
      </c>
      <c r="S585" t="s">
        <v>22</v>
      </c>
      <c r="T585">
        <v>2</v>
      </c>
      <c r="U585">
        <v>0</v>
      </c>
    </row>
    <row r="586" spans="1:21" x14ac:dyDescent="0.25">
      <c r="A586">
        <v>10128693</v>
      </c>
      <c r="B586" t="s">
        <v>15</v>
      </c>
      <c r="C586" s="1">
        <v>43503</v>
      </c>
      <c r="D586" s="2">
        <f>YEAR(C586)</f>
        <v>2019</v>
      </c>
      <c r="E586">
        <v>265000</v>
      </c>
      <c r="F586" t="s">
        <v>85</v>
      </c>
      <c r="G586">
        <v>1962</v>
      </c>
      <c r="H586">
        <v>5240</v>
      </c>
      <c r="I586" t="s">
        <v>150</v>
      </c>
      <c r="J586">
        <v>76</v>
      </c>
      <c r="K586">
        <v>60077</v>
      </c>
      <c r="L586">
        <v>1361</v>
      </c>
      <c r="M586">
        <v>7</v>
      </c>
      <c r="N586">
        <v>1</v>
      </c>
      <c r="O586">
        <v>1</v>
      </c>
      <c r="P586" t="s">
        <v>18</v>
      </c>
      <c r="Q586">
        <v>3</v>
      </c>
      <c r="R586">
        <v>0</v>
      </c>
      <c r="S586" t="s">
        <v>22</v>
      </c>
      <c r="T586">
        <v>2</v>
      </c>
      <c r="U586">
        <v>0</v>
      </c>
    </row>
    <row r="587" spans="1:21" x14ac:dyDescent="0.25">
      <c r="A587">
        <v>9860149</v>
      </c>
      <c r="B587" t="s">
        <v>15</v>
      </c>
      <c r="C587" s="1">
        <v>43258</v>
      </c>
      <c r="D587" s="2">
        <f>YEAR(C587)</f>
        <v>2018</v>
      </c>
      <c r="E587">
        <v>347500</v>
      </c>
      <c r="F587" t="s">
        <v>85</v>
      </c>
      <c r="G587">
        <v>1962</v>
      </c>
      <c r="H587">
        <v>5309</v>
      </c>
      <c r="I587" t="s">
        <v>269</v>
      </c>
      <c r="J587">
        <v>76</v>
      </c>
      <c r="K587">
        <v>60077</v>
      </c>
      <c r="L587">
        <v>1300</v>
      </c>
      <c r="M587">
        <v>8</v>
      </c>
      <c r="N587">
        <v>2</v>
      </c>
      <c r="O587">
        <v>0</v>
      </c>
      <c r="P587" t="s">
        <v>18</v>
      </c>
      <c r="Q587">
        <v>4</v>
      </c>
      <c r="R587">
        <v>0</v>
      </c>
      <c r="S587" t="s">
        <v>22</v>
      </c>
      <c r="T587">
        <v>2</v>
      </c>
      <c r="U587">
        <v>0</v>
      </c>
    </row>
    <row r="588" spans="1:21" x14ac:dyDescent="0.25">
      <c r="A588">
        <v>9929973</v>
      </c>
      <c r="B588" t="s">
        <v>15</v>
      </c>
      <c r="C588" s="1">
        <v>43257</v>
      </c>
      <c r="D588" s="2">
        <f>YEAR(C588)</f>
        <v>2018</v>
      </c>
      <c r="E588">
        <v>285000</v>
      </c>
      <c r="F588" t="s">
        <v>85</v>
      </c>
      <c r="G588">
        <v>1962</v>
      </c>
      <c r="H588">
        <v>7915</v>
      </c>
      <c r="I588" t="s">
        <v>125</v>
      </c>
      <c r="J588">
        <v>76</v>
      </c>
      <c r="K588">
        <v>60076</v>
      </c>
      <c r="L588">
        <v>1276</v>
      </c>
      <c r="M588">
        <v>7</v>
      </c>
      <c r="N588">
        <v>2</v>
      </c>
      <c r="O588">
        <v>0</v>
      </c>
      <c r="P588" t="s">
        <v>18</v>
      </c>
      <c r="Q588">
        <v>3</v>
      </c>
      <c r="R588">
        <v>0</v>
      </c>
      <c r="S588" t="s">
        <v>22</v>
      </c>
      <c r="T588">
        <v>2.5</v>
      </c>
      <c r="U588">
        <v>0</v>
      </c>
    </row>
    <row r="589" spans="1:21" x14ac:dyDescent="0.25">
      <c r="A589">
        <v>9778633</v>
      </c>
      <c r="B589" t="s">
        <v>15</v>
      </c>
      <c r="C589" s="1">
        <v>43181</v>
      </c>
      <c r="D589" s="2">
        <f>YEAR(C589)</f>
        <v>2018</v>
      </c>
      <c r="E589">
        <v>1265000</v>
      </c>
      <c r="F589" t="s">
        <v>85</v>
      </c>
      <c r="G589">
        <v>1962</v>
      </c>
      <c r="H589">
        <v>29</v>
      </c>
      <c r="I589" t="s">
        <v>270</v>
      </c>
      <c r="J589">
        <v>62</v>
      </c>
      <c r="K589">
        <v>60062</v>
      </c>
      <c r="L589">
        <v>5400</v>
      </c>
      <c r="M589">
        <v>12</v>
      </c>
      <c r="N589">
        <v>5</v>
      </c>
      <c r="O589">
        <v>1</v>
      </c>
      <c r="P589" t="s">
        <v>18</v>
      </c>
      <c r="Q589">
        <v>5</v>
      </c>
      <c r="R589">
        <v>0</v>
      </c>
      <c r="S589" t="s">
        <v>21</v>
      </c>
      <c r="T589">
        <v>3</v>
      </c>
      <c r="U589">
        <v>0</v>
      </c>
    </row>
    <row r="590" spans="1:21" x14ac:dyDescent="0.25">
      <c r="A590">
        <v>9805356</v>
      </c>
      <c r="B590" t="s">
        <v>15</v>
      </c>
      <c r="C590" s="1">
        <v>43122</v>
      </c>
      <c r="D590" s="2">
        <f>YEAR(C590)</f>
        <v>2018</v>
      </c>
      <c r="E590">
        <v>360000</v>
      </c>
      <c r="F590" t="s">
        <v>85</v>
      </c>
      <c r="G590">
        <v>1962</v>
      </c>
      <c r="H590">
        <v>603</v>
      </c>
      <c r="I590" t="s">
        <v>267</v>
      </c>
      <c r="J590">
        <v>62</v>
      </c>
      <c r="K590">
        <v>60062</v>
      </c>
      <c r="L590">
        <v>2879</v>
      </c>
      <c r="M590">
        <v>8</v>
      </c>
      <c r="N590">
        <v>2</v>
      </c>
      <c r="O590">
        <v>0</v>
      </c>
      <c r="P590" t="s">
        <v>18</v>
      </c>
      <c r="Q590">
        <v>4</v>
      </c>
      <c r="R590">
        <v>0</v>
      </c>
      <c r="S590" t="s">
        <v>22</v>
      </c>
      <c r="T590">
        <v>1</v>
      </c>
      <c r="U590">
        <v>0</v>
      </c>
    </row>
    <row r="591" spans="1:21" x14ac:dyDescent="0.25">
      <c r="A591">
        <v>9701564</v>
      </c>
      <c r="B591" t="s">
        <v>15</v>
      </c>
      <c r="C591" s="1">
        <v>43076</v>
      </c>
      <c r="D591" s="2">
        <f>YEAR(C591)</f>
        <v>2017</v>
      </c>
      <c r="E591">
        <v>527500</v>
      </c>
      <c r="F591" t="s">
        <v>85</v>
      </c>
      <c r="G591">
        <v>1962</v>
      </c>
      <c r="H591">
        <v>3540</v>
      </c>
      <c r="I591" t="s">
        <v>249</v>
      </c>
      <c r="J591">
        <v>62</v>
      </c>
      <c r="K591">
        <v>60062</v>
      </c>
      <c r="L591">
        <v>2645</v>
      </c>
      <c r="M591">
        <v>10</v>
      </c>
      <c r="N591">
        <v>4</v>
      </c>
      <c r="O591">
        <v>0</v>
      </c>
      <c r="P591" t="s">
        <v>18</v>
      </c>
      <c r="Q591">
        <v>5</v>
      </c>
      <c r="R591">
        <v>0</v>
      </c>
      <c r="S591" t="s">
        <v>21</v>
      </c>
      <c r="T591">
        <v>2</v>
      </c>
      <c r="U591">
        <v>0</v>
      </c>
    </row>
    <row r="592" spans="1:21" x14ac:dyDescent="0.25">
      <c r="A592">
        <v>9686626</v>
      </c>
      <c r="B592" t="s">
        <v>15</v>
      </c>
      <c r="C592" s="1">
        <v>42984</v>
      </c>
      <c r="D592" s="2">
        <f>YEAR(C592)</f>
        <v>2017</v>
      </c>
      <c r="E592">
        <v>487500</v>
      </c>
      <c r="F592" t="s">
        <v>85</v>
      </c>
      <c r="G592">
        <v>1962</v>
      </c>
      <c r="H592">
        <v>2790</v>
      </c>
      <c r="I592" t="s">
        <v>190</v>
      </c>
      <c r="J592">
        <v>62</v>
      </c>
      <c r="K592">
        <v>60062</v>
      </c>
      <c r="L592">
        <v>2105</v>
      </c>
      <c r="M592">
        <v>8</v>
      </c>
      <c r="N592">
        <v>2</v>
      </c>
      <c r="O592">
        <v>1</v>
      </c>
      <c r="P592" t="s">
        <v>18</v>
      </c>
      <c r="Q592">
        <v>4</v>
      </c>
      <c r="R592">
        <v>0</v>
      </c>
      <c r="S592" t="s">
        <v>21</v>
      </c>
      <c r="T592">
        <v>2</v>
      </c>
      <c r="U592">
        <v>0</v>
      </c>
    </row>
    <row r="593" spans="1:21" x14ac:dyDescent="0.25">
      <c r="A593">
        <v>9597248</v>
      </c>
      <c r="B593" t="s">
        <v>15</v>
      </c>
      <c r="C593" s="1">
        <v>42916</v>
      </c>
      <c r="D593" s="2">
        <f>YEAR(C593)</f>
        <v>2017</v>
      </c>
      <c r="E593">
        <v>657000</v>
      </c>
      <c r="F593" t="s">
        <v>85</v>
      </c>
      <c r="G593">
        <v>1962</v>
      </c>
      <c r="H593">
        <v>2665</v>
      </c>
      <c r="I593" t="s">
        <v>190</v>
      </c>
      <c r="J593">
        <v>62</v>
      </c>
      <c r="K593">
        <v>60062</v>
      </c>
      <c r="L593">
        <v>2100</v>
      </c>
      <c r="M593">
        <v>9</v>
      </c>
      <c r="N593">
        <v>2</v>
      </c>
      <c r="O593">
        <v>0</v>
      </c>
      <c r="P593" t="s">
        <v>18</v>
      </c>
      <c r="Q593">
        <v>3</v>
      </c>
      <c r="R593">
        <v>1</v>
      </c>
      <c r="S593" t="s">
        <v>21</v>
      </c>
      <c r="T593">
        <v>2</v>
      </c>
      <c r="U593">
        <v>0</v>
      </c>
    </row>
    <row r="594" spans="1:21" x14ac:dyDescent="0.25">
      <c r="A594">
        <v>9904347</v>
      </c>
      <c r="B594" t="s">
        <v>15</v>
      </c>
      <c r="C594" s="1">
        <v>43313</v>
      </c>
      <c r="D594" s="2">
        <f>YEAR(C594)</f>
        <v>2018</v>
      </c>
      <c r="E594">
        <v>340000</v>
      </c>
      <c r="F594" t="s">
        <v>85</v>
      </c>
      <c r="G594">
        <v>1962</v>
      </c>
      <c r="H594">
        <v>319</v>
      </c>
      <c r="I594" t="s">
        <v>201</v>
      </c>
      <c r="J594">
        <v>62</v>
      </c>
      <c r="K594">
        <v>60062</v>
      </c>
      <c r="L594">
        <v>1900</v>
      </c>
      <c r="M594">
        <v>8</v>
      </c>
      <c r="N594">
        <v>2</v>
      </c>
      <c r="O594">
        <v>0</v>
      </c>
      <c r="P594" t="s">
        <v>18</v>
      </c>
      <c r="Q594">
        <v>3</v>
      </c>
      <c r="R594">
        <v>0</v>
      </c>
      <c r="S594" t="s">
        <v>21</v>
      </c>
      <c r="T594">
        <v>1</v>
      </c>
      <c r="U594">
        <v>0</v>
      </c>
    </row>
    <row r="595" spans="1:21" x14ac:dyDescent="0.25">
      <c r="A595">
        <v>9884308</v>
      </c>
      <c r="B595" t="s">
        <v>15</v>
      </c>
      <c r="C595" s="1">
        <v>43266</v>
      </c>
      <c r="D595" s="2">
        <f>YEAR(C595)</f>
        <v>2018</v>
      </c>
      <c r="E595">
        <v>410000</v>
      </c>
      <c r="F595" t="s">
        <v>85</v>
      </c>
      <c r="G595">
        <v>1962</v>
      </c>
      <c r="H595">
        <v>339</v>
      </c>
      <c r="I595" t="s">
        <v>201</v>
      </c>
      <c r="J595">
        <v>62</v>
      </c>
      <c r="K595">
        <v>60062</v>
      </c>
      <c r="L595">
        <v>1892</v>
      </c>
      <c r="M595">
        <v>9</v>
      </c>
      <c r="N595">
        <v>3</v>
      </c>
      <c r="O595">
        <v>0</v>
      </c>
      <c r="P595" t="s">
        <v>18</v>
      </c>
      <c r="Q595">
        <v>5</v>
      </c>
      <c r="R595">
        <v>0</v>
      </c>
      <c r="S595" t="s">
        <v>22</v>
      </c>
      <c r="T595">
        <v>2</v>
      </c>
      <c r="U595">
        <v>0</v>
      </c>
    </row>
    <row r="596" spans="1:21" x14ac:dyDescent="0.25">
      <c r="A596">
        <v>9617012</v>
      </c>
      <c r="B596" t="s">
        <v>15</v>
      </c>
      <c r="C596" s="1">
        <v>42927</v>
      </c>
      <c r="D596" s="2">
        <f>YEAR(C596)</f>
        <v>2017</v>
      </c>
      <c r="E596">
        <v>533000</v>
      </c>
      <c r="F596" t="s">
        <v>85</v>
      </c>
      <c r="G596">
        <v>1962</v>
      </c>
      <c r="H596">
        <v>3622</v>
      </c>
      <c r="I596" t="s">
        <v>263</v>
      </c>
      <c r="J596">
        <v>62</v>
      </c>
      <c r="K596">
        <v>60062</v>
      </c>
      <c r="L596">
        <v>1863</v>
      </c>
      <c r="M596">
        <v>11</v>
      </c>
      <c r="N596">
        <v>2</v>
      </c>
      <c r="O596">
        <v>0</v>
      </c>
      <c r="P596" t="s">
        <v>18</v>
      </c>
      <c r="Q596">
        <v>3</v>
      </c>
      <c r="R596">
        <v>0</v>
      </c>
      <c r="S596" t="s">
        <v>21</v>
      </c>
      <c r="T596">
        <v>2</v>
      </c>
      <c r="U596">
        <v>0</v>
      </c>
    </row>
    <row r="597" spans="1:21" x14ac:dyDescent="0.25">
      <c r="A597">
        <v>9839795</v>
      </c>
      <c r="B597" t="s">
        <v>15</v>
      </c>
      <c r="C597" s="1">
        <v>43238</v>
      </c>
      <c r="D597" s="2">
        <f>YEAR(C597)</f>
        <v>2018</v>
      </c>
      <c r="E597">
        <v>400000</v>
      </c>
      <c r="F597" t="s">
        <v>85</v>
      </c>
      <c r="G597">
        <v>1962</v>
      </c>
      <c r="H597">
        <v>2585</v>
      </c>
      <c r="I597" t="s">
        <v>271</v>
      </c>
      <c r="J597">
        <v>62</v>
      </c>
      <c r="K597">
        <v>60062</v>
      </c>
      <c r="L597">
        <v>1690</v>
      </c>
      <c r="M597">
        <v>7</v>
      </c>
      <c r="N597">
        <v>2</v>
      </c>
      <c r="O597">
        <v>0</v>
      </c>
      <c r="P597" t="s">
        <v>18</v>
      </c>
      <c r="Q597">
        <v>3</v>
      </c>
      <c r="R597">
        <v>0</v>
      </c>
      <c r="S597" t="s">
        <v>21</v>
      </c>
      <c r="T597">
        <v>2</v>
      </c>
      <c r="U597">
        <v>0</v>
      </c>
    </row>
    <row r="598" spans="1:21" x14ac:dyDescent="0.25">
      <c r="A598">
        <v>9911417</v>
      </c>
      <c r="B598" t="s">
        <v>15</v>
      </c>
      <c r="C598" s="1">
        <v>43224</v>
      </c>
      <c r="D598" s="2">
        <f>YEAR(C598)</f>
        <v>2018</v>
      </c>
      <c r="E598">
        <v>495000</v>
      </c>
      <c r="F598" t="s">
        <v>85</v>
      </c>
      <c r="G598">
        <v>1962</v>
      </c>
      <c r="H598">
        <v>1751</v>
      </c>
      <c r="I598" t="s">
        <v>272</v>
      </c>
      <c r="J598">
        <v>62</v>
      </c>
      <c r="K598">
        <v>60062</v>
      </c>
      <c r="L598">
        <v>1660</v>
      </c>
      <c r="M598">
        <v>8</v>
      </c>
      <c r="N598">
        <v>2</v>
      </c>
      <c r="O598">
        <v>0</v>
      </c>
      <c r="P598" t="s">
        <v>18</v>
      </c>
      <c r="Q598">
        <v>3</v>
      </c>
      <c r="R598">
        <v>0</v>
      </c>
      <c r="S598" t="s">
        <v>21</v>
      </c>
      <c r="T598">
        <v>1</v>
      </c>
      <c r="U598">
        <v>0</v>
      </c>
    </row>
    <row r="599" spans="1:21" x14ac:dyDescent="0.25">
      <c r="A599">
        <v>9563537</v>
      </c>
      <c r="B599" t="s">
        <v>15</v>
      </c>
      <c r="C599" s="1">
        <v>42856</v>
      </c>
      <c r="D599" s="2">
        <f>YEAR(C599)</f>
        <v>2017</v>
      </c>
      <c r="E599">
        <v>510000</v>
      </c>
      <c r="F599" t="s">
        <v>85</v>
      </c>
      <c r="G599">
        <v>1962</v>
      </c>
      <c r="H599">
        <v>925</v>
      </c>
      <c r="I599" t="s">
        <v>254</v>
      </c>
      <c r="J599">
        <v>62</v>
      </c>
      <c r="K599">
        <v>60062</v>
      </c>
      <c r="L599">
        <v>1572</v>
      </c>
      <c r="M599">
        <v>9</v>
      </c>
      <c r="N599">
        <v>3</v>
      </c>
      <c r="O599">
        <v>0</v>
      </c>
      <c r="P599" t="s">
        <v>18</v>
      </c>
      <c r="Q599">
        <v>4</v>
      </c>
      <c r="R599">
        <v>0</v>
      </c>
      <c r="S599" t="s">
        <v>21</v>
      </c>
      <c r="T599">
        <v>2</v>
      </c>
      <c r="U599">
        <v>0</v>
      </c>
    </row>
    <row r="600" spans="1:21" x14ac:dyDescent="0.25">
      <c r="A600">
        <v>9815549</v>
      </c>
      <c r="B600" t="s">
        <v>15</v>
      </c>
      <c r="C600" s="1">
        <v>43077</v>
      </c>
      <c r="D600" s="2">
        <f>YEAR(C600)</f>
        <v>2017</v>
      </c>
      <c r="E600">
        <v>380000</v>
      </c>
      <c r="F600" t="s">
        <v>85</v>
      </c>
      <c r="G600">
        <v>1962</v>
      </c>
      <c r="H600">
        <v>3975</v>
      </c>
      <c r="I600" t="s">
        <v>273</v>
      </c>
      <c r="J600">
        <v>62</v>
      </c>
      <c r="K600">
        <v>60062</v>
      </c>
      <c r="L600">
        <v>1472</v>
      </c>
      <c r="M600">
        <v>7</v>
      </c>
      <c r="N600">
        <v>2</v>
      </c>
      <c r="O600">
        <v>0</v>
      </c>
      <c r="P600" t="s">
        <v>18</v>
      </c>
      <c r="Q600">
        <v>3</v>
      </c>
      <c r="R600">
        <v>0</v>
      </c>
      <c r="S600" t="s">
        <v>21</v>
      </c>
      <c r="T600">
        <v>2</v>
      </c>
      <c r="U600">
        <v>0</v>
      </c>
    </row>
    <row r="601" spans="1:21" x14ac:dyDescent="0.25">
      <c r="A601">
        <v>9624670</v>
      </c>
      <c r="B601" t="s">
        <v>15</v>
      </c>
      <c r="C601" s="1">
        <v>42934</v>
      </c>
      <c r="D601" s="2">
        <f>YEAR(C601)</f>
        <v>2017</v>
      </c>
      <c r="E601">
        <v>525000</v>
      </c>
      <c r="F601" t="s">
        <v>85</v>
      </c>
      <c r="G601">
        <v>1963</v>
      </c>
      <c r="H601">
        <v>8813</v>
      </c>
      <c r="I601" t="s">
        <v>105</v>
      </c>
      <c r="J601">
        <v>76</v>
      </c>
      <c r="K601">
        <v>60076</v>
      </c>
      <c r="L601">
        <v>2581</v>
      </c>
      <c r="M601">
        <v>8</v>
      </c>
      <c r="N601">
        <v>2</v>
      </c>
      <c r="O601">
        <v>1</v>
      </c>
      <c r="P601" t="s">
        <v>18</v>
      </c>
      <c r="Q601">
        <v>5</v>
      </c>
      <c r="R601">
        <v>0</v>
      </c>
      <c r="S601" t="s">
        <v>21</v>
      </c>
      <c r="T601">
        <v>2</v>
      </c>
      <c r="U601">
        <v>0</v>
      </c>
    </row>
    <row r="602" spans="1:21" x14ac:dyDescent="0.25">
      <c r="A602">
        <v>9496168</v>
      </c>
      <c r="B602" t="s">
        <v>15</v>
      </c>
      <c r="C602" s="1">
        <v>42821</v>
      </c>
      <c r="D602" s="2">
        <f>YEAR(C602)</f>
        <v>2017</v>
      </c>
      <c r="E602">
        <v>225000</v>
      </c>
      <c r="F602" t="s">
        <v>85</v>
      </c>
      <c r="G602">
        <v>1963</v>
      </c>
      <c r="H602">
        <v>5222</v>
      </c>
      <c r="I602" t="s">
        <v>150</v>
      </c>
      <c r="J602">
        <v>76</v>
      </c>
      <c r="K602">
        <v>60076</v>
      </c>
      <c r="L602">
        <v>1276</v>
      </c>
      <c r="M602">
        <v>7</v>
      </c>
      <c r="N602">
        <v>2</v>
      </c>
      <c r="O602">
        <v>0</v>
      </c>
      <c r="P602" t="s">
        <v>18</v>
      </c>
      <c r="Q602">
        <v>3</v>
      </c>
      <c r="R602">
        <v>0</v>
      </c>
      <c r="S602" t="s">
        <v>22</v>
      </c>
      <c r="T602">
        <v>1</v>
      </c>
      <c r="U602">
        <v>0</v>
      </c>
    </row>
    <row r="603" spans="1:21" x14ac:dyDescent="0.25">
      <c r="A603">
        <v>9850291</v>
      </c>
      <c r="B603" t="s">
        <v>15</v>
      </c>
      <c r="C603" s="1">
        <v>43199</v>
      </c>
      <c r="D603" s="2">
        <f>YEAR(C603)</f>
        <v>2018</v>
      </c>
      <c r="E603">
        <v>261000</v>
      </c>
      <c r="F603" t="s">
        <v>85</v>
      </c>
      <c r="G603">
        <v>1963</v>
      </c>
      <c r="H603">
        <v>5222</v>
      </c>
      <c r="I603" t="s">
        <v>274</v>
      </c>
      <c r="J603">
        <v>76</v>
      </c>
      <c r="K603">
        <v>60077</v>
      </c>
      <c r="L603">
        <v>1276</v>
      </c>
      <c r="M603">
        <v>6</v>
      </c>
      <c r="N603">
        <v>2</v>
      </c>
      <c r="O603">
        <v>0</v>
      </c>
      <c r="P603" t="s">
        <v>18</v>
      </c>
      <c r="Q603">
        <v>3</v>
      </c>
      <c r="R603">
        <v>0</v>
      </c>
      <c r="S603" t="s">
        <v>22</v>
      </c>
      <c r="T603">
        <v>1</v>
      </c>
      <c r="U603">
        <v>0</v>
      </c>
    </row>
    <row r="604" spans="1:21" x14ac:dyDescent="0.25">
      <c r="A604">
        <v>9651416</v>
      </c>
      <c r="B604" t="s">
        <v>15</v>
      </c>
      <c r="C604" s="1">
        <v>42930</v>
      </c>
      <c r="D604" s="2">
        <f>YEAR(C604)</f>
        <v>2017</v>
      </c>
      <c r="E604">
        <v>241000</v>
      </c>
      <c r="F604" t="s">
        <v>85</v>
      </c>
      <c r="G604">
        <v>1963</v>
      </c>
      <c r="H604">
        <v>9217</v>
      </c>
      <c r="I604" t="s">
        <v>30</v>
      </c>
      <c r="J604">
        <v>76</v>
      </c>
      <c r="K604">
        <v>60076</v>
      </c>
      <c r="L604">
        <v>1248</v>
      </c>
      <c r="M604">
        <v>6</v>
      </c>
      <c r="N604">
        <v>1</v>
      </c>
      <c r="O604">
        <v>1</v>
      </c>
      <c r="P604" t="s">
        <v>18</v>
      </c>
      <c r="Q604">
        <v>3</v>
      </c>
      <c r="R604">
        <v>0</v>
      </c>
      <c r="S604" t="s">
        <v>19</v>
      </c>
      <c r="T604">
        <v>0</v>
      </c>
      <c r="U604">
        <v>0</v>
      </c>
    </row>
    <row r="605" spans="1:21" x14ac:dyDescent="0.25">
      <c r="A605">
        <v>9857292</v>
      </c>
      <c r="B605" t="s">
        <v>15</v>
      </c>
      <c r="C605" s="1">
        <v>43252</v>
      </c>
      <c r="D605" s="2">
        <f>YEAR(C605)</f>
        <v>2018</v>
      </c>
      <c r="E605">
        <v>640600</v>
      </c>
      <c r="F605" t="s">
        <v>85</v>
      </c>
      <c r="G605">
        <v>1963</v>
      </c>
      <c r="H605">
        <v>2270</v>
      </c>
      <c r="I605" t="s">
        <v>275</v>
      </c>
      <c r="J605">
        <v>62</v>
      </c>
      <c r="K605">
        <v>60062</v>
      </c>
      <c r="L605">
        <v>2800</v>
      </c>
      <c r="M605">
        <v>11</v>
      </c>
      <c r="N605">
        <v>2</v>
      </c>
      <c r="O605">
        <v>1</v>
      </c>
      <c r="P605" t="s">
        <v>18</v>
      </c>
      <c r="Q605">
        <v>4</v>
      </c>
      <c r="R605">
        <v>0</v>
      </c>
      <c r="S605" t="s">
        <v>21</v>
      </c>
      <c r="T605">
        <v>2</v>
      </c>
      <c r="U605">
        <v>0</v>
      </c>
    </row>
    <row r="606" spans="1:21" x14ac:dyDescent="0.25">
      <c r="A606">
        <v>9910170</v>
      </c>
      <c r="B606" t="s">
        <v>15</v>
      </c>
      <c r="C606" s="1">
        <v>43294</v>
      </c>
      <c r="D606" s="2">
        <f>YEAR(C606)</f>
        <v>2018</v>
      </c>
      <c r="E606">
        <v>735000</v>
      </c>
      <c r="F606" t="s">
        <v>85</v>
      </c>
      <c r="G606">
        <v>1963</v>
      </c>
      <c r="H606">
        <v>257</v>
      </c>
      <c r="I606" t="s">
        <v>276</v>
      </c>
      <c r="J606">
        <v>62</v>
      </c>
      <c r="K606">
        <v>60062</v>
      </c>
      <c r="L606">
        <v>2566</v>
      </c>
      <c r="M606">
        <v>10</v>
      </c>
      <c r="N606">
        <v>2</v>
      </c>
      <c r="O606">
        <v>1</v>
      </c>
      <c r="P606" t="s">
        <v>18</v>
      </c>
      <c r="Q606">
        <v>4</v>
      </c>
      <c r="R606">
        <v>0</v>
      </c>
      <c r="S606" t="s">
        <v>21</v>
      </c>
      <c r="T606">
        <v>2</v>
      </c>
      <c r="U606">
        <v>0</v>
      </c>
    </row>
    <row r="607" spans="1:21" x14ac:dyDescent="0.25">
      <c r="A607">
        <v>9390292</v>
      </c>
      <c r="B607" t="s">
        <v>15</v>
      </c>
      <c r="C607" s="1">
        <v>42825</v>
      </c>
      <c r="D607" s="2">
        <f>YEAR(C607)</f>
        <v>2017</v>
      </c>
      <c r="E607">
        <v>430000</v>
      </c>
      <c r="F607" t="s">
        <v>85</v>
      </c>
      <c r="G607">
        <v>1963</v>
      </c>
      <c r="H607">
        <v>1459</v>
      </c>
      <c r="I607" t="s">
        <v>39</v>
      </c>
      <c r="J607">
        <v>62</v>
      </c>
      <c r="K607">
        <v>60062</v>
      </c>
      <c r="L607">
        <v>1808</v>
      </c>
      <c r="M607">
        <v>8</v>
      </c>
      <c r="N607">
        <v>2</v>
      </c>
      <c r="O607">
        <v>0</v>
      </c>
      <c r="P607" t="s">
        <v>18</v>
      </c>
      <c r="Q607">
        <v>3</v>
      </c>
      <c r="R607">
        <v>0</v>
      </c>
      <c r="S607" t="s">
        <v>21</v>
      </c>
      <c r="T607">
        <v>2</v>
      </c>
      <c r="U607">
        <v>0</v>
      </c>
    </row>
    <row r="608" spans="1:21" x14ac:dyDescent="0.25">
      <c r="A608">
        <v>9641893</v>
      </c>
      <c r="B608" t="s">
        <v>15</v>
      </c>
      <c r="C608" s="1">
        <v>43279</v>
      </c>
      <c r="D608" s="2">
        <f>YEAR(C608)</f>
        <v>2018</v>
      </c>
      <c r="E608">
        <v>350000</v>
      </c>
      <c r="F608" t="s">
        <v>85</v>
      </c>
      <c r="G608">
        <v>1963</v>
      </c>
      <c r="H608">
        <v>3723</v>
      </c>
      <c r="I608" t="s">
        <v>87</v>
      </c>
      <c r="J608">
        <v>62</v>
      </c>
      <c r="K608">
        <v>60062</v>
      </c>
      <c r="L608">
        <v>1704</v>
      </c>
      <c r="M608">
        <v>8</v>
      </c>
      <c r="N608">
        <v>3</v>
      </c>
      <c r="O608">
        <v>0</v>
      </c>
      <c r="P608" t="s">
        <v>18</v>
      </c>
      <c r="Q608">
        <v>4</v>
      </c>
      <c r="R608">
        <v>0</v>
      </c>
      <c r="S608" t="s">
        <v>21</v>
      </c>
      <c r="T608">
        <v>2</v>
      </c>
      <c r="U608">
        <v>0</v>
      </c>
    </row>
    <row r="609" spans="1:21" x14ac:dyDescent="0.25">
      <c r="A609">
        <v>9714823</v>
      </c>
      <c r="B609" t="s">
        <v>15</v>
      </c>
      <c r="C609" s="1">
        <v>42992</v>
      </c>
      <c r="D609" s="2">
        <f>YEAR(C609)</f>
        <v>2017</v>
      </c>
      <c r="E609">
        <v>478000</v>
      </c>
      <c r="F609" t="s">
        <v>85</v>
      </c>
      <c r="G609">
        <v>1963</v>
      </c>
      <c r="H609">
        <v>1534</v>
      </c>
      <c r="I609" t="s">
        <v>172</v>
      </c>
      <c r="J609">
        <v>62</v>
      </c>
      <c r="K609">
        <v>60062</v>
      </c>
      <c r="L609">
        <v>1695</v>
      </c>
      <c r="M609">
        <v>9</v>
      </c>
      <c r="N609">
        <v>2</v>
      </c>
      <c r="O609">
        <v>1</v>
      </c>
      <c r="P609" t="s">
        <v>18</v>
      </c>
      <c r="Q609">
        <v>4</v>
      </c>
      <c r="R609">
        <v>0</v>
      </c>
      <c r="S609" t="s">
        <v>21</v>
      </c>
      <c r="T609">
        <v>2</v>
      </c>
      <c r="U609">
        <v>0</v>
      </c>
    </row>
    <row r="610" spans="1:21" x14ac:dyDescent="0.25">
      <c r="A610">
        <v>10101225</v>
      </c>
      <c r="B610" t="s">
        <v>15</v>
      </c>
      <c r="C610" s="1">
        <v>43430</v>
      </c>
      <c r="D610" s="2">
        <f>YEAR(C610)</f>
        <v>2018</v>
      </c>
      <c r="E610">
        <v>437500</v>
      </c>
      <c r="F610" t="s">
        <v>85</v>
      </c>
      <c r="G610">
        <v>1963</v>
      </c>
      <c r="H610">
        <v>1047</v>
      </c>
      <c r="I610" t="s">
        <v>205</v>
      </c>
      <c r="J610">
        <v>62</v>
      </c>
      <c r="K610">
        <v>60062</v>
      </c>
      <c r="L610">
        <v>1332</v>
      </c>
      <c r="M610">
        <v>6</v>
      </c>
      <c r="N610">
        <v>2</v>
      </c>
      <c r="O610">
        <v>0</v>
      </c>
      <c r="P610" t="s">
        <v>18</v>
      </c>
      <c r="Q610">
        <v>3</v>
      </c>
      <c r="R610">
        <v>0</v>
      </c>
      <c r="S610" t="s">
        <v>21</v>
      </c>
      <c r="T610">
        <v>1</v>
      </c>
      <c r="U610">
        <v>0</v>
      </c>
    </row>
    <row r="611" spans="1:21" x14ac:dyDescent="0.25">
      <c r="A611">
        <v>10079658</v>
      </c>
      <c r="B611" t="s">
        <v>15</v>
      </c>
      <c r="C611" s="1">
        <v>43451</v>
      </c>
      <c r="D611" s="2">
        <f>YEAR(C611)</f>
        <v>2018</v>
      </c>
      <c r="E611">
        <v>430000</v>
      </c>
      <c r="F611" t="s">
        <v>85</v>
      </c>
      <c r="G611">
        <v>1964</v>
      </c>
      <c r="H611">
        <v>5126</v>
      </c>
      <c r="I611" t="s">
        <v>269</v>
      </c>
      <c r="J611">
        <v>76</v>
      </c>
      <c r="K611">
        <v>60077</v>
      </c>
      <c r="L611">
        <v>1871</v>
      </c>
      <c r="M611">
        <v>7</v>
      </c>
      <c r="N611">
        <v>2</v>
      </c>
      <c r="O611">
        <v>0</v>
      </c>
      <c r="P611" t="s">
        <v>18</v>
      </c>
      <c r="Q611">
        <v>3</v>
      </c>
      <c r="R611">
        <v>0</v>
      </c>
      <c r="S611" t="s">
        <v>22</v>
      </c>
      <c r="T611">
        <v>2.5</v>
      </c>
      <c r="U611">
        <v>0</v>
      </c>
    </row>
    <row r="612" spans="1:21" x14ac:dyDescent="0.25">
      <c r="A612">
        <v>9579851</v>
      </c>
      <c r="B612" t="s">
        <v>15</v>
      </c>
      <c r="C612" s="1">
        <v>42873</v>
      </c>
      <c r="D612" s="2">
        <f>YEAR(C612)</f>
        <v>2017</v>
      </c>
      <c r="E612">
        <v>375000</v>
      </c>
      <c r="F612" t="s">
        <v>85</v>
      </c>
      <c r="G612">
        <v>1964</v>
      </c>
      <c r="H612">
        <v>3853</v>
      </c>
      <c r="I612" t="s">
        <v>277</v>
      </c>
      <c r="J612">
        <v>76</v>
      </c>
      <c r="K612">
        <v>60076</v>
      </c>
      <c r="L612">
        <v>1431</v>
      </c>
      <c r="M612">
        <v>9</v>
      </c>
      <c r="N612">
        <v>2</v>
      </c>
      <c r="O612">
        <v>0</v>
      </c>
      <c r="P612" t="s">
        <v>18</v>
      </c>
      <c r="Q612">
        <v>4</v>
      </c>
      <c r="R612">
        <v>0</v>
      </c>
      <c r="S612" t="s">
        <v>21</v>
      </c>
      <c r="T612">
        <v>2.5</v>
      </c>
      <c r="U612">
        <v>0</v>
      </c>
    </row>
    <row r="613" spans="1:21" x14ac:dyDescent="0.25">
      <c r="A613">
        <v>10088963</v>
      </c>
      <c r="B613" t="s">
        <v>15</v>
      </c>
      <c r="C613" s="1">
        <v>43525</v>
      </c>
      <c r="D613" s="2">
        <f>YEAR(C613)</f>
        <v>2019</v>
      </c>
      <c r="E613">
        <v>330000</v>
      </c>
      <c r="F613" t="s">
        <v>85</v>
      </c>
      <c r="G613">
        <v>1964</v>
      </c>
      <c r="H613">
        <v>3903</v>
      </c>
      <c r="I613" t="s">
        <v>55</v>
      </c>
      <c r="J613">
        <v>76</v>
      </c>
      <c r="K613">
        <v>60076</v>
      </c>
      <c r="L613">
        <v>1400</v>
      </c>
      <c r="M613">
        <v>7</v>
      </c>
      <c r="N613">
        <v>2</v>
      </c>
      <c r="O613">
        <v>0</v>
      </c>
      <c r="P613" t="s">
        <v>18</v>
      </c>
      <c r="Q613">
        <v>3</v>
      </c>
      <c r="R613">
        <v>0</v>
      </c>
      <c r="S613" t="s">
        <v>22</v>
      </c>
      <c r="T613">
        <v>2</v>
      </c>
      <c r="U613">
        <v>0</v>
      </c>
    </row>
    <row r="614" spans="1:21" x14ac:dyDescent="0.25">
      <c r="A614">
        <v>9621790</v>
      </c>
      <c r="B614" t="s">
        <v>15</v>
      </c>
      <c r="C614" s="1">
        <v>42922</v>
      </c>
      <c r="D614" s="2">
        <f>YEAR(C614)</f>
        <v>2017</v>
      </c>
      <c r="E614">
        <v>330000</v>
      </c>
      <c r="F614" t="s">
        <v>85</v>
      </c>
      <c r="G614">
        <v>1964</v>
      </c>
      <c r="H614">
        <v>9630</v>
      </c>
      <c r="I614" t="s">
        <v>136</v>
      </c>
      <c r="J614">
        <v>76</v>
      </c>
      <c r="K614">
        <v>60076</v>
      </c>
      <c r="L614">
        <v>1295</v>
      </c>
      <c r="M614">
        <v>7</v>
      </c>
      <c r="N614">
        <v>2</v>
      </c>
      <c r="O614">
        <v>0</v>
      </c>
      <c r="P614" t="s">
        <v>18</v>
      </c>
      <c r="Q614">
        <v>3</v>
      </c>
      <c r="R614">
        <v>0</v>
      </c>
      <c r="S614" t="s">
        <v>19</v>
      </c>
      <c r="T614">
        <v>0</v>
      </c>
      <c r="U614">
        <v>0</v>
      </c>
    </row>
    <row r="615" spans="1:21" x14ac:dyDescent="0.25">
      <c r="A615">
        <v>9654316</v>
      </c>
      <c r="B615" t="s">
        <v>15</v>
      </c>
      <c r="C615" s="1">
        <v>42951</v>
      </c>
      <c r="D615" s="2">
        <f>YEAR(C615)</f>
        <v>2017</v>
      </c>
      <c r="E615">
        <v>687500</v>
      </c>
      <c r="F615" t="s">
        <v>85</v>
      </c>
      <c r="G615">
        <v>1964</v>
      </c>
      <c r="H615">
        <v>2767</v>
      </c>
      <c r="I615" t="s">
        <v>271</v>
      </c>
      <c r="J615">
        <v>62</v>
      </c>
      <c r="K615">
        <v>60062</v>
      </c>
      <c r="L615">
        <v>3088</v>
      </c>
      <c r="M615">
        <v>10</v>
      </c>
      <c r="N615">
        <v>2</v>
      </c>
      <c r="O615">
        <v>1</v>
      </c>
      <c r="P615" t="s">
        <v>18</v>
      </c>
      <c r="Q615">
        <v>5</v>
      </c>
      <c r="R615">
        <v>0</v>
      </c>
      <c r="S615" t="s">
        <v>21</v>
      </c>
      <c r="T615">
        <v>2</v>
      </c>
      <c r="U615">
        <v>0</v>
      </c>
    </row>
    <row r="616" spans="1:21" x14ac:dyDescent="0.25">
      <c r="A616">
        <v>9801845</v>
      </c>
      <c r="B616" t="s">
        <v>15</v>
      </c>
      <c r="C616" s="1">
        <v>43172</v>
      </c>
      <c r="D616" s="2">
        <f>YEAR(C616)</f>
        <v>2018</v>
      </c>
      <c r="E616">
        <v>530000</v>
      </c>
      <c r="F616" t="s">
        <v>85</v>
      </c>
      <c r="G616">
        <v>1964</v>
      </c>
      <c r="H616">
        <v>1204</v>
      </c>
      <c r="I616" t="s">
        <v>278</v>
      </c>
      <c r="J616">
        <v>62</v>
      </c>
      <c r="K616">
        <v>60062</v>
      </c>
      <c r="L616">
        <v>2889</v>
      </c>
      <c r="M616">
        <v>9</v>
      </c>
      <c r="N616">
        <v>2</v>
      </c>
      <c r="O616">
        <v>1</v>
      </c>
      <c r="P616" t="s">
        <v>18</v>
      </c>
      <c r="Q616">
        <v>3</v>
      </c>
      <c r="R616">
        <v>0</v>
      </c>
      <c r="S616" t="s">
        <v>21</v>
      </c>
      <c r="T616">
        <v>2</v>
      </c>
      <c r="U616">
        <v>0</v>
      </c>
    </row>
    <row r="617" spans="1:21" x14ac:dyDescent="0.25">
      <c r="A617">
        <v>9875507</v>
      </c>
      <c r="B617" t="s">
        <v>15</v>
      </c>
      <c r="C617" s="1">
        <v>43290</v>
      </c>
      <c r="D617" s="2">
        <f>YEAR(C617)</f>
        <v>2018</v>
      </c>
      <c r="E617">
        <v>572000</v>
      </c>
      <c r="F617" t="s">
        <v>85</v>
      </c>
      <c r="G617">
        <v>1964</v>
      </c>
      <c r="H617">
        <v>1101</v>
      </c>
      <c r="I617" t="s">
        <v>279</v>
      </c>
      <c r="J617">
        <v>62</v>
      </c>
      <c r="K617">
        <v>60062</v>
      </c>
      <c r="L617">
        <v>2801</v>
      </c>
      <c r="M617">
        <v>8</v>
      </c>
      <c r="N617">
        <v>2</v>
      </c>
      <c r="O617">
        <v>1</v>
      </c>
      <c r="P617" t="s">
        <v>18</v>
      </c>
      <c r="Q617">
        <v>4</v>
      </c>
      <c r="R617">
        <v>0</v>
      </c>
      <c r="S617" t="s">
        <v>21</v>
      </c>
      <c r="T617">
        <v>2</v>
      </c>
      <c r="U617">
        <v>0</v>
      </c>
    </row>
    <row r="618" spans="1:21" x14ac:dyDescent="0.25">
      <c r="A618">
        <v>9515986</v>
      </c>
      <c r="B618" t="s">
        <v>15</v>
      </c>
      <c r="C618" s="1">
        <v>42948</v>
      </c>
      <c r="D618" s="2">
        <f>YEAR(C618)</f>
        <v>2017</v>
      </c>
      <c r="E618">
        <v>520000</v>
      </c>
      <c r="F618" t="s">
        <v>85</v>
      </c>
      <c r="G618">
        <v>1964</v>
      </c>
      <c r="H618">
        <v>1540</v>
      </c>
      <c r="I618" t="s">
        <v>172</v>
      </c>
      <c r="J618">
        <v>62</v>
      </c>
      <c r="K618">
        <v>60062</v>
      </c>
      <c r="L618">
        <v>2520</v>
      </c>
      <c r="M618">
        <v>7</v>
      </c>
      <c r="N618">
        <v>2</v>
      </c>
      <c r="O618">
        <v>0</v>
      </c>
      <c r="P618" t="s">
        <v>18</v>
      </c>
      <c r="Q618">
        <v>3</v>
      </c>
      <c r="R618">
        <v>0</v>
      </c>
      <c r="S618" t="s">
        <v>21</v>
      </c>
      <c r="T618">
        <v>2</v>
      </c>
      <c r="U618">
        <v>0</v>
      </c>
    </row>
    <row r="619" spans="1:21" x14ac:dyDescent="0.25">
      <c r="A619">
        <v>9508757</v>
      </c>
      <c r="B619" t="s">
        <v>15</v>
      </c>
      <c r="C619" s="1">
        <v>42930</v>
      </c>
      <c r="D619" s="2">
        <f>YEAR(C619)</f>
        <v>2017</v>
      </c>
      <c r="E619">
        <v>675000</v>
      </c>
      <c r="F619" t="s">
        <v>85</v>
      </c>
      <c r="G619">
        <v>1964</v>
      </c>
      <c r="H619">
        <v>2208</v>
      </c>
      <c r="I619" t="s">
        <v>280</v>
      </c>
      <c r="J619">
        <v>62</v>
      </c>
      <c r="K619">
        <v>60062</v>
      </c>
      <c r="L619">
        <v>2240</v>
      </c>
      <c r="M619">
        <v>10</v>
      </c>
      <c r="N619">
        <v>2</v>
      </c>
      <c r="O619">
        <v>1</v>
      </c>
      <c r="P619" t="s">
        <v>18</v>
      </c>
      <c r="Q619">
        <v>4</v>
      </c>
      <c r="R619">
        <v>0</v>
      </c>
      <c r="S619" t="s">
        <v>21</v>
      </c>
      <c r="T619">
        <v>2</v>
      </c>
      <c r="U619">
        <v>0</v>
      </c>
    </row>
    <row r="620" spans="1:21" x14ac:dyDescent="0.25">
      <c r="A620">
        <v>10064855</v>
      </c>
      <c r="B620" t="s">
        <v>15</v>
      </c>
      <c r="C620" s="1">
        <v>43462</v>
      </c>
      <c r="D620" s="2">
        <f>YEAR(C620)</f>
        <v>2018</v>
      </c>
      <c r="E620">
        <v>399000</v>
      </c>
      <c r="F620" t="s">
        <v>85</v>
      </c>
      <c r="G620">
        <v>1964</v>
      </c>
      <c r="H620">
        <v>1845</v>
      </c>
      <c r="I620" t="s">
        <v>281</v>
      </c>
      <c r="J620">
        <v>62</v>
      </c>
      <c r="K620">
        <v>60062</v>
      </c>
      <c r="L620">
        <v>2196</v>
      </c>
      <c r="M620">
        <v>8</v>
      </c>
      <c r="N620">
        <v>2</v>
      </c>
      <c r="O620">
        <v>1</v>
      </c>
      <c r="P620" t="s">
        <v>18</v>
      </c>
      <c r="Q620">
        <v>4</v>
      </c>
      <c r="R620">
        <v>0</v>
      </c>
      <c r="S620" t="s">
        <v>21</v>
      </c>
      <c r="T620">
        <v>2</v>
      </c>
      <c r="U620">
        <v>0</v>
      </c>
    </row>
    <row r="621" spans="1:21" x14ac:dyDescent="0.25">
      <c r="A621">
        <v>9491645</v>
      </c>
      <c r="B621" t="s">
        <v>15</v>
      </c>
      <c r="C621" s="1">
        <v>42902</v>
      </c>
      <c r="D621" s="2">
        <f>YEAR(C621)</f>
        <v>2017</v>
      </c>
      <c r="E621">
        <v>520000</v>
      </c>
      <c r="F621" t="s">
        <v>85</v>
      </c>
      <c r="G621">
        <v>1964</v>
      </c>
      <c r="H621">
        <v>1264</v>
      </c>
      <c r="I621" t="s">
        <v>282</v>
      </c>
      <c r="J621">
        <v>62</v>
      </c>
      <c r="K621">
        <v>60062</v>
      </c>
      <c r="L621">
        <v>2153</v>
      </c>
      <c r="M621">
        <v>10</v>
      </c>
      <c r="N621">
        <v>2</v>
      </c>
      <c r="O621">
        <v>1</v>
      </c>
      <c r="P621" t="s">
        <v>18</v>
      </c>
      <c r="Q621">
        <v>4</v>
      </c>
      <c r="R621">
        <v>0</v>
      </c>
      <c r="S621" t="s">
        <v>21</v>
      </c>
      <c r="T621">
        <v>2</v>
      </c>
      <c r="U621">
        <v>0</v>
      </c>
    </row>
    <row r="622" spans="1:21" x14ac:dyDescent="0.25">
      <c r="A622">
        <v>9599909</v>
      </c>
      <c r="B622" t="s">
        <v>15</v>
      </c>
      <c r="C622" s="1">
        <v>42906</v>
      </c>
      <c r="D622" s="2">
        <f>YEAR(C622)</f>
        <v>2017</v>
      </c>
      <c r="E622">
        <v>480000</v>
      </c>
      <c r="F622" t="s">
        <v>85</v>
      </c>
      <c r="G622">
        <v>1964</v>
      </c>
      <c r="H622">
        <v>1331</v>
      </c>
      <c r="I622" t="s">
        <v>283</v>
      </c>
      <c r="J622">
        <v>62</v>
      </c>
      <c r="K622">
        <v>60062</v>
      </c>
      <c r="L622">
        <v>2011</v>
      </c>
      <c r="M622">
        <v>8</v>
      </c>
      <c r="N622">
        <v>2</v>
      </c>
      <c r="O622">
        <v>0</v>
      </c>
      <c r="P622" t="s">
        <v>18</v>
      </c>
      <c r="Q622">
        <v>3</v>
      </c>
      <c r="R622">
        <v>0</v>
      </c>
      <c r="S622" t="s">
        <v>21</v>
      </c>
      <c r="T622">
        <v>2</v>
      </c>
      <c r="U622">
        <v>0</v>
      </c>
    </row>
    <row r="623" spans="1:21" x14ac:dyDescent="0.25">
      <c r="A623">
        <v>9651833</v>
      </c>
      <c r="B623" t="s">
        <v>15</v>
      </c>
      <c r="C623" s="1">
        <v>42986</v>
      </c>
      <c r="D623" s="2">
        <f>YEAR(C623)</f>
        <v>2017</v>
      </c>
      <c r="E623">
        <v>310000</v>
      </c>
      <c r="F623" t="s">
        <v>85</v>
      </c>
      <c r="G623">
        <v>1964</v>
      </c>
      <c r="H623">
        <v>3135</v>
      </c>
      <c r="I623" t="s">
        <v>284</v>
      </c>
      <c r="J623">
        <v>62</v>
      </c>
      <c r="K623">
        <v>60062</v>
      </c>
      <c r="L623">
        <v>1769</v>
      </c>
      <c r="M623">
        <v>8</v>
      </c>
      <c r="N623">
        <v>2</v>
      </c>
      <c r="O623">
        <v>0</v>
      </c>
      <c r="P623" t="s">
        <v>18</v>
      </c>
      <c r="Q623">
        <v>3</v>
      </c>
      <c r="R623">
        <v>0</v>
      </c>
      <c r="S623" t="s">
        <v>21</v>
      </c>
      <c r="T623">
        <v>2</v>
      </c>
      <c r="U623">
        <v>0</v>
      </c>
    </row>
    <row r="624" spans="1:21" x14ac:dyDescent="0.25">
      <c r="A624">
        <v>9404556</v>
      </c>
      <c r="B624" t="s">
        <v>15</v>
      </c>
      <c r="C624" s="1">
        <v>42885</v>
      </c>
      <c r="D624" s="2">
        <f>YEAR(C624)</f>
        <v>2017</v>
      </c>
      <c r="E624">
        <v>312600</v>
      </c>
      <c r="F624" t="s">
        <v>85</v>
      </c>
      <c r="G624">
        <v>1964</v>
      </c>
      <c r="H624">
        <v>1223</v>
      </c>
      <c r="I624" t="s">
        <v>282</v>
      </c>
      <c r="J624">
        <v>62</v>
      </c>
      <c r="K624">
        <v>60062</v>
      </c>
      <c r="L624">
        <v>1711</v>
      </c>
      <c r="M624">
        <v>6</v>
      </c>
      <c r="N624">
        <v>2</v>
      </c>
      <c r="O624">
        <v>0</v>
      </c>
      <c r="P624" t="s">
        <v>18</v>
      </c>
      <c r="Q624">
        <v>3</v>
      </c>
      <c r="R624">
        <v>0</v>
      </c>
      <c r="S624" t="s">
        <v>21</v>
      </c>
      <c r="T624">
        <v>2</v>
      </c>
      <c r="U624">
        <v>0</v>
      </c>
    </row>
    <row r="625" spans="1:21" x14ac:dyDescent="0.25">
      <c r="A625">
        <v>9597737</v>
      </c>
      <c r="B625" t="s">
        <v>15</v>
      </c>
      <c r="C625" s="1">
        <v>42909</v>
      </c>
      <c r="D625" s="2">
        <f>YEAR(C625)</f>
        <v>2017</v>
      </c>
      <c r="E625">
        <v>417500</v>
      </c>
      <c r="F625" t="s">
        <v>85</v>
      </c>
      <c r="G625">
        <v>1964</v>
      </c>
      <c r="H625">
        <v>1350</v>
      </c>
      <c r="I625" t="s">
        <v>283</v>
      </c>
      <c r="J625">
        <v>62</v>
      </c>
      <c r="K625">
        <v>60062</v>
      </c>
      <c r="L625">
        <v>1711</v>
      </c>
      <c r="M625">
        <v>7</v>
      </c>
      <c r="N625">
        <v>2</v>
      </c>
      <c r="O625">
        <v>0</v>
      </c>
      <c r="P625" t="s">
        <v>18</v>
      </c>
      <c r="Q625">
        <v>3</v>
      </c>
      <c r="R625">
        <v>0</v>
      </c>
      <c r="S625" t="s">
        <v>21</v>
      </c>
      <c r="T625">
        <v>2</v>
      </c>
      <c r="U625">
        <v>0</v>
      </c>
    </row>
    <row r="626" spans="1:21" x14ac:dyDescent="0.25">
      <c r="A626">
        <v>9768719</v>
      </c>
      <c r="B626" t="s">
        <v>15</v>
      </c>
      <c r="C626" s="1">
        <v>43098</v>
      </c>
      <c r="D626" s="2">
        <f>YEAR(C626)</f>
        <v>2017</v>
      </c>
      <c r="E626">
        <v>379000</v>
      </c>
      <c r="F626" t="s">
        <v>85</v>
      </c>
      <c r="G626">
        <v>1964</v>
      </c>
      <c r="H626">
        <v>3890</v>
      </c>
      <c r="I626" t="s">
        <v>273</v>
      </c>
      <c r="J626">
        <v>62</v>
      </c>
      <c r="K626">
        <v>60062</v>
      </c>
      <c r="L626">
        <v>1695</v>
      </c>
      <c r="M626">
        <v>7</v>
      </c>
      <c r="N626">
        <v>1</v>
      </c>
      <c r="O626">
        <v>1</v>
      </c>
      <c r="P626" t="s">
        <v>18</v>
      </c>
      <c r="Q626">
        <v>3</v>
      </c>
      <c r="R626">
        <v>0</v>
      </c>
      <c r="S626" t="s">
        <v>21</v>
      </c>
      <c r="T626">
        <v>2</v>
      </c>
      <c r="U626">
        <v>0</v>
      </c>
    </row>
    <row r="627" spans="1:21" x14ac:dyDescent="0.25">
      <c r="A627">
        <v>9770324</v>
      </c>
      <c r="B627" t="s">
        <v>15</v>
      </c>
      <c r="C627" s="1">
        <v>43182</v>
      </c>
      <c r="D627" s="2">
        <f>YEAR(C627)</f>
        <v>2018</v>
      </c>
      <c r="E627">
        <v>519000</v>
      </c>
      <c r="F627" t="s">
        <v>85</v>
      </c>
      <c r="G627">
        <v>1965</v>
      </c>
      <c r="H627">
        <v>9649</v>
      </c>
      <c r="I627" t="s">
        <v>214</v>
      </c>
      <c r="J627">
        <v>76</v>
      </c>
      <c r="K627">
        <v>60077</v>
      </c>
      <c r="L627">
        <v>2600</v>
      </c>
      <c r="M627">
        <v>11</v>
      </c>
      <c r="N627">
        <v>3</v>
      </c>
      <c r="O627">
        <v>0</v>
      </c>
      <c r="P627" t="s">
        <v>18</v>
      </c>
      <c r="Q627">
        <v>5</v>
      </c>
      <c r="R627">
        <v>0</v>
      </c>
      <c r="S627" t="s">
        <v>21</v>
      </c>
      <c r="T627">
        <v>2</v>
      </c>
      <c r="U627">
        <v>0</v>
      </c>
    </row>
    <row r="628" spans="1:21" x14ac:dyDescent="0.25">
      <c r="A628">
        <v>9515704</v>
      </c>
      <c r="B628" t="s">
        <v>15</v>
      </c>
      <c r="C628" s="1">
        <v>42832</v>
      </c>
      <c r="D628" s="2">
        <f>YEAR(C628)</f>
        <v>2017</v>
      </c>
      <c r="E628">
        <v>420000</v>
      </c>
      <c r="F628" t="s">
        <v>85</v>
      </c>
      <c r="G628">
        <v>1965</v>
      </c>
      <c r="H628">
        <v>9626</v>
      </c>
      <c r="I628" t="s">
        <v>123</v>
      </c>
      <c r="J628">
        <v>76</v>
      </c>
      <c r="K628">
        <v>60076</v>
      </c>
      <c r="L628">
        <v>2546</v>
      </c>
      <c r="M628">
        <v>9</v>
      </c>
      <c r="N628">
        <v>2</v>
      </c>
      <c r="O628">
        <v>1</v>
      </c>
      <c r="P628" t="s">
        <v>18</v>
      </c>
      <c r="Q628">
        <v>4</v>
      </c>
      <c r="R628">
        <v>0</v>
      </c>
      <c r="S628" t="s">
        <v>21</v>
      </c>
      <c r="T628">
        <v>2</v>
      </c>
      <c r="U628">
        <v>0</v>
      </c>
    </row>
    <row r="629" spans="1:21" x14ac:dyDescent="0.25">
      <c r="A629">
        <v>9610861</v>
      </c>
      <c r="B629" t="s">
        <v>15</v>
      </c>
      <c r="C629" s="1">
        <v>42913</v>
      </c>
      <c r="D629" s="2">
        <f>YEAR(C629)</f>
        <v>2017</v>
      </c>
      <c r="E629">
        <v>407500</v>
      </c>
      <c r="F629" t="s">
        <v>85</v>
      </c>
      <c r="G629">
        <v>1965</v>
      </c>
      <c r="H629">
        <v>8050</v>
      </c>
      <c r="I629" t="s">
        <v>118</v>
      </c>
      <c r="J629">
        <v>76</v>
      </c>
      <c r="K629">
        <v>60076</v>
      </c>
      <c r="L629">
        <v>2190</v>
      </c>
      <c r="M629">
        <v>7</v>
      </c>
      <c r="N629">
        <v>2</v>
      </c>
      <c r="O629">
        <v>0</v>
      </c>
      <c r="P629" t="s">
        <v>18</v>
      </c>
      <c r="Q629">
        <v>3</v>
      </c>
      <c r="R629">
        <v>0</v>
      </c>
      <c r="S629" t="s">
        <v>21</v>
      </c>
      <c r="T629">
        <v>2</v>
      </c>
      <c r="U629">
        <v>0</v>
      </c>
    </row>
    <row r="630" spans="1:21" x14ac:dyDescent="0.25">
      <c r="A630">
        <v>9517749</v>
      </c>
      <c r="B630" t="s">
        <v>15</v>
      </c>
      <c r="C630" s="1">
        <v>42886</v>
      </c>
      <c r="D630" s="2">
        <f>YEAR(C630)</f>
        <v>2017</v>
      </c>
      <c r="E630">
        <v>310000</v>
      </c>
      <c r="F630" t="s">
        <v>85</v>
      </c>
      <c r="G630">
        <v>1965</v>
      </c>
      <c r="H630">
        <v>8026</v>
      </c>
      <c r="I630" t="s">
        <v>105</v>
      </c>
      <c r="J630">
        <v>76</v>
      </c>
      <c r="K630">
        <v>60076</v>
      </c>
      <c r="L630">
        <v>1928</v>
      </c>
      <c r="M630">
        <v>9</v>
      </c>
      <c r="N630">
        <v>2</v>
      </c>
      <c r="O630">
        <v>0</v>
      </c>
      <c r="P630" t="s">
        <v>18</v>
      </c>
      <c r="Q630">
        <v>4</v>
      </c>
      <c r="R630">
        <v>0</v>
      </c>
      <c r="S630" t="s">
        <v>22</v>
      </c>
      <c r="T630">
        <v>2</v>
      </c>
      <c r="U630">
        <v>0</v>
      </c>
    </row>
    <row r="631" spans="1:21" x14ac:dyDescent="0.25">
      <c r="A631">
        <v>9879377</v>
      </c>
      <c r="B631" t="s">
        <v>15</v>
      </c>
      <c r="C631" s="1">
        <v>43252</v>
      </c>
      <c r="D631" s="2">
        <f>YEAR(C631)</f>
        <v>2018</v>
      </c>
      <c r="E631">
        <v>350000</v>
      </c>
      <c r="F631" t="s">
        <v>85</v>
      </c>
      <c r="G631">
        <v>1965</v>
      </c>
      <c r="H631">
        <v>7513</v>
      </c>
      <c r="I631" t="s">
        <v>71</v>
      </c>
      <c r="J631">
        <v>76</v>
      </c>
      <c r="K631">
        <v>60077</v>
      </c>
      <c r="L631">
        <v>1844</v>
      </c>
      <c r="M631">
        <v>9</v>
      </c>
      <c r="N631">
        <v>2</v>
      </c>
      <c r="O631">
        <v>1</v>
      </c>
      <c r="P631" t="s">
        <v>18</v>
      </c>
      <c r="Q631">
        <v>3</v>
      </c>
      <c r="R631">
        <v>1</v>
      </c>
      <c r="S631" t="s">
        <v>22</v>
      </c>
      <c r="T631">
        <v>2</v>
      </c>
      <c r="U631">
        <v>0</v>
      </c>
    </row>
    <row r="632" spans="1:21" x14ac:dyDescent="0.25">
      <c r="A632">
        <v>9975611</v>
      </c>
      <c r="B632" t="s">
        <v>15</v>
      </c>
      <c r="C632" s="1">
        <v>43325</v>
      </c>
      <c r="D632" s="2">
        <f>YEAR(C632)</f>
        <v>2018</v>
      </c>
      <c r="E632">
        <v>285000</v>
      </c>
      <c r="F632" t="s">
        <v>85</v>
      </c>
      <c r="G632">
        <v>1965</v>
      </c>
      <c r="H632">
        <v>3830</v>
      </c>
      <c r="I632" t="s">
        <v>285</v>
      </c>
      <c r="J632">
        <v>76</v>
      </c>
      <c r="K632">
        <v>60076</v>
      </c>
      <c r="L632">
        <v>1685</v>
      </c>
      <c r="M632">
        <v>7</v>
      </c>
      <c r="N632">
        <v>1</v>
      </c>
      <c r="O632">
        <v>1</v>
      </c>
      <c r="P632" t="s">
        <v>18</v>
      </c>
      <c r="Q632">
        <v>3</v>
      </c>
      <c r="R632">
        <v>0</v>
      </c>
      <c r="S632" t="s">
        <v>22</v>
      </c>
      <c r="T632">
        <v>2</v>
      </c>
      <c r="U632">
        <v>0</v>
      </c>
    </row>
    <row r="633" spans="1:21" x14ac:dyDescent="0.25">
      <c r="A633">
        <v>10064214</v>
      </c>
      <c r="B633" t="s">
        <v>15</v>
      </c>
      <c r="C633" s="1">
        <v>43461</v>
      </c>
      <c r="D633" s="2">
        <f>YEAR(C633)</f>
        <v>2018</v>
      </c>
      <c r="E633">
        <v>315000</v>
      </c>
      <c r="F633" t="s">
        <v>85</v>
      </c>
      <c r="G633">
        <v>1965</v>
      </c>
      <c r="H633">
        <v>8146</v>
      </c>
      <c r="I633" t="s">
        <v>195</v>
      </c>
      <c r="J633">
        <v>76</v>
      </c>
      <c r="K633">
        <v>60076</v>
      </c>
      <c r="L633">
        <v>1524</v>
      </c>
      <c r="M633">
        <v>7</v>
      </c>
      <c r="N633">
        <v>2</v>
      </c>
      <c r="O633">
        <v>0</v>
      </c>
      <c r="P633" t="s">
        <v>18</v>
      </c>
      <c r="Q633">
        <v>3</v>
      </c>
      <c r="R633">
        <v>0</v>
      </c>
      <c r="S633" t="s">
        <v>22</v>
      </c>
      <c r="T633">
        <v>2</v>
      </c>
      <c r="U633">
        <v>0</v>
      </c>
    </row>
    <row r="634" spans="1:21" x14ac:dyDescent="0.25">
      <c r="A634">
        <v>9484842</v>
      </c>
      <c r="B634" t="s">
        <v>15</v>
      </c>
      <c r="C634" s="1">
        <v>42821</v>
      </c>
      <c r="D634" s="2">
        <f>YEAR(C634)</f>
        <v>2017</v>
      </c>
      <c r="E634">
        <v>265000</v>
      </c>
      <c r="F634" t="s">
        <v>85</v>
      </c>
      <c r="G634">
        <v>1965</v>
      </c>
      <c r="H634">
        <v>5104</v>
      </c>
      <c r="I634" t="s">
        <v>38</v>
      </c>
      <c r="J634">
        <v>76</v>
      </c>
      <c r="K634">
        <v>60077</v>
      </c>
      <c r="L634">
        <v>1100</v>
      </c>
      <c r="M634">
        <v>7</v>
      </c>
      <c r="N634">
        <v>1</v>
      </c>
      <c r="O634">
        <v>0</v>
      </c>
      <c r="P634" t="s">
        <v>18</v>
      </c>
      <c r="Q634">
        <v>3</v>
      </c>
      <c r="R634">
        <v>0</v>
      </c>
      <c r="S634" t="s">
        <v>19</v>
      </c>
      <c r="T634">
        <v>0</v>
      </c>
      <c r="U634">
        <v>0</v>
      </c>
    </row>
    <row r="635" spans="1:21" x14ac:dyDescent="0.25">
      <c r="A635">
        <v>10104228</v>
      </c>
      <c r="B635" t="s">
        <v>15</v>
      </c>
      <c r="C635" s="1">
        <v>43453</v>
      </c>
      <c r="D635" s="2">
        <f>YEAR(C635)</f>
        <v>2018</v>
      </c>
      <c r="E635">
        <v>464550</v>
      </c>
      <c r="F635" t="s">
        <v>85</v>
      </c>
      <c r="G635">
        <v>1965</v>
      </c>
      <c r="H635">
        <v>2511</v>
      </c>
      <c r="I635" t="s">
        <v>286</v>
      </c>
      <c r="J635">
        <v>62</v>
      </c>
      <c r="K635">
        <v>60062</v>
      </c>
      <c r="L635">
        <v>3402</v>
      </c>
      <c r="M635">
        <v>11</v>
      </c>
      <c r="N635">
        <v>2</v>
      </c>
      <c r="O635">
        <v>2</v>
      </c>
      <c r="P635" t="s">
        <v>18</v>
      </c>
      <c r="Q635">
        <v>6</v>
      </c>
      <c r="R635">
        <v>0</v>
      </c>
      <c r="S635" t="s">
        <v>21</v>
      </c>
      <c r="T635">
        <v>2</v>
      </c>
      <c r="U635">
        <v>0</v>
      </c>
    </row>
    <row r="636" spans="1:21" x14ac:dyDescent="0.25">
      <c r="A636">
        <v>9993546</v>
      </c>
      <c r="B636" t="s">
        <v>15</v>
      </c>
      <c r="C636" s="1">
        <v>43371</v>
      </c>
      <c r="D636" s="2">
        <f>YEAR(C636)</f>
        <v>2018</v>
      </c>
      <c r="E636">
        <v>868500</v>
      </c>
      <c r="F636" t="s">
        <v>85</v>
      </c>
      <c r="G636">
        <v>1965</v>
      </c>
      <c r="H636">
        <v>2530</v>
      </c>
      <c r="I636" t="s">
        <v>287</v>
      </c>
      <c r="J636">
        <v>62</v>
      </c>
      <c r="K636">
        <v>60062</v>
      </c>
      <c r="L636">
        <v>3100</v>
      </c>
      <c r="M636">
        <v>10</v>
      </c>
      <c r="N636">
        <v>2</v>
      </c>
      <c r="O636">
        <v>2</v>
      </c>
      <c r="P636" t="s">
        <v>18</v>
      </c>
      <c r="Q636">
        <v>5</v>
      </c>
      <c r="R636">
        <v>0</v>
      </c>
      <c r="S636" t="s">
        <v>21</v>
      </c>
      <c r="T636">
        <v>2</v>
      </c>
      <c r="U636">
        <v>0</v>
      </c>
    </row>
    <row r="637" spans="1:21" x14ac:dyDescent="0.25">
      <c r="A637">
        <v>10075511</v>
      </c>
      <c r="B637" t="s">
        <v>15</v>
      </c>
      <c r="C637" s="1">
        <v>43420</v>
      </c>
      <c r="D637" s="2">
        <f>YEAR(C637)</f>
        <v>2018</v>
      </c>
      <c r="E637">
        <v>525000</v>
      </c>
      <c r="F637" t="s">
        <v>85</v>
      </c>
      <c r="G637">
        <v>1965</v>
      </c>
      <c r="H637">
        <v>2440</v>
      </c>
      <c r="I637" t="s">
        <v>190</v>
      </c>
      <c r="J637">
        <v>62</v>
      </c>
      <c r="K637">
        <v>60062</v>
      </c>
      <c r="L637">
        <v>2699</v>
      </c>
      <c r="M637">
        <v>12</v>
      </c>
      <c r="N637">
        <v>2</v>
      </c>
      <c r="O637">
        <v>1</v>
      </c>
      <c r="P637" t="s">
        <v>18</v>
      </c>
      <c r="Q637">
        <v>4</v>
      </c>
      <c r="R637">
        <v>0</v>
      </c>
      <c r="S637" t="s">
        <v>21</v>
      </c>
      <c r="T637">
        <v>2</v>
      </c>
      <c r="U637">
        <v>0</v>
      </c>
    </row>
    <row r="638" spans="1:21" x14ac:dyDescent="0.25">
      <c r="A638">
        <v>10001989</v>
      </c>
      <c r="B638" t="s">
        <v>15</v>
      </c>
      <c r="C638" s="1">
        <v>43342</v>
      </c>
      <c r="D638" s="2">
        <f>YEAR(C638)</f>
        <v>2018</v>
      </c>
      <c r="E638">
        <v>660000</v>
      </c>
      <c r="F638" t="s">
        <v>85</v>
      </c>
      <c r="G638">
        <v>1965</v>
      </c>
      <c r="H638">
        <v>2871</v>
      </c>
      <c r="I638" t="s">
        <v>288</v>
      </c>
      <c r="J638">
        <v>62</v>
      </c>
      <c r="K638">
        <v>60062</v>
      </c>
      <c r="L638">
        <v>2569</v>
      </c>
      <c r="M638">
        <v>10</v>
      </c>
      <c r="N638">
        <v>2</v>
      </c>
      <c r="O638">
        <v>1</v>
      </c>
      <c r="P638" t="s">
        <v>18</v>
      </c>
      <c r="Q638">
        <v>4</v>
      </c>
      <c r="R638">
        <v>0</v>
      </c>
      <c r="S638" t="s">
        <v>21</v>
      </c>
      <c r="T638">
        <v>2.5</v>
      </c>
      <c r="U638">
        <v>0</v>
      </c>
    </row>
    <row r="639" spans="1:21" x14ac:dyDescent="0.25">
      <c r="A639">
        <v>10085461</v>
      </c>
      <c r="B639" t="s">
        <v>15</v>
      </c>
      <c r="C639" s="1">
        <v>43402</v>
      </c>
      <c r="D639" s="2">
        <f>YEAR(C639)</f>
        <v>2018</v>
      </c>
      <c r="E639">
        <v>451400</v>
      </c>
      <c r="F639" t="s">
        <v>85</v>
      </c>
      <c r="G639">
        <v>1965</v>
      </c>
      <c r="H639">
        <v>2035</v>
      </c>
      <c r="I639" t="s">
        <v>206</v>
      </c>
      <c r="J639">
        <v>62</v>
      </c>
      <c r="K639">
        <v>60062</v>
      </c>
      <c r="L639">
        <v>2568</v>
      </c>
      <c r="M639">
        <v>12</v>
      </c>
      <c r="N639">
        <v>2</v>
      </c>
      <c r="O639">
        <v>2</v>
      </c>
      <c r="P639" t="s">
        <v>18</v>
      </c>
      <c r="Q639">
        <v>4</v>
      </c>
      <c r="R639">
        <v>0</v>
      </c>
      <c r="S639" t="s">
        <v>21</v>
      </c>
      <c r="T639">
        <v>6</v>
      </c>
      <c r="U639">
        <v>0</v>
      </c>
    </row>
    <row r="640" spans="1:21" x14ac:dyDescent="0.25">
      <c r="A640">
        <v>10048161</v>
      </c>
      <c r="B640" t="s">
        <v>15</v>
      </c>
      <c r="C640" s="1">
        <v>43444</v>
      </c>
      <c r="D640" s="2">
        <f>YEAR(C640)</f>
        <v>2018</v>
      </c>
      <c r="E640">
        <v>528000</v>
      </c>
      <c r="F640" t="s">
        <v>85</v>
      </c>
      <c r="G640">
        <v>1965</v>
      </c>
      <c r="H640">
        <v>1731</v>
      </c>
      <c r="I640" t="s">
        <v>289</v>
      </c>
      <c r="J640">
        <v>62</v>
      </c>
      <c r="K640">
        <v>60062</v>
      </c>
      <c r="L640">
        <v>2500</v>
      </c>
      <c r="M640">
        <v>9</v>
      </c>
      <c r="N640">
        <v>2</v>
      </c>
      <c r="O640">
        <v>1</v>
      </c>
      <c r="P640" t="s">
        <v>18</v>
      </c>
      <c r="Q640">
        <v>4</v>
      </c>
      <c r="R640">
        <v>0</v>
      </c>
      <c r="S640" t="s">
        <v>21</v>
      </c>
      <c r="T640">
        <v>2</v>
      </c>
      <c r="U640">
        <v>0</v>
      </c>
    </row>
    <row r="641" spans="1:21" x14ac:dyDescent="0.25">
      <c r="A641">
        <v>9945798</v>
      </c>
      <c r="B641" t="s">
        <v>15</v>
      </c>
      <c r="C641" s="1">
        <v>43273</v>
      </c>
      <c r="D641" s="2">
        <f>YEAR(C641)</f>
        <v>2018</v>
      </c>
      <c r="E641">
        <v>440000</v>
      </c>
      <c r="F641" t="s">
        <v>85</v>
      </c>
      <c r="G641">
        <v>1965</v>
      </c>
      <c r="H641">
        <v>1444</v>
      </c>
      <c r="I641" t="s">
        <v>290</v>
      </c>
      <c r="J641">
        <v>62</v>
      </c>
      <c r="K641">
        <v>60062</v>
      </c>
      <c r="L641">
        <v>2500</v>
      </c>
      <c r="M641">
        <v>9</v>
      </c>
      <c r="N641">
        <v>3</v>
      </c>
      <c r="O641">
        <v>1</v>
      </c>
      <c r="P641" t="s">
        <v>18</v>
      </c>
      <c r="Q641">
        <v>5</v>
      </c>
      <c r="R641">
        <v>0</v>
      </c>
      <c r="S641" t="s">
        <v>21</v>
      </c>
      <c r="T641">
        <v>2</v>
      </c>
      <c r="U641">
        <v>0</v>
      </c>
    </row>
    <row r="642" spans="1:21" x14ac:dyDescent="0.25">
      <c r="A642">
        <v>10138446</v>
      </c>
      <c r="B642" t="s">
        <v>15</v>
      </c>
      <c r="C642" s="1">
        <v>43462</v>
      </c>
      <c r="D642" s="2">
        <f>YEAR(C642)</f>
        <v>2018</v>
      </c>
      <c r="E642">
        <v>565000</v>
      </c>
      <c r="F642" t="s">
        <v>85</v>
      </c>
      <c r="G642">
        <v>1965</v>
      </c>
      <c r="H642">
        <v>1065</v>
      </c>
      <c r="I642" t="s">
        <v>291</v>
      </c>
      <c r="J642">
        <v>62</v>
      </c>
      <c r="K642">
        <v>60062</v>
      </c>
      <c r="L642">
        <v>2452</v>
      </c>
      <c r="M642">
        <v>10</v>
      </c>
      <c r="N642">
        <v>2</v>
      </c>
      <c r="O642">
        <v>1</v>
      </c>
      <c r="P642" t="s">
        <v>18</v>
      </c>
      <c r="Q642">
        <v>4</v>
      </c>
      <c r="R642">
        <v>0</v>
      </c>
      <c r="S642" t="s">
        <v>21</v>
      </c>
      <c r="T642">
        <v>2</v>
      </c>
      <c r="U642">
        <v>0</v>
      </c>
    </row>
    <row r="643" spans="1:21" x14ac:dyDescent="0.25">
      <c r="A643">
        <v>10037774</v>
      </c>
      <c r="B643" t="s">
        <v>15</v>
      </c>
      <c r="C643" s="1">
        <v>43385</v>
      </c>
      <c r="D643" s="2">
        <f>YEAR(C643)</f>
        <v>2018</v>
      </c>
      <c r="E643">
        <v>665000</v>
      </c>
      <c r="F643" t="s">
        <v>85</v>
      </c>
      <c r="G643">
        <v>1965</v>
      </c>
      <c r="H643">
        <v>1424</v>
      </c>
      <c r="I643" t="s">
        <v>290</v>
      </c>
      <c r="J643">
        <v>62</v>
      </c>
      <c r="K643">
        <v>60062</v>
      </c>
      <c r="L643">
        <v>2432</v>
      </c>
      <c r="M643">
        <v>9</v>
      </c>
      <c r="N643">
        <v>2</v>
      </c>
      <c r="O643">
        <v>1</v>
      </c>
      <c r="P643" t="s">
        <v>18</v>
      </c>
      <c r="Q643">
        <v>4</v>
      </c>
      <c r="R643">
        <v>0</v>
      </c>
      <c r="S643" t="s">
        <v>21</v>
      </c>
      <c r="T643">
        <v>2</v>
      </c>
      <c r="U643">
        <v>0</v>
      </c>
    </row>
    <row r="644" spans="1:21" x14ac:dyDescent="0.25">
      <c r="A644">
        <v>10004588</v>
      </c>
      <c r="B644" t="s">
        <v>15</v>
      </c>
      <c r="C644" s="1">
        <v>43315</v>
      </c>
      <c r="D644" s="2">
        <f>YEAR(C644)</f>
        <v>2018</v>
      </c>
      <c r="E644">
        <v>485000</v>
      </c>
      <c r="F644" t="s">
        <v>85</v>
      </c>
      <c r="G644">
        <v>1965</v>
      </c>
      <c r="H644">
        <v>1920</v>
      </c>
      <c r="I644" t="s">
        <v>264</v>
      </c>
      <c r="J644">
        <v>62</v>
      </c>
      <c r="K644">
        <v>60062</v>
      </c>
      <c r="L644">
        <v>2205</v>
      </c>
      <c r="M644">
        <v>10</v>
      </c>
      <c r="N644">
        <v>2</v>
      </c>
      <c r="O644">
        <v>1</v>
      </c>
      <c r="P644" t="s">
        <v>18</v>
      </c>
      <c r="Q644">
        <v>4</v>
      </c>
      <c r="R644">
        <v>0</v>
      </c>
      <c r="S644" t="s">
        <v>21</v>
      </c>
      <c r="T644">
        <v>2</v>
      </c>
      <c r="U644">
        <v>0</v>
      </c>
    </row>
    <row r="645" spans="1:21" x14ac:dyDescent="0.25">
      <c r="A645">
        <v>9893733</v>
      </c>
      <c r="B645" t="s">
        <v>15</v>
      </c>
      <c r="C645" s="1">
        <v>43231</v>
      </c>
      <c r="D645" s="2">
        <f>YEAR(C645)</f>
        <v>2018</v>
      </c>
      <c r="E645">
        <v>520000</v>
      </c>
      <c r="F645" t="s">
        <v>85</v>
      </c>
      <c r="G645">
        <v>1965</v>
      </c>
      <c r="H645">
        <v>1903</v>
      </c>
      <c r="I645" t="s">
        <v>281</v>
      </c>
      <c r="J645">
        <v>62</v>
      </c>
      <c r="K645">
        <v>60062</v>
      </c>
      <c r="L645">
        <v>2205</v>
      </c>
      <c r="M645">
        <v>8</v>
      </c>
      <c r="N645">
        <v>2</v>
      </c>
      <c r="O645">
        <v>1</v>
      </c>
      <c r="P645" t="s">
        <v>18</v>
      </c>
      <c r="Q645">
        <v>4</v>
      </c>
      <c r="R645">
        <v>0</v>
      </c>
      <c r="S645" t="s">
        <v>21</v>
      </c>
      <c r="T645">
        <v>2</v>
      </c>
      <c r="U645">
        <v>0</v>
      </c>
    </row>
    <row r="646" spans="1:21" x14ac:dyDescent="0.25">
      <c r="A646">
        <v>9729353</v>
      </c>
      <c r="B646" t="s">
        <v>15</v>
      </c>
      <c r="C646" s="1">
        <v>43129</v>
      </c>
      <c r="D646" s="2">
        <f>YEAR(C646)</f>
        <v>2018</v>
      </c>
      <c r="E646">
        <v>561000</v>
      </c>
      <c r="F646" t="s">
        <v>85</v>
      </c>
      <c r="G646">
        <v>1965</v>
      </c>
      <c r="H646">
        <v>1360</v>
      </c>
      <c r="I646" t="s">
        <v>292</v>
      </c>
      <c r="J646">
        <v>62</v>
      </c>
      <c r="K646">
        <v>60062</v>
      </c>
      <c r="L646">
        <v>2185</v>
      </c>
      <c r="M646">
        <v>9</v>
      </c>
      <c r="N646">
        <v>2</v>
      </c>
      <c r="O646">
        <v>1</v>
      </c>
      <c r="P646" t="s">
        <v>18</v>
      </c>
      <c r="Q646">
        <v>4</v>
      </c>
      <c r="R646">
        <v>0</v>
      </c>
      <c r="S646" t="s">
        <v>21</v>
      </c>
      <c r="T646">
        <v>2</v>
      </c>
      <c r="U646">
        <v>0</v>
      </c>
    </row>
    <row r="647" spans="1:21" x14ac:dyDescent="0.25">
      <c r="A647">
        <v>10033345</v>
      </c>
      <c r="B647" t="s">
        <v>15</v>
      </c>
      <c r="C647" s="1">
        <v>43389</v>
      </c>
      <c r="D647" s="2">
        <f>YEAR(C647)</f>
        <v>2018</v>
      </c>
      <c r="E647">
        <v>465000</v>
      </c>
      <c r="F647" t="s">
        <v>85</v>
      </c>
      <c r="G647">
        <v>1965</v>
      </c>
      <c r="H647">
        <v>2900</v>
      </c>
      <c r="I647" t="s">
        <v>293</v>
      </c>
      <c r="J647">
        <v>62</v>
      </c>
      <c r="K647">
        <v>60062</v>
      </c>
      <c r="L647">
        <v>1778</v>
      </c>
      <c r="M647">
        <v>8</v>
      </c>
      <c r="N647">
        <v>2</v>
      </c>
      <c r="O647">
        <v>1</v>
      </c>
      <c r="P647" t="s">
        <v>18</v>
      </c>
      <c r="Q647">
        <v>4</v>
      </c>
      <c r="R647">
        <v>0</v>
      </c>
      <c r="S647" t="s">
        <v>21</v>
      </c>
      <c r="T647">
        <v>2</v>
      </c>
      <c r="U647">
        <v>0</v>
      </c>
    </row>
    <row r="648" spans="1:21" x14ac:dyDescent="0.25">
      <c r="A648">
        <v>9565870</v>
      </c>
      <c r="B648" t="s">
        <v>15</v>
      </c>
      <c r="C648" s="1">
        <v>42865</v>
      </c>
      <c r="D648" s="2">
        <f>YEAR(C648)</f>
        <v>2017</v>
      </c>
      <c r="E648">
        <v>450000</v>
      </c>
      <c r="F648" t="s">
        <v>85</v>
      </c>
      <c r="G648">
        <v>1965</v>
      </c>
      <c r="H648">
        <v>1250</v>
      </c>
      <c r="I648" t="s">
        <v>294</v>
      </c>
      <c r="J648">
        <v>62</v>
      </c>
      <c r="K648">
        <v>60062</v>
      </c>
      <c r="L648">
        <v>1728</v>
      </c>
      <c r="M648">
        <v>7</v>
      </c>
      <c r="N648">
        <v>2</v>
      </c>
      <c r="O648">
        <v>1</v>
      </c>
      <c r="P648" t="s">
        <v>18</v>
      </c>
      <c r="Q648">
        <v>3</v>
      </c>
      <c r="R648">
        <v>0</v>
      </c>
      <c r="S648" t="s">
        <v>21</v>
      </c>
      <c r="T648">
        <v>2</v>
      </c>
      <c r="U648">
        <v>0</v>
      </c>
    </row>
    <row r="649" spans="1:21" x14ac:dyDescent="0.25">
      <c r="A649">
        <v>10066925</v>
      </c>
      <c r="B649" t="s">
        <v>15</v>
      </c>
      <c r="C649" s="1">
        <v>43378</v>
      </c>
      <c r="D649" s="2">
        <f>YEAR(C649)</f>
        <v>2018</v>
      </c>
      <c r="E649">
        <v>300000</v>
      </c>
      <c r="F649" t="s">
        <v>85</v>
      </c>
      <c r="G649">
        <v>1965</v>
      </c>
      <c r="H649">
        <v>1804</v>
      </c>
      <c r="I649" t="s">
        <v>235</v>
      </c>
      <c r="J649">
        <v>62</v>
      </c>
      <c r="K649">
        <v>60062</v>
      </c>
      <c r="L649">
        <v>1711</v>
      </c>
      <c r="M649">
        <v>8</v>
      </c>
      <c r="N649">
        <v>2</v>
      </c>
      <c r="O649">
        <v>0</v>
      </c>
      <c r="P649" t="s">
        <v>18</v>
      </c>
      <c r="Q649">
        <v>3</v>
      </c>
      <c r="R649">
        <v>0</v>
      </c>
      <c r="S649" t="s">
        <v>22</v>
      </c>
      <c r="T649">
        <v>2.5</v>
      </c>
      <c r="U649">
        <v>0</v>
      </c>
    </row>
    <row r="650" spans="1:21" x14ac:dyDescent="0.25">
      <c r="A650">
        <v>9898670</v>
      </c>
      <c r="B650" t="s">
        <v>15</v>
      </c>
      <c r="C650" s="1">
        <v>43370</v>
      </c>
      <c r="D650" s="2">
        <f>YEAR(C650)</f>
        <v>2018</v>
      </c>
      <c r="E650">
        <v>415000</v>
      </c>
      <c r="F650" t="s">
        <v>85</v>
      </c>
      <c r="G650">
        <v>1965</v>
      </c>
      <c r="H650">
        <v>1922</v>
      </c>
      <c r="I650" t="s">
        <v>295</v>
      </c>
      <c r="J650">
        <v>62</v>
      </c>
      <c r="K650">
        <v>60062</v>
      </c>
      <c r="L650">
        <v>1629</v>
      </c>
      <c r="M650">
        <v>7</v>
      </c>
      <c r="N650">
        <v>2</v>
      </c>
      <c r="O650">
        <v>1</v>
      </c>
      <c r="P650" t="s">
        <v>18</v>
      </c>
      <c r="Q650">
        <v>3</v>
      </c>
      <c r="R650">
        <v>0</v>
      </c>
      <c r="S650" t="s">
        <v>21</v>
      </c>
      <c r="T650">
        <v>2</v>
      </c>
      <c r="U650">
        <v>0</v>
      </c>
    </row>
    <row r="651" spans="1:21" x14ac:dyDescent="0.25">
      <c r="A651">
        <v>9978366</v>
      </c>
      <c r="B651" t="s">
        <v>15</v>
      </c>
      <c r="C651" s="1">
        <v>43306</v>
      </c>
      <c r="D651" s="2">
        <f>YEAR(C651)</f>
        <v>2018</v>
      </c>
      <c r="E651">
        <v>515000</v>
      </c>
      <c r="F651" t="s">
        <v>85</v>
      </c>
      <c r="G651">
        <v>1966</v>
      </c>
      <c r="H651">
        <v>6902</v>
      </c>
      <c r="I651" t="s">
        <v>33</v>
      </c>
      <c r="J651">
        <v>76</v>
      </c>
      <c r="K651">
        <v>60077</v>
      </c>
      <c r="L651">
        <v>3381</v>
      </c>
      <c r="M651">
        <v>11</v>
      </c>
      <c r="N651">
        <v>2</v>
      </c>
      <c r="O651">
        <v>1</v>
      </c>
      <c r="P651" t="s">
        <v>18</v>
      </c>
      <c r="Q651">
        <v>4</v>
      </c>
      <c r="R651">
        <v>0</v>
      </c>
      <c r="S651" t="s">
        <v>21</v>
      </c>
      <c r="T651">
        <v>2</v>
      </c>
      <c r="U651">
        <v>0</v>
      </c>
    </row>
    <row r="652" spans="1:21" x14ac:dyDescent="0.25">
      <c r="A652">
        <v>9674249</v>
      </c>
      <c r="B652" t="s">
        <v>15</v>
      </c>
      <c r="C652" s="1">
        <v>43018</v>
      </c>
      <c r="D652" s="2">
        <f>YEAR(C652)</f>
        <v>2017</v>
      </c>
      <c r="E652">
        <v>478000</v>
      </c>
      <c r="F652" t="s">
        <v>85</v>
      </c>
      <c r="G652">
        <v>1966</v>
      </c>
      <c r="H652">
        <v>4923</v>
      </c>
      <c r="I652" t="s">
        <v>194</v>
      </c>
      <c r="J652">
        <v>76</v>
      </c>
      <c r="K652">
        <v>60077</v>
      </c>
      <c r="L652">
        <v>3264</v>
      </c>
      <c r="M652">
        <v>12</v>
      </c>
      <c r="N652">
        <v>2</v>
      </c>
      <c r="O652">
        <v>1</v>
      </c>
      <c r="P652" t="s">
        <v>18</v>
      </c>
      <c r="Q652">
        <v>5</v>
      </c>
      <c r="R652">
        <v>0</v>
      </c>
      <c r="S652" t="s">
        <v>21</v>
      </c>
      <c r="T652">
        <v>2</v>
      </c>
      <c r="U652">
        <v>0</v>
      </c>
    </row>
    <row r="653" spans="1:21" x14ac:dyDescent="0.25">
      <c r="A653">
        <v>9904426</v>
      </c>
      <c r="B653" t="s">
        <v>15</v>
      </c>
      <c r="C653" s="1">
        <v>43263</v>
      </c>
      <c r="D653" s="2">
        <f>YEAR(C653)</f>
        <v>2018</v>
      </c>
      <c r="E653">
        <v>380000</v>
      </c>
      <c r="F653" t="s">
        <v>85</v>
      </c>
      <c r="G653">
        <v>1966</v>
      </c>
      <c r="H653">
        <v>4627</v>
      </c>
      <c r="I653" t="s">
        <v>39</v>
      </c>
      <c r="J653">
        <v>76</v>
      </c>
      <c r="K653">
        <v>60076</v>
      </c>
      <c r="L653">
        <v>2447</v>
      </c>
      <c r="M653">
        <v>9</v>
      </c>
      <c r="N653">
        <v>2</v>
      </c>
      <c r="O653">
        <v>1</v>
      </c>
      <c r="P653" t="s">
        <v>18</v>
      </c>
      <c r="Q653">
        <v>4</v>
      </c>
      <c r="R653">
        <v>0</v>
      </c>
      <c r="S653" t="s">
        <v>21</v>
      </c>
      <c r="T653">
        <v>2</v>
      </c>
      <c r="U653">
        <v>0</v>
      </c>
    </row>
    <row r="654" spans="1:21" x14ac:dyDescent="0.25">
      <c r="A654">
        <v>9803814</v>
      </c>
      <c r="B654" t="s">
        <v>15</v>
      </c>
      <c r="C654" s="1">
        <v>43161</v>
      </c>
      <c r="D654" s="2">
        <f>YEAR(C654)</f>
        <v>2018</v>
      </c>
      <c r="E654">
        <v>345000</v>
      </c>
      <c r="F654" t="s">
        <v>85</v>
      </c>
      <c r="G654">
        <v>1966</v>
      </c>
      <c r="H654">
        <v>8112</v>
      </c>
      <c r="I654" t="s">
        <v>98</v>
      </c>
      <c r="J654">
        <v>76</v>
      </c>
      <c r="K654">
        <v>60076</v>
      </c>
      <c r="L654">
        <v>2100</v>
      </c>
      <c r="M654">
        <v>8</v>
      </c>
      <c r="N654">
        <v>2</v>
      </c>
      <c r="O654">
        <v>2</v>
      </c>
      <c r="P654" t="s">
        <v>18</v>
      </c>
      <c r="Q654">
        <v>4</v>
      </c>
      <c r="R654">
        <v>0</v>
      </c>
      <c r="S654" t="s">
        <v>22</v>
      </c>
      <c r="T654">
        <v>2.5</v>
      </c>
      <c r="U654">
        <v>0</v>
      </c>
    </row>
    <row r="655" spans="1:21" x14ac:dyDescent="0.25">
      <c r="A655">
        <v>9729989</v>
      </c>
      <c r="B655" t="s">
        <v>15</v>
      </c>
      <c r="C655" s="1">
        <v>43055</v>
      </c>
      <c r="D655" s="2">
        <f>YEAR(C655)</f>
        <v>2017</v>
      </c>
      <c r="E655">
        <v>350000</v>
      </c>
      <c r="F655" t="s">
        <v>85</v>
      </c>
      <c r="G655">
        <v>1966</v>
      </c>
      <c r="H655">
        <v>8308</v>
      </c>
      <c r="I655" t="s">
        <v>123</v>
      </c>
      <c r="J655">
        <v>76</v>
      </c>
      <c r="K655">
        <v>60076</v>
      </c>
      <c r="L655">
        <v>1850</v>
      </c>
      <c r="M655">
        <v>8</v>
      </c>
      <c r="N655">
        <v>2</v>
      </c>
      <c r="O655">
        <v>0</v>
      </c>
      <c r="P655" t="s">
        <v>18</v>
      </c>
      <c r="Q655">
        <v>4</v>
      </c>
      <c r="R655">
        <v>0</v>
      </c>
      <c r="S655" t="s">
        <v>22</v>
      </c>
      <c r="T655">
        <v>2</v>
      </c>
      <c r="U655">
        <v>0</v>
      </c>
    </row>
    <row r="656" spans="1:21" x14ac:dyDescent="0.25">
      <c r="A656">
        <v>9838092</v>
      </c>
      <c r="B656" t="s">
        <v>15</v>
      </c>
      <c r="C656" s="1">
        <v>43266</v>
      </c>
      <c r="D656" s="2">
        <f>YEAR(C656)</f>
        <v>2018</v>
      </c>
      <c r="E656">
        <v>840000</v>
      </c>
      <c r="F656" t="s">
        <v>85</v>
      </c>
      <c r="G656">
        <v>1966</v>
      </c>
      <c r="H656">
        <v>1058</v>
      </c>
      <c r="I656" t="s">
        <v>296</v>
      </c>
      <c r="J656">
        <v>62</v>
      </c>
      <c r="K656">
        <v>60062</v>
      </c>
      <c r="L656">
        <v>3430</v>
      </c>
      <c r="M656">
        <v>11</v>
      </c>
      <c r="N656">
        <v>2</v>
      </c>
      <c r="O656">
        <v>1</v>
      </c>
      <c r="P656" t="s">
        <v>18</v>
      </c>
      <c r="Q656">
        <v>5</v>
      </c>
      <c r="R656">
        <v>0</v>
      </c>
      <c r="S656" t="s">
        <v>21</v>
      </c>
      <c r="T656">
        <v>2</v>
      </c>
      <c r="U656">
        <v>0</v>
      </c>
    </row>
    <row r="657" spans="1:21" x14ac:dyDescent="0.25">
      <c r="A657">
        <v>9729397</v>
      </c>
      <c r="B657" t="s">
        <v>15</v>
      </c>
      <c r="C657" s="1">
        <v>43189</v>
      </c>
      <c r="D657" s="2">
        <f>YEAR(C657)</f>
        <v>2018</v>
      </c>
      <c r="E657">
        <v>730000</v>
      </c>
      <c r="F657" t="s">
        <v>85</v>
      </c>
      <c r="G657">
        <v>1966</v>
      </c>
      <c r="H657">
        <v>2460</v>
      </c>
      <c r="I657" t="s">
        <v>190</v>
      </c>
      <c r="J657">
        <v>62</v>
      </c>
      <c r="K657">
        <v>60062</v>
      </c>
      <c r="L657">
        <v>3198</v>
      </c>
      <c r="M657">
        <v>10</v>
      </c>
      <c r="N657">
        <v>3</v>
      </c>
      <c r="O657">
        <v>1</v>
      </c>
      <c r="P657" t="s">
        <v>18</v>
      </c>
      <c r="Q657">
        <v>5</v>
      </c>
      <c r="R657">
        <v>0</v>
      </c>
      <c r="S657" t="s">
        <v>21</v>
      </c>
      <c r="T657">
        <v>2</v>
      </c>
      <c r="U657">
        <v>0</v>
      </c>
    </row>
    <row r="658" spans="1:21" x14ac:dyDescent="0.25">
      <c r="A658">
        <v>9579501</v>
      </c>
      <c r="B658" t="s">
        <v>15</v>
      </c>
      <c r="C658" s="1">
        <v>42942</v>
      </c>
      <c r="D658" s="2">
        <f>YEAR(C658)</f>
        <v>2017</v>
      </c>
      <c r="E658">
        <v>585000</v>
      </c>
      <c r="F658" t="s">
        <v>85</v>
      </c>
      <c r="G658">
        <v>1966</v>
      </c>
      <c r="H658">
        <v>1923</v>
      </c>
      <c r="I658" t="s">
        <v>297</v>
      </c>
      <c r="J658">
        <v>62</v>
      </c>
      <c r="K658">
        <v>60062</v>
      </c>
      <c r="L658">
        <v>3080</v>
      </c>
      <c r="M658">
        <v>9</v>
      </c>
      <c r="N658">
        <v>2</v>
      </c>
      <c r="O658">
        <v>1</v>
      </c>
      <c r="P658" t="s">
        <v>18</v>
      </c>
      <c r="Q658">
        <v>4</v>
      </c>
      <c r="R658">
        <v>0</v>
      </c>
      <c r="S658" t="s">
        <v>21</v>
      </c>
      <c r="T658">
        <v>2</v>
      </c>
      <c r="U658">
        <v>0</v>
      </c>
    </row>
    <row r="659" spans="1:21" x14ac:dyDescent="0.25">
      <c r="A659">
        <v>9664395</v>
      </c>
      <c r="B659" t="s">
        <v>15</v>
      </c>
      <c r="C659" s="1">
        <v>42998</v>
      </c>
      <c r="D659" s="2">
        <f>YEAR(C659)</f>
        <v>2017</v>
      </c>
      <c r="E659">
        <v>670000</v>
      </c>
      <c r="F659" t="s">
        <v>85</v>
      </c>
      <c r="G659">
        <v>1966</v>
      </c>
      <c r="H659">
        <v>2521</v>
      </c>
      <c r="I659" t="s">
        <v>172</v>
      </c>
      <c r="J659">
        <v>62</v>
      </c>
      <c r="K659">
        <v>60062</v>
      </c>
      <c r="L659">
        <v>2800</v>
      </c>
      <c r="M659">
        <v>9</v>
      </c>
      <c r="N659">
        <v>2</v>
      </c>
      <c r="O659">
        <v>1</v>
      </c>
      <c r="P659" t="s">
        <v>18</v>
      </c>
      <c r="Q659">
        <v>4</v>
      </c>
      <c r="R659">
        <v>0</v>
      </c>
      <c r="S659" t="s">
        <v>21</v>
      </c>
      <c r="T659">
        <v>2</v>
      </c>
      <c r="U659">
        <v>0</v>
      </c>
    </row>
    <row r="660" spans="1:21" x14ac:dyDescent="0.25">
      <c r="A660">
        <v>9819204</v>
      </c>
      <c r="B660" t="s">
        <v>15</v>
      </c>
      <c r="C660" s="1">
        <v>43181</v>
      </c>
      <c r="D660" s="2">
        <f>YEAR(C660)</f>
        <v>2018</v>
      </c>
      <c r="E660">
        <v>627000</v>
      </c>
      <c r="F660" t="s">
        <v>85</v>
      </c>
      <c r="G660">
        <v>1966</v>
      </c>
      <c r="H660">
        <v>1825</v>
      </c>
      <c r="I660" t="s">
        <v>297</v>
      </c>
      <c r="J660">
        <v>62</v>
      </c>
      <c r="K660">
        <v>60062</v>
      </c>
      <c r="L660">
        <v>2703</v>
      </c>
      <c r="M660">
        <v>9</v>
      </c>
      <c r="N660">
        <v>2</v>
      </c>
      <c r="O660">
        <v>1</v>
      </c>
      <c r="P660" t="s">
        <v>18</v>
      </c>
      <c r="Q660">
        <v>4</v>
      </c>
      <c r="R660">
        <v>0</v>
      </c>
      <c r="S660" t="s">
        <v>21</v>
      </c>
      <c r="T660">
        <v>2</v>
      </c>
      <c r="U660">
        <v>0</v>
      </c>
    </row>
    <row r="661" spans="1:21" x14ac:dyDescent="0.25">
      <c r="A661">
        <v>10043255</v>
      </c>
      <c r="B661" t="s">
        <v>15</v>
      </c>
      <c r="C661" s="1">
        <v>43454</v>
      </c>
      <c r="D661" s="2">
        <f>YEAR(C661)</f>
        <v>2018</v>
      </c>
      <c r="E661">
        <v>560000</v>
      </c>
      <c r="F661" t="s">
        <v>85</v>
      </c>
      <c r="G661">
        <v>1966</v>
      </c>
      <c r="H661">
        <v>1432</v>
      </c>
      <c r="I661" t="s">
        <v>257</v>
      </c>
      <c r="J661">
        <v>62</v>
      </c>
      <c r="K661">
        <v>60062</v>
      </c>
      <c r="L661">
        <v>2637</v>
      </c>
      <c r="M661">
        <v>8</v>
      </c>
      <c r="N661">
        <v>2</v>
      </c>
      <c r="O661">
        <v>1</v>
      </c>
      <c r="P661" t="s">
        <v>18</v>
      </c>
      <c r="Q661">
        <v>5</v>
      </c>
      <c r="R661">
        <v>0</v>
      </c>
      <c r="S661" t="s">
        <v>21</v>
      </c>
      <c r="T661">
        <v>2</v>
      </c>
      <c r="U661">
        <v>0</v>
      </c>
    </row>
    <row r="662" spans="1:21" x14ac:dyDescent="0.25">
      <c r="A662">
        <v>10065467</v>
      </c>
      <c r="B662" t="s">
        <v>15</v>
      </c>
      <c r="C662" s="1">
        <v>43430</v>
      </c>
      <c r="D662" s="2">
        <f>YEAR(C662)</f>
        <v>2018</v>
      </c>
      <c r="E662">
        <v>575000</v>
      </c>
      <c r="F662" t="s">
        <v>85</v>
      </c>
      <c r="G662">
        <v>1966</v>
      </c>
      <c r="H662">
        <v>1904</v>
      </c>
      <c r="I662" t="s">
        <v>297</v>
      </c>
      <c r="J662">
        <v>62</v>
      </c>
      <c r="K662">
        <v>60062</v>
      </c>
      <c r="L662">
        <v>2619</v>
      </c>
      <c r="M662">
        <v>9</v>
      </c>
      <c r="N662">
        <v>2</v>
      </c>
      <c r="O662">
        <v>1</v>
      </c>
      <c r="P662" t="s">
        <v>18</v>
      </c>
      <c r="Q662">
        <v>4</v>
      </c>
      <c r="R662">
        <v>0</v>
      </c>
      <c r="S662" t="s">
        <v>21</v>
      </c>
      <c r="T662">
        <v>2</v>
      </c>
      <c r="U662">
        <v>0</v>
      </c>
    </row>
    <row r="663" spans="1:21" x14ac:dyDescent="0.25">
      <c r="A663">
        <v>9939455</v>
      </c>
      <c r="B663" t="s">
        <v>15</v>
      </c>
      <c r="C663" s="1">
        <v>43283</v>
      </c>
      <c r="D663" s="2">
        <f>YEAR(C663)</f>
        <v>2018</v>
      </c>
      <c r="E663">
        <v>429000</v>
      </c>
      <c r="F663" t="s">
        <v>85</v>
      </c>
      <c r="G663">
        <v>1966</v>
      </c>
      <c r="H663">
        <v>2865</v>
      </c>
      <c r="I663" t="s">
        <v>298</v>
      </c>
      <c r="J663">
        <v>62</v>
      </c>
      <c r="K663">
        <v>60062</v>
      </c>
      <c r="L663">
        <v>2500</v>
      </c>
      <c r="M663">
        <v>8</v>
      </c>
      <c r="N663">
        <v>2</v>
      </c>
      <c r="O663">
        <v>1</v>
      </c>
      <c r="P663" t="s">
        <v>18</v>
      </c>
      <c r="Q663">
        <v>3</v>
      </c>
      <c r="R663">
        <v>0</v>
      </c>
      <c r="S663" t="s">
        <v>21</v>
      </c>
      <c r="T663">
        <v>2</v>
      </c>
      <c r="U663">
        <v>0</v>
      </c>
    </row>
    <row r="664" spans="1:21" x14ac:dyDescent="0.25">
      <c r="A664">
        <v>9944050</v>
      </c>
      <c r="B664" t="s">
        <v>15</v>
      </c>
      <c r="C664" s="1">
        <v>43318</v>
      </c>
      <c r="D664" s="2">
        <f>YEAR(C664)</f>
        <v>2018</v>
      </c>
      <c r="E664">
        <v>648000</v>
      </c>
      <c r="F664" t="s">
        <v>85</v>
      </c>
      <c r="G664">
        <v>1966</v>
      </c>
      <c r="H664">
        <v>815</v>
      </c>
      <c r="I664" t="s">
        <v>299</v>
      </c>
      <c r="J664">
        <v>62</v>
      </c>
      <c r="K664">
        <v>60062</v>
      </c>
      <c r="L664">
        <v>2434</v>
      </c>
      <c r="M664">
        <v>8</v>
      </c>
      <c r="N664">
        <v>2</v>
      </c>
      <c r="O664">
        <v>1</v>
      </c>
      <c r="P664" t="s">
        <v>18</v>
      </c>
      <c r="Q664">
        <v>4</v>
      </c>
      <c r="R664">
        <v>0</v>
      </c>
      <c r="S664" t="s">
        <v>21</v>
      </c>
      <c r="T664">
        <v>2</v>
      </c>
      <c r="U664">
        <v>0</v>
      </c>
    </row>
    <row r="665" spans="1:21" x14ac:dyDescent="0.25">
      <c r="A665">
        <v>9983743</v>
      </c>
      <c r="B665" t="s">
        <v>15</v>
      </c>
      <c r="C665" s="1">
        <v>43301</v>
      </c>
      <c r="D665" s="2">
        <f>YEAR(C665)</f>
        <v>2018</v>
      </c>
      <c r="E665">
        <v>385500</v>
      </c>
      <c r="F665" t="s">
        <v>85</v>
      </c>
      <c r="G665">
        <v>1966</v>
      </c>
      <c r="H665">
        <v>2955</v>
      </c>
      <c r="I665" t="s">
        <v>293</v>
      </c>
      <c r="J665">
        <v>62</v>
      </c>
      <c r="K665">
        <v>60062</v>
      </c>
      <c r="L665">
        <v>2021</v>
      </c>
      <c r="M665">
        <v>10</v>
      </c>
      <c r="N665">
        <v>2</v>
      </c>
      <c r="O665">
        <v>1</v>
      </c>
      <c r="P665" t="s">
        <v>18</v>
      </c>
      <c r="Q665">
        <v>4</v>
      </c>
      <c r="R665">
        <v>0</v>
      </c>
      <c r="S665" t="s">
        <v>21</v>
      </c>
      <c r="T665">
        <v>2</v>
      </c>
      <c r="U665">
        <v>0</v>
      </c>
    </row>
    <row r="666" spans="1:21" x14ac:dyDescent="0.25">
      <c r="A666">
        <v>9823086</v>
      </c>
      <c r="B666" t="s">
        <v>15</v>
      </c>
      <c r="C666" s="1">
        <v>43159</v>
      </c>
      <c r="D666" s="2">
        <f>YEAR(C666)</f>
        <v>2018</v>
      </c>
      <c r="E666">
        <v>331300</v>
      </c>
      <c r="F666" t="s">
        <v>85</v>
      </c>
      <c r="G666">
        <v>1966</v>
      </c>
      <c r="H666">
        <v>2639</v>
      </c>
      <c r="I666" t="s">
        <v>300</v>
      </c>
      <c r="J666">
        <v>62</v>
      </c>
      <c r="K666">
        <v>60062</v>
      </c>
      <c r="L666">
        <v>1928</v>
      </c>
      <c r="M666">
        <v>9</v>
      </c>
      <c r="N666">
        <v>2</v>
      </c>
      <c r="O666">
        <v>1</v>
      </c>
      <c r="P666" t="s">
        <v>18</v>
      </c>
      <c r="Q666">
        <v>4</v>
      </c>
      <c r="R666">
        <v>0</v>
      </c>
      <c r="S666" t="s">
        <v>21</v>
      </c>
      <c r="T666">
        <v>2</v>
      </c>
      <c r="U666">
        <v>0</v>
      </c>
    </row>
    <row r="667" spans="1:21" x14ac:dyDescent="0.25">
      <c r="A667">
        <v>9692816</v>
      </c>
      <c r="B667" t="s">
        <v>15</v>
      </c>
      <c r="C667" s="1">
        <v>43070</v>
      </c>
      <c r="D667" s="2">
        <f>YEAR(C667)</f>
        <v>2017</v>
      </c>
      <c r="E667">
        <v>372000</v>
      </c>
      <c r="F667" t="s">
        <v>85</v>
      </c>
      <c r="G667">
        <v>1966</v>
      </c>
      <c r="H667">
        <v>1739</v>
      </c>
      <c r="I667" t="s">
        <v>301</v>
      </c>
      <c r="J667">
        <v>62</v>
      </c>
      <c r="K667">
        <v>60062</v>
      </c>
      <c r="L667">
        <v>1894</v>
      </c>
      <c r="M667">
        <v>9</v>
      </c>
      <c r="N667">
        <v>2</v>
      </c>
      <c r="O667">
        <v>1</v>
      </c>
      <c r="P667" t="s">
        <v>18</v>
      </c>
      <c r="Q667">
        <v>3</v>
      </c>
      <c r="R667">
        <v>1</v>
      </c>
      <c r="S667" t="s">
        <v>21</v>
      </c>
      <c r="T667">
        <v>1</v>
      </c>
      <c r="U667">
        <v>0</v>
      </c>
    </row>
    <row r="668" spans="1:21" x14ac:dyDescent="0.25">
      <c r="A668">
        <v>9761063</v>
      </c>
      <c r="B668" t="s">
        <v>15</v>
      </c>
      <c r="C668" s="1">
        <v>43056</v>
      </c>
      <c r="D668" s="2">
        <f>YEAR(C668)</f>
        <v>2017</v>
      </c>
      <c r="E668">
        <v>459000</v>
      </c>
      <c r="F668" t="s">
        <v>85</v>
      </c>
      <c r="G668">
        <v>1966</v>
      </c>
      <c r="H668">
        <v>1350</v>
      </c>
      <c r="I668" t="s">
        <v>292</v>
      </c>
      <c r="J668">
        <v>62</v>
      </c>
      <c r="K668">
        <v>60062</v>
      </c>
      <c r="L668">
        <v>1718</v>
      </c>
      <c r="M668">
        <v>8</v>
      </c>
      <c r="N668">
        <v>2</v>
      </c>
      <c r="O668">
        <v>1</v>
      </c>
      <c r="P668" t="s">
        <v>18</v>
      </c>
      <c r="Q668">
        <v>4</v>
      </c>
      <c r="R668">
        <v>0</v>
      </c>
      <c r="S668" t="s">
        <v>21</v>
      </c>
      <c r="T668">
        <v>2</v>
      </c>
      <c r="U668">
        <v>0</v>
      </c>
    </row>
    <row r="669" spans="1:21" x14ac:dyDescent="0.25">
      <c r="A669">
        <v>9851896</v>
      </c>
      <c r="B669" t="s">
        <v>15</v>
      </c>
      <c r="C669" s="1">
        <v>43203</v>
      </c>
      <c r="D669" s="2">
        <f>YEAR(C669)</f>
        <v>2018</v>
      </c>
      <c r="E669">
        <v>410000</v>
      </c>
      <c r="F669" t="s">
        <v>85</v>
      </c>
      <c r="G669">
        <v>1966</v>
      </c>
      <c r="H669">
        <v>3175</v>
      </c>
      <c r="I669" t="s">
        <v>44</v>
      </c>
      <c r="J669">
        <v>62</v>
      </c>
      <c r="K669">
        <v>60062</v>
      </c>
      <c r="L669">
        <v>1680</v>
      </c>
      <c r="M669">
        <v>10</v>
      </c>
      <c r="N669">
        <v>2</v>
      </c>
      <c r="O669">
        <v>1</v>
      </c>
      <c r="P669" t="s">
        <v>18</v>
      </c>
      <c r="Q669">
        <v>5</v>
      </c>
      <c r="R669">
        <v>0</v>
      </c>
      <c r="S669" t="s">
        <v>21</v>
      </c>
      <c r="T669">
        <v>2</v>
      </c>
      <c r="U669">
        <v>0</v>
      </c>
    </row>
    <row r="670" spans="1:21" x14ac:dyDescent="0.25">
      <c r="A670">
        <v>9886153</v>
      </c>
      <c r="B670" t="s">
        <v>15</v>
      </c>
      <c r="C670" s="1">
        <v>43329</v>
      </c>
      <c r="D670" s="2">
        <f>YEAR(C670)</f>
        <v>2018</v>
      </c>
      <c r="E670">
        <v>445000</v>
      </c>
      <c r="F670" t="s">
        <v>85</v>
      </c>
      <c r="G670">
        <v>1966</v>
      </c>
      <c r="H670">
        <v>2139</v>
      </c>
      <c r="I670" t="s">
        <v>172</v>
      </c>
      <c r="J670">
        <v>62</v>
      </c>
      <c r="K670">
        <v>60062</v>
      </c>
      <c r="L670">
        <v>1644</v>
      </c>
      <c r="M670">
        <v>7</v>
      </c>
      <c r="N670">
        <v>2</v>
      </c>
      <c r="O670">
        <v>1</v>
      </c>
      <c r="P670" t="s">
        <v>18</v>
      </c>
      <c r="Q670">
        <v>3</v>
      </c>
      <c r="R670">
        <v>0</v>
      </c>
      <c r="S670" t="s">
        <v>21</v>
      </c>
      <c r="T670">
        <v>1</v>
      </c>
      <c r="U670">
        <v>0</v>
      </c>
    </row>
    <row r="671" spans="1:21" x14ac:dyDescent="0.25">
      <c r="A671">
        <v>9874064</v>
      </c>
      <c r="B671" t="s">
        <v>15</v>
      </c>
      <c r="C671" s="1">
        <v>43221</v>
      </c>
      <c r="D671" s="2">
        <f>YEAR(C671)</f>
        <v>2018</v>
      </c>
      <c r="E671">
        <v>310000</v>
      </c>
      <c r="F671" t="s">
        <v>85</v>
      </c>
      <c r="G671">
        <v>1966</v>
      </c>
      <c r="H671">
        <v>1780</v>
      </c>
      <c r="I671" t="s">
        <v>96</v>
      </c>
      <c r="J671">
        <v>62</v>
      </c>
      <c r="K671">
        <v>60062</v>
      </c>
      <c r="L671">
        <v>1095</v>
      </c>
      <c r="M671">
        <v>7</v>
      </c>
      <c r="N671">
        <v>1</v>
      </c>
      <c r="O671">
        <v>1</v>
      </c>
      <c r="P671" t="s">
        <v>18</v>
      </c>
      <c r="Q671">
        <v>3</v>
      </c>
      <c r="R671">
        <v>0</v>
      </c>
      <c r="S671" t="s">
        <v>22</v>
      </c>
      <c r="T671">
        <v>1</v>
      </c>
      <c r="U671">
        <v>0</v>
      </c>
    </row>
    <row r="672" spans="1:21" x14ac:dyDescent="0.25">
      <c r="A672">
        <v>9822245</v>
      </c>
      <c r="B672" t="s">
        <v>15</v>
      </c>
      <c r="C672" s="1">
        <v>43203</v>
      </c>
      <c r="D672" s="2">
        <f>YEAR(C672)</f>
        <v>2018</v>
      </c>
      <c r="E672">
        <v>575000</v>
      </c>
      <c r="F672" t="s">
        <v>85</v>
      </c>
      <c r="G672">
        <v>1967</v>
      </c>
      <c r="H672">
        <v>5244</v>
      </c>
      <c r="I672" t="s">
        <v>215</v>
      </c>
      <c r="J672">
        <v>76</v>
      </c>
      <c r="K672">
        <v>60077</v>
      </c>
      <c r="L672">
        <v>4379</v>
      </c>
      <c r="M672">
        <v>11</v>
      </c>
      <c r="N672">
        <v>3</v>
      </c>
      <c r="O672">
        <v>0</v>
      </c>
      <c r="P672" t="s">
        <v>18</v>
      </c>
      <c r="Q672">
        <v>5</v>
      </c>
      <c r="R672">
        <v>0</v>
      </c>
      <c r="S672" t="s">
        <v>21</v>
      </c>
      <c r="T672">
        <v>2</v>
      </c>
      <c r="U672">
        <v>0</v>
      </c>
    </row>
    <row r="673" spans="1:21" x14ac:dyDescent="0.25">
      <c r="A673">
        <v>9982177</v>
      </c>
      <c r="B673" t="s">
        <v>15</v>
      </c>
      <c r="C673" s="1">
        <v>43327</v>
      </c>
      <c r="D673" s="2">
        <f>YEAR(C673)</f>
        <v>2018</v>
      </c>
      <c r="E673">
        <v>512000</v>
      </c>
      <c r="F673" t="s">
        <v>85</v>
      </c>
      <c r="G673">
        <v>1967</v>
      </c>
      <c r="H673">
        <v>6858</v>
      </c>
      <c r="I673" t="s">
        <v>71</v>
      </c>
      <c r="J673">
        <v>76</v>
      </c>
      <c r="K673">
        <v>60077</v>
      </c>
      <c r="L673">
        <v>2500</v>
      </c>
      <c r="M673">
        <v>9</v>
      </c>
      <c r="N673">
        <v>2</v>
      </c>
      <c r="O673">
        <v>1</v>
      </c>
      <c r="P673" t="s">
        <v>18</v>
      </c>
      <c r="Q673">
        <v>4</v>
      </c>
      <c r="R673">
        <v>0</v>
      </c>
      <c r="S673" t="s">
        <v>21</v>
      </c>
      <c r="T673">
        <v>2</v>
      </c>
      <c r="U673">
        <v>0</v>
      </c>
    </row>
    <row r="674" spans="1:21" x14ac:dyDescent="0.25">
      <c r="A674">
        <v>9652833</v>
      </c>
      <c r="B674" t="s">
        <v>15</v>
      </c>
      <c r="C674" s="1">
        <v>42997</v>
      </c>
      <c r="D674" s="2">
        <f>YEAR(C674)</f>
        <v>2017</v>
      </c>
      <c r="E674">
        <v>852500</v>
      </c>
      <c r="F674" t="s">
        <v>85</v>
      </c>
      <c r="G674">
        <v>1967</v>
      </c>
      <c r="H674">
        <v>1301</v>
      </c>
      <c r="I674" t="s">
        <v>302</v>
      </c>
      <c r="J674">
        <v>62</v>
      </c>
      <c r="K674">
        <v>60062</v>
      </c>
      <c r="L674">
        <v>3972</v>
      </c>
      <c r="M674">
        <v>11</v>
      </c>
      <c r="N674">
        <v>2</v>
      </c>
      <c r="O674">
        <v>1</v>
      </c>
      <c r="P674" t="s">
        <v>18</v>
      </c>
      <c r="Q674">
        <v>4</v>
      </c>
      <c r="R674">
        <v>0</v>
      </c>
      <c r="S674" t="s">
        <v>21</v>
      </c>
      <c r="T674">
        <v>2.5</v>
      </c>
      <c r="U674">
        <v>0</v>
      </c>
    </row>
    <row r="675" spans="1:21" x14ac:dyDescent="0.25">
      <c r="A675">
        <v>9955340</v>
      </c>
      <c r="B675" t="s">
        <v>15</v>
      </c>
      <c r="C675" s="1">
        <v>43298</v>
      </c>
      <c r="D675" s="2">
        <f>YEAR(C675)</f>
        <v>2018</v>
      </c>
      <c r="E675">
        <v>420000</v>
      </c>
      <c r="F675" t="s">
        <v>85</v>
      </c>
      <c r="G675">
        <v>1967</v>
      </c>
      <c r="H675">
        <v>1084</v>
      </c>
      <c r="I675" t="s">
        <v>193</v>
      </c>
      <c r="J675">
        <v>62</v>
      </c>
      <c r="K675">
        <v>60062</v>
      </c>
      <c r="L675">
        <v>3700</v>
      </c>
      <c r="M675">
        <v>10</v>
      </c>
      <c r="N675">
        <v>2</v>
      </c>
      <c r="O675">
        <v>1</v>
      </c>
      <c r="P675" t="s">
        <v>18</v>
      </c>
      <c r="Q675">
        <v>5</v>
      </c>
      <c r="R675">
        <v>0</v>
      </c>
      <c r="S675" t="s">
        <v>22</v>
      </c>
      <c r="T675">
        <v>2</v>
      </c>
      <c r="U675">
        <v>0</v>
      </c>
    </row>
    <row r="676" spans="1:21" x14ac:dyDescent="0.25">
      <c r="A676">
        <v>9577418</v>
      </c>
      <c r="B676" t="s">
        <v>15</v>
      </c>
      <c r="C676" s="1">
        <v>42905</v>
      </c>
      <c r="D676" s="2">
        <f>YEAR(C676)</f>
        <v>2017</v>
      </c>
      <c r="E676">
        <v>799999</v>
      </c>
      <c r="F676" t="s">
        <v>85</v>
      </c>
      <c r="G676">
        <v>1967</v>
      </c>
      <c r="H676">
        <v>1225</v>
      </c>
      <c r="I676" t="s">
        <v>302</v>
      </c>
      <c r="J676">
        <v>62</v>
      </c>
      <c r="K676">
        <v>60062</v>
      </c>
      <c r="L676">
        <v>3106</v>
      </c>
      <c r="M676">
        <v>9</v>
      </c>
      <c r="N676">
        <v>2</v>
      </c>
      <c r="O676">
        <v>1</v>
      </c>
      <c r="P676" t="s">
        <v>18</v>
      </c>
      <c r="Q676">
        <v>4</v>
      </c>
      <c r="R676">
        <v>0</v>
      </c>
      <c r="S676" t="s">
        <v>21</v>
      </c>
      <c r="T676">
        <v>2</v>
      </c>
      <c r="U676">
        <v>0</v>
      </c>
    </row>
    <row r="677" spans="1:21" x14ac:dyDescent="0.25">
      <c r="A677">
        <v>9902500</v>
      </c>
      <c r="B677" t="s">
        <v>15</v>
      </c>
      <c r="C677" s="1">
        <v>43350</v>
      </c>
      <c r="D677" s="2">
        <f>YEAR(C677)</f>
        <v>2018</v>
      </c>
      <c r="E677">
        <v>625000</v>
      </c>
      <c r="F677" t="s">
        <v>85</v>
      </c>
      <c r="G677">
        <v>1967</v>
      </c>
      <c r="H677">
        <v>3853</v>
      </c>
      <c r="I677" t="s">
        <v>303</v>
      </c>
      <c r="J677">
        <v>62</v>
      </c>
      <c r="K677">
        <v>60062</v>
      </c>
      <c r="L677">
        <v>3018</v>
      </c>
      <c r="M677">
        <v>10</v>
      </c>
      <c r="N677">
        <v>2</v>
      </c>
      <c r="O677">
        <v>1</v>
      </c>
      <c r="P677" t="s">
        <v>18</v>
      </c>
      <c r="Q677">
        <v>4</v>
      </c>
      <c r="R677">
        <v>0</v>
      </c>
      <c r="S677" t="s">
        <v>21</v>
      </c>
      <c r="T677">
        <v>2</v>
      </c>
      <c r="U677">
        <v>0</v>
      </c>
    </row>
    <row r="678" spans="1:21" x14ac:dyDescent="0.25">
      <c r="A678">
        <v>9566357</v>
      </c>
      <c r="B678" t="s">
        <v>15</v>
      </c>
      <c r="C678" s="1">
        <v>42886</v>
      </c>
      <c r="D678" s="2">
        <f>YEAR(C678)</f>
        <v>2017</v>
      </c>
      <c r="E678">
        <v>582000</v>
      </c>
      <c r="F678" t="s">
        <v>85</v>
      </c>
      <c r="G678">
        <v>1967</v>
      </c>
      <c r="H678">
        <v>1943</v>
      </c>
      <c r="I678" t="s">
        <v>281</v>
      </c>
      <c r="J678">
        <v>62</v>
      </c>
      <c r="K678">
        <v>60062</v>
      </c>
      <c r="L678">
        <v>2980</v>
      </c>
      <c r="M678">
        <v>10</v>
      </c>
      <c r="N678">
        <v>2</v>
      </c>
      <c r="O678">
        <v>1</v>
      </c>
      <c r="P678" t="s">
        <v>18</v>
      </c>
      <c r="Q678">
        <v>4</v>
      </c>
      <c r="R678">
        <v>0</v>
      </c>
      <c r="S678" t="s">
        <v>21</v>
      </c>
      <c r="T678">
        <v>2</v>
      </c>
      <c r="U678">
        <v>0</v>
      </c>
    </row>
    <row r="679" spans="1:21" x14ac:dyDescent="0.25">
      <c r="A679">
        <v>9951931</v>
      </c>
      <c r="B679" t="s">
        <v>15</v>
      </c>
      <c r="C679" s="1">
        <v>43312</v>
      </c>
      <c r="D679" s="2">
        <f>YEAR(C679)</f>
        <v>2018</v>
      </c>
      <c r="E679">
        <v>560500</v>
      </c>
      <c r="F679" t="s">
        <v>85</v>
      </c>
      <c r="G679">
        <v>1967</v>
      </c>
      <c r="H679">
        <v>1237</v>
      </c>
      <c r="I679" t="s">
        <v>304</v>
      </c>
      <c r="J679">
        <v>62</v>
      </c>
      <c r="K679">
        <v>60062</v>
      </c>
      <c r="L679">
        <v>2955</v>
      </c>
      <c r="M679">
        <v>9</v>
      </c>
      <c r="N679">
        <v>2</v>
      </c>
      <c r="O679">
        <v>1</v>
      </c>
      <c r="P679" t="s">
        <v>18</v>
      </c>
      <c r="Q679">
        <v>4</v>
      </c>
      <c r="R679">
        <v>0</v>
      </c>
      <c r="S679" t="s">
        <v>21</v>
      </c>
      <c r="T679">
        <v>2.5</v>
      </c>
      <c r="U679">
        <v>0</v>
      </c>
    </row>
    <row r="680" spans="1:21" x14ac:dyDescent="0.25">
      <c r="A680">
        <v>9973077</v>
      </c>
      <c r="B680" t="s">
        <v>15</v>
      </c>
      <c r="C680" s="1">
        <v>43336</v>
      </c>
      <c r="D680" s="2">
        <f>YEAR(C680)</f>
        <v>2018</v>
      </c>
      <c r="E680">
        <v>675000</v>
      </c>
      <c r="F680" t="s">
        <v>85</v>
      </c>
      <c r="G680">
        <v>1967</v>
      </c>
      <c r="H680">
        <v>1701</v>
      </c>
      <c r="I680" t="s">
        <v>305</v>
      </c>
      <c r="J680">
        <v>62</v>
      </c>
      <c r="K680">
        <v>60062</v>
      </c>
      <c r="L680">
        <v>2900</v>
      </c>
      <c r="M680">
        <v>10</v>
      </c>
      <c r="N680">
        <v>2</v>
      </c>
      <c r="O680">
        <v>1</v>
      </c>
      <c r="P680" t="s">
        <v>18</v>
      </c>
      <c r="Q680">
        <v>4</v>
      </c>
      <c r="R680">
        <v>0</v>
      </c>
      <c r="S680" t="s">
        <v>21</v>
      </c>
      <c r="T680">
        <v>2</v>
      </c>
      <c r="U680">
        <v>0</v>
      </c>
    </row>
    <row r="681" spans="1:21" x14ac:dyDescent="0.25">
      <c r="A681">
        <v>9494238</v>
      </c>
      <c r="B681" t="s">
        <v>15</v>
      </c>
      <c r="C681" s="1">
        <v>42873</v>
      </c>
      <c r="D681" s="2">
        <f>YEAR(C681)</f>
        <v>2017</v>
      </c>
      <c r="E681">
        <v>730000</v>
      </c>
      <c r="F681" t="s">
        <v>85</v>
      </c>
      <c r="G681">
        <v>1967</v>
      </c>
      <c r="H681">
        <v>2602</v>
      </c>
      <c r="I681" t="s">
        <v>160</v>
      </c>
      <c r="J681">
        <v>62</v>
      </c>
      <c r="K681">
        <v>60062</v>
      </c>
      <c r="L681">
        <v>2895</v>
      </c>
      <c r="M681">
        <v>8</v>
      </c>
      <c r="N681">
        <v>2</v>
      </c>
      <c r="O681">
        <v>1</v>
      </c>
      <c r="P681" t="s">
        <v>18</v>
      </c>
      <c r="Q681">
        <v>4</v>
      </c>
      <c r="R681">
        <v>0</v>
      </c>
      <c r="S681" t="s">
        <v>21</v>
      </c>
      <c r="T681">
        <v>2</v>
      </c>
      <c r="U681">
        <v>0</v>
      </c>
    </row>
    <row r="682" spans="1:21" x14ac:dyDescent="0.25">
      <c r="A682">
        <v>9648873</v>
      </c>
      <c r="B682" t="s">
        <v>15</v>
      </c>
      <c r="C682" s="1">
        <v>42965</v>
      </c>
      <c r="D682" s="2">
        <f>YEAR(C682)</f>
        <v>2017</v>
      </c>
      <c r="E682">
        <v>792500</v>
      </c>
      <c r="F682" t="s">
        <v>85</v>
      </c>
      <c r="G682">
        <v>1967</v>
      </c>
      <c r="H682">
        <v>2126</v>
      </c>
      <c r="I682" t="s">
        <v>162</v>
      </c>
      <c r="J682">
        <v>62</v>
      </c>
      <c r="K682">
        <v>60062</v>
      </c>
      <c r="L682">
        <v>2890</v>
      </c>
      <c r="M682">
        <v>10</v>
      </c>
      <c r="N682">
        <v>2</v>
      </c>
      <c r="O682">
        <v>1</v>
      </c>
      <c r="P682" t="s">
        <v>18</v>
      </c>
      <c r="Q682">
        <v>4</v>
      </c>
      <c r="R682">
        <v>0</v>
      </c>
      <c r="S682" t="s">
        <v>21</v>
      </c>
      <c r="T682">
        <v>2</v>
      </c>
      <c r="U682">
        <v>0</v>
      </c>
    </row>
    <row r="683" spans="1:21" x14ac:dyDescent="0.25">
      <c r="A683">
        <v>9657252</v>
      </c>
      <c r="B683" t="s">
        <v>15</v>
      </c>
      <c r="C683" s="1">
        <v>42965</v>
      </c>
      <c r="D683" s="2">
        <f>YEAR(C683)</f>
        <v>2017</v>
      </c>
      <c r="E683">
        <v>626000</v>
      </c>
      <c r="F683" t="s">
        <v>85</v>
      </c>
      <c r="G683">
        <v>1967</v>
      </c>
      <c r="H683">
        <v>1720</v>
      </c>
      <c r="I683" t="s">
        <v>297</v>
      </c>
      <c r="J683">
        <v>62</v>
      </c>
      <c r="K683">
        <v>60062</v>
      </c>
      <c r="L683">
        <v>2800</v>
      </c>
      <c r="M683">
        <v>8</v>
      </c>
      <c r="N683">
        <v>3</v>
      </c>
      <c r="O683">
        <v>1</v>
      </c>
      <c r="P683" t="s">
        <v>18</v>
      </c>
      <c r="Q683">
        <v>4</v>
      </c>
      <c r="R683">
        <v>0</v>
      </c>
      <c r="S683" t="s">
        <v>21</v>
      </c>
      <c r="T683">
        <v>2</v>
      </c>
      <c r="U683">
        <v>0</v>
      </c>
    </row>
    <row r="684" spans="1:21" x14ac:dyDescent="0.25">
      <c r="A684">
        <v>10116409</v>
      </c>
      <c r="B684" t="s">
        <v>15</v>
      </c>
      <c r="C684" s="1">
        <v>43511</v>
      </c>
      <c r="D684" s="2">
        <f>YEAR(C684)</f>
        <v>2019</v>
      </c>
      <c r="E684">
        <v>575000</v>
      </c>
      <c r="F684" t="s">
        <v>85</v>
      </c>
      <c r="G684">
        <v>1967</v>
      </c>
      <c r="H684">
        <v>800</v>
      </c>
      <c r="I684" t="s">
        <v>299</v>
      </c>
      <c r="J684">
        <v>62</v>
      </c>
      <c r="K684">
        <v>60062</v>
      </c>
      <c r="L684">
        <v>2777</v>
      </c>
      <c r="M684">
        <v>9</v>
      </c>
      <c r="N684">
        <v>2</v>
      </c>
      <c r="O684">
        <v>1</v>
      </c>
      <c r="P684" t="s">
        <v>18</v>
      </c>
      <c r="Q684">
        <v>4</v>
      </c>
      <c r="R684">
        <v>0</v>
      </c>
      <c r="S684" t="s">
        <v>21</v>
      </c>
      <c r="T684">
        <v>2</v>
      </c>
      <c r="U684">
        <v>0</v>
      </c>
    </row>
    <row r="685" spans="1:21" x14ac:dyDescent="0.25">
      <c r="A685">
        <v>9587177</v>
      </c>
      <c r="B685" t="s">
        <v>15</v>
      </c>
      <c r="C685" s="1">
        <v>42886</v>
      </c>
      <c r="D685" s="2">
        <f>YEAR(C685)</f>
        <v>2017</v>
      </c>
      <c r="E685">
        <v>795000</v>
      </c>
      <c r="F685" t="s">
        <v>85</v>
      </c>
      <c r="G685">
        <v>1967</v>
      </c>
      <c r="H685">
        <v>2071</v>
      </c>
      <c r="I685" t="s">
        <v>162</v>
      </c>
      <c r="J685">
        <v>62</v>
      </c>
      <c r="K685">
        <v>60062</v>
      </c>
      <c r="L685">
        <v>2764</v>
      </c>
      <c r="M685">
        <v>12</v>
      </c>
      <c r="N685">
        <v>2</v>
      </c>
      <c r="O685">
        <v>1</v>
      </c>
      <c r="P685" t="s">
        <v>18</v>
      </c>
      <c r="Q685">
        <v>5</v>
      </c>
      <c r="R685">
        <v>0</v>
      </c>
      <c r="S685" t="s">
        <v>21</v>
      </c>
      <c r="T685">
        <v>2</v>
      </c>
      <c r="U685">
        <v>0</v>
      </c>
    </row>
    <row r="686" spans="1:21" x14ac:dyDescent="0.25">
      <c r="A686">
        <v>9584120</v>
      </c>
      <c r="B686" t="s">
        <v>15</v>
      </c>
      <c r="C686" s="1">
        <v>42895</v>
      </c>
      <c r="D686" s="2">
        <f>YEAR(C686)</f>
        <v>2017</v>
      </c>
      <c r="E686">
        <v>625000</v>
      </c>
      <c r="F686" t="s">
        <v>85</v>
      </c>
      <c r="G686">
        <v>1967</v>
      </c>
      <c r="H686">
        <v>1434</v>
      </c>
      <c r="I686" t="s">
        <v>290</v>
      </c>
      <c r="J686">
        <v>62</v>
      </c>
      <c r="K686">
        <v>60062</v>
      </c>
      <c r="L686">
        <v>2754</v>
      </c>
      <c r="M686">
        <v>10</v>
      </c>
      <c r="N686">
        <v>2</v>
      </c>
      <c r="O686">
        <v>1</v>
      </c>
      <c r="P686" t="s">
        <v>18</v>
      </c>
      <c r="Q686">
        <v>5</v>
      </c>
      <c r="R686">
        <v>0</v>
      </c>
      <c r="S686" t="s">
        <v>21</v>
      </c>
      <c r="T686">
        <v>2</v>
      </c>
      <c r="U686">
        <v>0</v>
      </c>
    </row>
    <row r="687" spans="1:21" x14ac:dyDescent="0.25">
      <c r="A687">
        <v>9831026</v>
      </c>
      <c r="B687" t="s">
        <v>15</v>
      </c>
      <c r="C687" s="1">
        <v>43300</v>
      </c>
      <c r="D687" s="2">
        <f>YEAR(C687)</f>
        <v>2018</v>
      </c>
      <c r="E687">
        <v>500000</v>
      </c>
      <c r="F687" t="s">
        <v>85</v>
      </c>
      <c r="G687">
        <v>1967</v>
      </c>
      <c r="H687">
        <v>835</v>
      </c>
      <c r="I687" t="s">
        <v>299</v>
      </c>
      <c r="J687">
        <v>62</v>
      </c>
      <c r="K687">
        <v>60062</v>
      </c>
      <c r="L687">
        <v>2700</v>
      </c>
      <c r="M687">
        <v>5</v>
      </c>
      <c r="N687">
        <v>2</v>
      </c>
      <c r="O687">
        <v>1</v>
      </c>
      <c r="P687" t="s">
        <v>18</v>
      </c>
      <c r="Q687">
        <v>4</v>
      </c>
      <c r="R687">
        <v>0</v>
      </c>
      <c r="S687" t="s">
        <v>21</v>
      </c>
      <c r="T687">
        <v>2</v>
      </c>
      <c r="U687">
        <v>0</v>
      </c>
    </row>
    <row r="688" spans="1:21" x14ac:dyDescent="0.25">
      <c r="A688">
        <v>9982680</v>
      </c>
      <c r="B688" t="s">
        <v>15</v>
      </c>
      <c r="C688" s="1">
        <v>43347</v>
      </c>
      <c r="D688" s="2">
        <f>YEAR(C688)</f>
        <v>2018</v>
      </c>
      <c r="E688">
        <v>759000</v>
      </c>
      <c r="F688" t="s">
        <v>85</v>
      </c>
      <c r="G688">
        <v>1967</v>
      </c>
      <c r="H688">
        <v>1819</v>
      </c>
      <c r="I688" t="s">
        <v>297</v>
      </c>
      <c r="J688">
        <v>62</v>
      </c>
      <c r="K688">
        <v>60062</v>
      </c>
      <c r="L688">
        <v>2700</v>
      </c>
      <c r="M688">
        <v>10</v>
      </c>
      <c r="N688">
        <v>2</v>
      </c>
      <c r="O688">
        <v>1</v>
      </c>
      <c r="P688" t="s">
        <v>18</v>
      </c>
      <c r="Q688">
        <v>4</v>
      </c>
      <c r="R688">
        <v>0</v>
      </c>
      <c r="S688" t="s">
        <v>21</v>
      </c>
      <c r="T688">
        <v>2</v>
      </c>
      <c r="U688">
        <v>0</v>
      </c>
    </row>
    <row r="689" spans="1:21" x14ac:dyDescent="0.25">
      <c r="A689">
        <v>9956555</v>
      </c>
      <c r="B689" t="s">
        <v>15</v>
      </c>
      <c r="C689" s="1">
        <v>43432</v>
      </c>
      <c r="D689" s="2">
        <f>YEAR(C689)</f>
        <v>2018</v>
      </c>
      <c r="E689">
        <v>610000</v>
      </c>
      <c r="F689" t="s">
        <v>85</v>
      </c>
      <c r="G689">
        <v>1967</v>
      </c>
      <c r="H689">
        <v>2515</v>
      </c>
      <c r="I689" t="s">
        <v>172</v>
      </c>
      <c r="J689">
        <v>62</v>
      </c>
      <c r="K689">
        <v>60062</v>
      </c>
      <c r="L689">
        <v>2644</v>
      </c>
      <c r="M689">
        <v>10</v>
      </c>
      <c r="N689">
        <v>2</v>
      </c>
      <c r="O689">
        <v>1</v>
      </c>
      <c r="P689" t="s">
        <v>18</v>
      </c>
      <c r="Q689">
        <v>4</v>
      </c>
      <c r="R689">
        <v>0</v>
      </c>
      <c r="S689" t="s">
        <v>21</v>
      </c>
      <c r="T689">
        <v>2</v>
      </c>
      <c r="U689">
        <v>0</v>
      </c>
    </row>
    <row r="690" spans="1:21" x14ac:dyDescent="0.25">
      <c r="A690">
        <v>9720640</v>
      </c>
      <c r="B690" t="s">
        <v>15</v>
      </c>
      <c r="C690" s="1">
        <v>43055</v>
      </c>
      <c r="D690" s="2">
        <f>YEAR(C690)</f>
        <v>2017</v>
      </c>
      <c r="E690">
        <v>590000</v>
      </c>
      <c r="F690" t="s">
        <v>85</v>
      </c>
      <c r="G690">
        <v>1967</v>
      </c>
      <c r="H690">
        <v>1664</v>
      </c>
      <c r="I690" t="s">
        <v>306</v>
      </c>
      <c r="J690">
        <v>62</v>
      </c>
      <c r="K690">
        <v>60062</v>
      </c>
      <c r="L690">
        <v>2602</v>
      </c>
      <c r="M690">
        <v>8</v>
      </c>
      <c r="N690">
        <v>2</v>
      </c>
      <c r="O690">
        <v>1</v>
      </c>
      <c r="P690" t="s">
        <v>18</v>
      </c>
      <c r="Q690">
        <v>4</v>
      </c>
      <c r="R690">
        <v>0</v>
      </c>
      <c r="S690" t="s">
        <v>21</v>
      </c>
      <c r="T690">
        <v>2</v>
      </c>
      <c r="U690">
        <v>0</v>
      </c>
    </row>
    <row r="691" spans="1:21" x14ac:dyDescent="0.25">
      <c r="A691">
        <v>9856491</v>
      </c>
      <c r="B691" t="s">
        <v>15</v>
      </c>
      <c r="C691" s="1">
        <v>43251</v>
      </c>
      <c r="D691" s="2">
        <f>YEAR(C691)</f>
        <v>2018</v>
      </c>
      <c r="E691">
        <v>624000</v>
      </c>
      <c r="F691" t="s">
        <v>85</v>
      </c>
      <c r="G691">
        <v>1967</v>
      </c>
      <c r="H691">
        <v>3111</v>
      </c>
      <c r="I691" t="s">
        <v>307</v>
      </c>
      <c r="J691">
        <v>62</v>
      </c>
      <c r="K691">
        <v>60062</v>
      </c>
      <c r="L691">
        <v>2556</v>
      </c>
      <c r="M691">
        <v>10</v>
      </c>
      <c r="N691">
        <v>2</v>
      </c>
      <c r="O691">
        <v>1</v>
      </c>
      <c r="P691" t="s">
        <v>18</v>
      </c>
      <c r="Q691">
        <v>4</v>
      </c>
      <c r="R691">
        <v>0</v>
      </c>
      <c r="S691" t="s">
        <v>21</v>
      </c>
      <c r="T691">
        <v>2</v>
      </c>
      <c r="U691">
        <v>0</v>
      </c>
    </row>
    <row r="692" spans="1:21" x14ac:dyDescent="0.25">
      <c r="A692">
        <v>9480165</v>
      </c>
      <c r="B692" t="s">
        <v>15</v>
      </c>
      <c r="C692" s="1">
        <v>42815</v>
      </c>
      <c r="D692" s="2">
        <f>YEAR(C692)</f>
        <v>2017</v>
      </c>
      <c r="E692">
        <v>520000</v>
      </c>
      <c r="F692" t="s">
        <v>85</v>
      </c>
      <c r="G692">
        <v>1967</v>
      </c>
      <c r="H692">
        <v>1920</v>
      </c>
      <c r="I692" t="s">
        <v>281</v>
      </c>
      <c r="J692">
        <v>62</v>
      </c>
      <c r="K692">
        <v>60062</v>
      </c>
      <c r="L692">
        <v>1778</v>
      </c>
      <c r="M692">
        <v>8</v>
      </c>
      <c r="N692">
        <v>2</v>
      </c>
      <c r="O692">
        <v>1</v>
      </c>
      <c r="P692" t="s">
        <v>18</v>
      </c>
      <c r="Q692">
        <v>4</v>
      </c>
      <c r="R692">
        <v>0</v>
      </c>
      <c r="S692" t="s">
        <v>21</v>
      </c>
      <c r="T692">
        <v>2</v>
      </c>
      <c r="U692">
        <v>0</v>
      </c>
    </row>
    <row r="693" spans="1:21" x14ac:dyDescent="0.25">
      <c r="A693">
        <v>9638153</v>
      </c>
      <c r="B693" t="s">
        <v>15</v>
      </c>
      <c r="C693" s="1">
        <v>42950</v>
      </c>
      <c r="D693" s="2">
        <f>YEAR(C693)</f>
        <v>2017</v>
      </c>
      <c r="E693">
        <v>470000</v>
      </c>
      <c r="F693" t="s">
        <v>85</v>
      </c>
      <c r="G693">
        <v>1967</v>
      </c>
      <c r="H693">
        <v>2613</v>
      </c>
      <c r="I693" t="s">
        <v>160</v>
      </c>
      <c r="J693">
        <v>62</v>
      </c>
      <c r="K693">
        <v>60062</v>
      </c>
      <c r="L693">
        <v>1682</v>
      </c>
      <c r="M693">
        <v>8</v>
      </c>
      <c r="N693">
        <v>2</v>
      </c>
      <c r="O693">
        <v>1</v>
      </c>
      <c r="P693" t="s">
        <v>18</v>
      </c>
      <c r="Q693">
        <v>4</v>
      </c>
      <c r="R693">
        <v>0</v>
      </c>
      <c r="S693" t="s">
        <v>21</v>
      </c>
      <c r="T693">
        <v>2</v>
      </c>
      <c r="U693">
        <v>0</v>
      </c>
    </row>
    <row r="694" spans="1:21" x14ac:dyDescent="0.25">
      <c r="A694">
        <v>10037926</v>
      </c>
      <c r="B694" t="s">
        <v>15</v>
      </c>
      <c r="C694" s="1">
        <v>43371</v>
      </c>
      <c r="D694" s="2">
        <f>YEAR(C694)</f>
        <v>2018</v>
      </c>
      <c r="E694">
        <v>463000</v>
      </c>
      <c r="F694" t="s">
        <v>85</v>
      </c>
      <c r="G694">
        <v>1967</v>
      </c>
      <c r="H694">
        <v>2243</v>
      </c>
      <c r="I694" t="s">
        <v>308</v>
      </c>
      <c r="J694">
        <v>62</v>
      </c>
      <c r="K694">
        <v>60062</v>
      </c>
      <c r="L694">
        <v>1500</v>
      </c>
      <c r="M694">
        <v>4</v>
      </c>
      <c r="N694">
        <v>2</v>
      </c>
      <c r="O694">
        <v>1</v>
      </c>
      <c r="P694" t="s">
        <v>18</v>
      </c>
      <c r="Q694">
        <v>4</v>
      </c>
      <c r="R694">
        <v>0</v>
      </c>
      <c r="S694" t="s">
        <v>21</v>
      </c>
      <c r="T694">
        <v>2.5</v>
      </c>
      <c r="U694">
        <v>0</v>
      </c>
    </row>
    <row r="695" spans="1:21" x14ac:dyDescent="0.25">
      <c r="A695">
        <v>9483995</v>
      </c>
      <c r="B695" t="s">
        <v>15</v>
      </c>
      <c r="C695" s="1">
        <v>42923</v>
      </c>
      <c r="D695" s="2">
        <f>YEAR(C695)</f>
        <v>2017</v>
      </c>
      <c r="E695">
        <v>345000</v>
      </c>
      <c r="F695" t="s">
        <v>85</v>
      </c>
      <c r="G695">
        <v>1968</v>
      </c>
      <c r="H695">
        <v>9533</v>
      </c>
      <c r="I695" t="s">
        <v>98</v>
      </c>
      <c r="J695">
        <v>76</v>
      </c>
      <c r="K695">
        <v>60076</v>
      </c>
      <c r="L695">
        <v>2534</v>
      </c>
      <c r="M695">
        <v>9</v>
      </c>
      <c r="N695">
        <v>3</v>
      </c>
      <c r="O695">
        <v>0</v>
      </c>
      <c r="P695" t="s">
        <v>18</v>
      </c>
      <c r="Q695">
        <v>4</v>
      </c>
      <c r="R695">
        <v>0</v>
      </c>
      <c r="S695" t="s">
        <v>22</v>
      </c>
      <c r="T695">
        <v>2.5</v>
      </c>
      <c r="U695">
        <v>0</v>
      </c>
    </row>
    <row r="696" spans="1:21" x14ac:dyDescent="0.25">
      <c r="A696">
        <v>9787626</v>
      </c>
      <c r="B696" t="s">
        <v>15</v>
      </c>
      <c r="C696" s="1">
        <v>43081</v>
      </c>
      <c r="D696" s="2">
        <f>YEAR(C696)</f>
        <v>2017</v>
      </c>
      <c r="E696">
        <v>418000</v>
      </c>
      <c r="F696" t="s">
        <v>85</v>
      </c>
      <c r="G696">
        <v>1968</v>
      </c>
      <c r="H696">
        <v>10021</v>
      </c>
      <c r="I696" t="s">
        <v>54</v>
      </c>
      <c r="J696">
        <v>76</v>
      </c>
      <c r="K696">
        <v>60077</v>
      </c>
      <c r="L696">
        <v>2325</v>
      </c>
      <c r="M696">
        <v>8</v>
      </c>
      <c r="N696">
        <v>2</v>
      </c>
      <c r="O696">
        <v>1</v>
      </c>
      <c r="P696" t="s">
        <v>18</v>
      </c>
      <c r="Q696">
        <v>4</v>
      </c>
      <c r="R696">
        <v>0</v>
      </c>
      <c r="S696" t="s">
        <v>21</v>
      </c>
      <c r="T696">
        <v>2</v>
      </c>
      <c r="U696">
        <v>0</v>
      </c>
    </row>
    <row r="697" spans="1:21" x14ac:dyDescent="0.25">
      <c r="A697">
        <v>9690559</v>
      </c>
      <c r="B697" t="s">
        <v>15</v>
      </c>
      <c r="C697" s="1">
        <v>43108</v>
      </c>
      <c r="D697" s="2">
        <f>YEAR(C697)</f>
        <v>2018</v>
      </c>
      <c r="E697">
        <v>520000</v>
      </c>
      <c r="F697" t="s">
        <v>85</v>
      </c>
      <c r="G697">
        <v>1968</v>
      </c>
      <c r="H697">
        <v>3828</v>
      </c>
      <c r="I697" t="s">
        <v>310</v>
      </c>
      <c r="J697">
        <v>62</v>
      </c>
      <c r="K697">
        <v>60062</v>
      </c>
      <c r="L697">
        <v>3422</v>
      </c>
      <c r="M697">
        <v>10</v>
      </c>
      <c r="N697">
        <v>3</v>
      </c>
      <c r="O697">
        <v>1</v>
      </c>
      <c r="P697" t="s">
        <v>18</v>
      </c>
      <c r="Q697">
        <v>4</v>
      </c>
      <c r="R697">
        <v>0</v>
      </c>
      <c r="S697" t="s">
        <v>21</v>
      </c>
      <c r="T697">
        <v>2</v>
      </c>
      <c r="U697">
        <v>0</v>
      </c>
    </row>
    <row r="698" spans="1:21" x14ac:dyDescent="0.25">
      <c r="A698">
        <v>10087006</v>
      </c>
      <c r="B698" t="s">
        <v>15</v>
      </c>
      <c r="C698" s="1">
        <v>43455</v>
      </c>
      <c r="D698" s="2">
        <f>YEAR(C698)</f>
        <v>2018</v>
      </c>
      <c r="E698">
        <v>605000</v>
      </c>
      <c r="F698" t="s">
        <v>85</v>
      </c>
      <c r="G698">
        <v>1968</v>
      </c>
      <c r="H698">
        <v>938</v>
      </c>
      <c r="I698" t="s">
        <v>151</v>
      </c>
      <c r="J698">
        <v>62</v>
      </c>
      <c r="K698">
        <v>60062</v>
      </c>
      <c r="L698">
        <v>3422</v>
      </c>
      <c r="M698">
        <v>9</v>
      </c>
      <c r="N698">
        <v>2</v>
      </c>
      <c r="O698">
        <v>2</v>
      </c>
      <c r="P698" t="s">
        <v>18</v>
      </c>
      <c r="Q698">
        <v>5</v>
      </c>
      <c r="R698">
        <v>0</v>
      </c>
      <c r="S698" t="s">
        <v>21</v>
      </c>
      <c r="T698">
        <v>2</v>
      </c>
      <c r="U698">
        <v>0</v>
      </c>
    </row>
    <row r="699" spans="1:21" x14ac:dyDescent="0.25">
      <c r="A699">
        <v>9957960</v>
      </c>
      <c r="B699" t="s">
        <v>15</v>
      </c>
      <c r="C699" s="1">
        <v>43357</v>
      </c>
      <c r="D699" s="2">
        <f>YEAR(C699)</f>
        <v>2018</v>
      </c>
      <c r="E699">
        <v>770000</v>
      </c>
      <c r="F699" t="s">
        <v>85</v>
      </c>
      <c r="G699">
        <v>1968</v>
      </c>
      <c r="H699">
        <v>3828</v>
      </c>
      <c r="I699" t="s">
        <v>310</v>
      </c>
      <c r="J699">
        <v>62</v>
      </c>
      <c r="K699">
        <v>60062</v>
      </c>
      <c r="L699">
        <v>3422</v>
      </c>
      <c r="M699">
        <v>10</v>
      </c>
      <c r="N699">
        <v>3</v>
      </c>
      <c r="O699">
        <v>1</v>
      </c>
      <c r="P699" t="s">
        <v>18</v>
      </c>
      <c r="Q699">
        <v>4</v>
      </c>
      <c r="R699">
        <v>0</v>
      </c>
      <c r="S699" t="s">
        <v>21</v>
      </c>
      <c r="T699">
        <v>2</v>
      </c>
      <c r="U699">
        <v>0</v>
      </c>
    </row>
    <row r="700" spans="1:21" x14ac:dyDescent="0.25">
      <c r="A700">
        <v>9371152</v>
      </c>
      <c r="B700" t="s">
        <v>15</v>
      </c>
      <c r="C700" s="1">
        <v>42923</v>
      </c>
      <c r="D700" s="2">
        <f>YEAR(C700)</f>
        <v>2017</v>
      </c>
      <c r="E700">
        <v>680000</v>
      </c>
      <c r="F700" t="s">
        <v>85</v>
      </c>
      <c r="G700">
        <v>1968</v>
      </c>
      <c r="H700">
        <v>2845</v>
      </c>
      <c r="I700" t="s">
        <v>311</v>
      </c>
      <c r="J700">
        <v>62</v>
      </c>
      <c r="K700">
        <v>60062</v>
      </c>
      <c r="L700">
        <v>3348</v>
      </c>
      <c r="M700">
        <v>12</v>
      </c>
      <c r="N700">
        <v>2</v>
      </c>
      <c r="O700">
        <v>1</v>
      </c>
      <c r="P700" t="s">
        <v>18</v>
      </c>
      <c r="Q700">
        <v>4</v>
      </c>
      <c r="R700">
        <v>0</v>
      </c>
      <c r="S700" t="s">
        <v>21</v>
      </c>
      <c r="T700">
        <v>2</v>
      </c>
      <c r="U700">
        <v>0</v>
      </c>
    </row>
    <row r="701" spans="1:21" x14ac:dyDescent="0.25">
      <c r="A701">
        <v>9885656</v>
      </c>
      <c r="B701" t="s">
        <v>15</v>
      </c>
      <c r="C701" s="1">
        <v>43238</v>
      </c>
      <c r="D701" s="2">
        <f>YEAR(C701)</f>
        <v>2018</v>
      </c>
      <c r="E701">
        <v>765000</v>
      </c>
      <c r="F701" t="s">
        <v>85</v>
      </c>
      <c r="G701">
        <v>1968</v>
      </c>
      <c r="H701">
        <v>1145</v>
      </c>
      <c r="I701" t="s">
        <v>312</v>
      </c>
      <c r="J701">
        <v>62</v>
      </c>
      <c r="K701">
        <v>60062</v>
      </c>
      <c r="L701">
        <v>3246</v>
      </c>
      <c r="M701">
        <v>10</v>
      </c>
      <c r="N701">
        <v>2</v>
      </c>
      <c r="O701">
        <v>1</v>
      </c>
      <c r="P701" t="s">
        <v>18</v>
      </c>
      <c r="Q701">
        <v>4</v>
      </c>
      <c r="R701">
        <v>0</v>
      </c>
      <c r="S701" t="s">
        <v>21</v>
      </c>
      <c r="T701">
        <v>2</v>
      </c>
      <c r="U701">
        <v>0</v>
      </c>
    </row>
    <row r="702" spans="1:21" x14ac:dyDescent="0.25">
      <c r="A702">
        <v>9850405</v>
      </c>
      <c r="B702" t="s">
        <v>15</v>
      </c>
      <c r="C702" s="1">
        <v>43242</v>
      </c>
      <c r="D702" s="2">
        <f>YEAR(C702)</f>
        <v>2018</v>
      </c>
      <c r="E702">
        <v>752500</v>
      </c>
      <c r="F702" t="s">
        <v>85</v>
      </c>
      <c r="G702">
        <v>1968</v>
      </c>
      <c r="H702">
        <v>2400</v>
      </c>
      <c r="I702" t="s">
        <v>313</v>
      </c>
      <c r="J702">
        <v>62</v>
      </c>
      <c r="K702">
        <v>60062</v>
      </c>
      <c r="L702">
        <v>3211</v>
      </c>
      <c r="M702">
        <v>10</v>
      </c>
      <c r="N702">
        <v>2</v>
      </c>
      <c r="O702">
        <v>1</v>
      </c>
      <c r="P702" t="s">
        <v>18</v>
      </c>
      <c r="Q702">
        <v>4</v>
      </c>
      <c r="R702">
        <v>0</v>
      </c>
      <c r="S702" t="s">
        <v>21</v>
      </c>
      <c r="T702">
        <v>2</v>
      </c>
      <c r="U702">
        <v>0</v>
      </c>
    </row>
    <row r="703" spans="1:21" x14ac:dyDescent="0.25">
      <c r="A703">
        <v>9403586</v>
      </c>
      <c r="B703" t="s">
        <v>15</v>
      </c>
      <c r="C703" s="1">
        <v>42831</v>
      </c>
      <c r="D703" s="2">
        <f>YEAR(C703)</f>
        <v>2017</v>
      </c>
      <c r="E703">
        <v>800000</v>
      </c>
      <c r="F703" t="s">
        <v>85</v>
      </c>
      <c r="G703">
        <v>1968</v>
      </c>
      <c r="H703">
        <v>2047</v>
      </c>
      <c r="I703" t="s">
        <v>146</v>
      </c>
      <c r="J703">
        <v>62</v>
      </c>
      <c r="K703">
        <v>60062</v>
      </c>
      <c r="L703">
        <v>3151</v>
      </c>
      <c r="M703">
        <v>12</v>
      </c>
      <c r="N703">
        <v>3</v>
      </c>
      <c r="O703">
        <v>0</v>
      </c>
      <c r="P703" t="s">
        <v>18</v>
      </c>
      <c r="Q703">
        <v>4</v>
      </c>
      <c r="R703">
        <v>0</v>
      </c>
      <c r="S703" t="s">
        <v>21</v>
      </c>
      <c r="T703">
        <v>2</v>
      </c>
      <c r="U703">
        <v>0</v>
      </c>
    </row>
    <row r="704" spans="1:21" x14ac:dyDescent="0.25">
      <c r="A704">
        <v>10069510</v>
      </c>
      <c r="B704" t="s">
        <v>15</v>
      </c>
      <c r="C704" s="1">
        <v>43472</v>
      </c>
      <c r="D704" s="2">
        <f>YEAR(C704)</f>
        <v>2019</v>
      </c>
      <c r="E704">
        <v>563000</v>
      </c>
      <c r="F704" t="s">
        <v>85</v>
      </c>
      <c r="G704">
        <v>1968</v>
      </c>
      <c r="H704">
        <v>952</v>
      </c>
      <c r="I704" t="s">
        <v>151</v>
      </c>
      <c r="J704">
        <v>62</v>
      </c>
      <c r="K704">
        <v>60062</v>
      </c>
      <c r="L704">
        <v>3144</v>
      </c>
      <c r="M704">
        <v>9</v>
      </c>
      <c r="N704">
        <v>2</v>
      </c>
      <c r="O704">
        <v>1</v>
      </c>
      <c r="P704" t="s">
        <v>18</v>
      </c>
      <c r="Q704">
        <v>4</v>
      </c>
      <c r="R704">
        <v>0</v>
      </c>
      <c r="S704" t="s">
        <v>21</v>
      </c>
      <c r="T704">
        <v>2</v>
      </c>
      <c r="U704">
        <v>0</v>
      </c>
    </row>
    <row r="705" spans="1:21" x14ac:dyDescent="0.25">
      <c r="A705">
        <v>9609753</v>
      </c>
      <c r="B705" t="s">
        <v>15</v>
      </c>
      <c r="C705" s="1">
        <v>42909</v>
      </c>
      <c r="D705" s="2">
        <f>YEAR(C705)</f>
        <v>2017</v>
      </c>
      <c r="E705">
        <v>532500</v>
      </c>
      <c r="F705" t="s">
        <v>85</v>
      </c>
      <c r="G705">
        <v>1968</v>
      </c>
      <c r="H705">
        <v>1145</v>
      </c>
      <c r="I705" t="s">
        <v>312</v>
      </c>
      <c r="J705">
        <v>62</v>
      </c>
      <c r="K705">
        <v>60062</v>
      </c>
      <c r="L705">
        <v>3130</v>
      </c>
      <c r="M705">
        <v>10</v>
      </c>
      <c r="N705">
        <v>2</v>
      </c>
      <c r="O705">
        <v>1</v>
      </c>
      <c r="P705" t="s">
        <v>18</v>
      </c>
      <c r="Q705">
        <v>4</v>
      </c>
      <c r="R705">
        <v>0</v>
      </c>
      <c r="S705" t="s">
        <v>21</v>
      </c>
      <c r="T705">
        <v>2</v>
      </c>
      <c r="U705">
        <v>0</v>
      </c>
    </row>
    <row r="706" spans="1:21" x14ac:dyDescent="0.25">
      <c r="A706">
        <v>9878079</v>
      </c>
      <c r="B706" t="s">
        <v>15</v>
      </c>
      <c r="C706" s="1">
        <v>43231</v>
      </c>
      <c r="D706" s="2">
        <f>YEAR(C706)</f>
        <v>2018</v>
      </c>
      <c r="E706">
        <v>739000</v>
      </c>
      <c r="F706" t="s">
        <v>85</v>
      </c>
      <c r="G706">
        <v>1968</v>
      </c>
      <c r="H706">
        <v>1043</v>
      </c>
      <c r="I706" t="s">
        <v>282</v>
      </c>
      <c r="J706">
        <v>62</v>
      </c>
      <c r="K706">
        <v>60062</v>
      </c>
      <c r="L706">
        <v>3102</v>
      </c>
      <c r="M706">
        <v>11</v>
      </c>
      <c r="N706">
        <v>2</v>
      </c>
      <c r="O706">
        <v>1</v>
      </c>
      <c r="P706" t="s">
        <v>18</v>
      </c>
      <c r="Q706">
        <v>4</v>
      </c>
      <c r="R706">
        <v>0</v>
      </c>
      <c r="S706" t="s">
        <v>21</v>
      </c>
      <c r="T706">
        <v>2</v>
      </c>
      <c r="U706">
        <v>0</v>
      </c>
    </row>
    <row r="707" spans="1:21" x14ac:dyDescent="0.25">
      <c r="A707">
        <v>9956552</v>
      </c>
      <c r="B707" t="s">
        <v>15</v>
      </c>
      <c r="C707" s="1">
        <v>43308</v>
      </c>
      <c r="D707" s="2">
        <f>YEAR(C707)</f>
        <v>2018</v>
      </c>
      <c r="E707">
        <v>520000</v>
      </c>
      <c r="F707" t="s">
        <v>85</v>
      </c>
      <c r="G707">
        <v>1968</v>
      </c>
      <c r="H707">
        <v>1615</v>
      </c>
      <c r="I707" t="s">
        <v>262</v>
      </c>
      <c r="J707">
        <v>62</v>
      </c>
      <c r="K707">
        <v>60062</v>
      </c>
      <c r="L707">
        <v>3002</v>
      </c>
      <c r="M707">
        <v>9</v>
      </c>
      <c r="N707">
        <v>3</v>
      </c>
      <c r="O707">
        <v>1</v>
      </c>
      <c r="P707" t="s">
        <v>18</v>
      </c>
      <c r="Q707">
        <v>5</v>
      </c>
      <c r="R707">
        <v>0</v>
      </c>
      <c r="S707" t="s">
        <v>21</v>
      </c>
      <c r="T707">
        <v>2.5</v>
      </c>
      <c r="U707">
        <v>0</v>
      </c>
    </row>
    <row r="708" spans="1:21" x14ac:dyDescent="0.25">
      <c r="A708">
        <v>9498547</v>
      </c>
      <c r="B708" t="s">
        <v>15</v>
      </c>
      <c r="C708" s="1">
        <v>42916</v>
      </c>
      <c r="D708" s="2">
        <f>YEAR(C708)</f>
        <v>2017</v>
      </c>
      <c r="E708">
        <v>750000</v>
      </c>
      <c r="F708" t="s">
        <v>85</v>
      </c>
      <c r="G708">
        <v>1968</v>
      </c>
      <c r="H708">
        <v>2136</v>
      </c>
      <c r="I708" t="s">
        <v>162</v>
      </c>
      <c r="J708">
        <v>62</v>
      </c>
      <c r="K708">
        <v>60062</v>
      </c>
      <c r="L708">
        <v>2924</v>
      </c>
      <c r="M708">
        <v>10</v>
      </c>
      <c r="N708">
        <v>2</v>
      </c>
      <c r="O708">
        <v>1</v>
      </c>
      <c r="P708" t="s">
        <v>18</v>
      </c>
      <c r="Q708">
        <v>4</v>
      </c>
      <c r="R708">
        <v>0</v>
      </c>
      <c r="S708" t="s">
        <v>21</v>
      </c>
      <c r="T708">
        <v>2</v>
      </c>
      <c r="U708">
        <v>0</v>
      </c>
    </row>
    <row r="709" spans="1:21" x14ac:dyDescent="0.25">
      <c r="A709">
        <v>9646510</v>
      </c>
      <c r="B709" t="s">
        <v>15</v>
      </c>
      <c r="C709" s="1">
        <v>42935</v>
      </c>
      <c r="D709" s="2">
        <f>YEAR(C709)</f>
        <v>2017</v>
      </c>
      <c r="E709">
        <v>510000</v>
      </c>
      <c r="F709" t="s">
        <v>85</v>
      </c>
      <c r="G709">
        <v>1968</v>
      </c>
      <c r="H709">
        <v>1043</v>
      </c>
      <c r="I709" t="s">
        <v>282</v>
      </c>
      <c r="J709">
        <v>62</v>
      </c>
      <c r="K709">
        <v>60062</v>
      </c>
      <c r="L709">
        <v>2913</v>
      </c>
      <c r="M709">
        <v>9</v>
      </c>
      <c r="N709">
        <v>2</v>
      </c>
      <c r="O709">
        <v>1</v>
      </c>
      <c r="P709" t="s">
        <v>18</v>
      </c>
      <c r="Q709">
        <v>4</v>
      </c>
      <c r="R709">
        <v>0</v>
      </c>
      <c r="S709" t="s">
        <v>21</v>
      </c>
      <c r="T709">
        <v>2</v>
      </c>
      <c r="U709">
        <v>0</v>
      </c>
    </row>
    <row r="710" spans="1:21" x14ac:dyDescent="0.25">
      <c r="A710">
        <v>10076066</v>
      </c>
      <c r="B710" t="s">
        <v>15</v>
      </c>
      <c r="C710" s="1">
        <v>43453</v>
      </c>
      <c r="D710" s="2">
        <f>YEAR(C710)</f>
        <v>2018</v>
      </c>
      <c r="E710">
        <v>595000</v>
      </c>
      <c r="F710" t="s">
        <v>85</v>
      </c>
      <c r="G710">
        <v>1968</v>
      </c>
      <c r="H710">
        <v>1115</v>
      </c>
      <c r="I710" t="s">
        <v>283</v>
      </c>
      <c r="J710">
        <v>62</v>
      </c>
      <c r="K710">
        <v>60062</v>
      </c>
      <c r="L710">
        <v>2913</v>
      </c>
      <c r="M710">
        <v>9</v>
      </c>
      <c r="N710">
        <v>2</v>
      </c>
      <c r="O710">
        <v>1</v>
      </c>
      <c r="P710" t="s">
        <v>18</v>
      </c>
      <c r="Q710">
        <v>4</v>
      </c>
      <c r="R710">
        <v>0</v>
      </c>
      <c r="S710" t="s">
        <v>21</v>
      </c>
      <c r="T710">
        <v>2</v>
      </c>
      <c r="U710">
        <v>0</v>
      </c>
    </row>
    <row r="711" spans="1:21" x14ac:dyDescent="0.25">
      <c r="A711">
        <v>9886207</v>
      </c>
      <c r="B711" t="s">
        <v>15</v>
      </c>
      <c r="C711" s="1">
        <v>43294</v>
      </c>
      <c r="D711" s="2">
        <f>YEAR(C711)</f>
        <v>2018</v>
      </c>
      <c r="E711">
        <v>650000</v>
      </c>
      <c r="F711" t="s">
        <v>85</v>
      </c>
      <c r="G711">
        <v>1968</v>
      </c>
      <c r="H711">
        <v>1324</v>
      </c>
      <c r="I711" t="s">
        <v>283</v>
      </c>
      <c r="J711">
        <v>62</v>
      </c>
      <c r="K711">
        <v>60062</v>
      </c>
      <c r="L711">
        <v>2906</v>
      </c>
      <c r="M711">
        <v>10</v>
      </c>
      <c r="N711">
        <v>2</v>
      </c>
      <c r="O711">
        <v>1</v>
      </c>
      <c r="P711" t="s">
        <v>18</v>
      </c>
      <c r="Q711">
        <v>4</v>
      </c>
      <c r="R711">
        <v>0</v>
      </c>
      <c r="S711" t="s">
        <v>21</v>
      </c>
      <c r="T711">
        <v>2</v>
      </c>
      <c r="U711">
        <v>0</v>
      </c>
    </row>
    <row r="712" spans="1:21" x14ac:dyDescent="0.25">
      <c r="A712">
        <v>9858051</v>
      </c>
      <c r="B712" t="s">
        <v>15</v>
      </c>
      <c r="C712" s="1">
        <v>43196</v>
      </c>
      <c r="D712" s="2">
        <f>YEAR(C712)</f>
        <v>2018</v>
      </c>
      <c r="E712">
        <v>580000</v>
      </c>
      <c r="F712" t="s">
        <v>85</v>
      </c>
      <c r="G712">
        <v>1968</v>
      </c>
      <c r="H712">
        <v>2821</v>
      </c>
      <c r="I712" t="s">
        <v>311</v>
      </c>
      <c r="J712">
        <v>62</v>
      </c>
      <c r="K712">
        <v>60062</v>
      </c>
      <c r="L712">
        <v>2828</v>
      </c>
      <c r="M712">
        <v>11</v>
      </c>
      <c r="N712">
        <v>2</v>
      </c>
      <c r="O712">
        <v>1</v>
      </c>
      <c r="P712" t="s">
        <v>18</v>
      </c>
      <c r="Q712">
        <v>4</v>
      </c>
      <c r="R712">
        <v>0</v>
      </c>
      <c r="S712" t="s">
        <v>21</v>
      </c>
      <c r="T712">
        <v>2</v>
      </c>
      <c r="U712">
        <v>0</v>
      </c>
    </row>
    <row r="713" spans="1:21" x14ac:dyDescent="0.25">
      <c r="A713">
        <v>9685993</v>
      </c>
      <c r="B713" t="s">
        <v>15</v>
      </c>
      <c r="C713" s="1">
        <v>42968</v>
      </c>
      <c r="D713" s="2">
        <f>YEAR(C713)</f>
        <v>2017</v>
      </c>
      <c r="E713">
        <v>634900</v>
      </c>
      <c r="F713" t="s">
        <v>85</v>
      </c>
      <c r="G713">
        <v>1968</v>
      </c>
      <c r="H713">
        <v>1747</v>
      </c>
      <c r="I713" t="s">
        <v>314</v>
      </c>
      <c r="J713">
        <v>62</v>
      </c>
      <c r="K713">
        <v>60062</v>
      </c>
      <c r="L713">
        <v>2818</v>
      </c>
      <c r="M713">
        <v>9</v>
      </c>
      <c r="N713">
        <v>2</v>
      </c>
      <c r="O713">
        <v>1</v>
      </c>
      <c r="P713" t="s">
        <v>18</v>
      </c>
      <c r="Q713">
        <v>4</v>
      </c>
      <c r="R713">
        <v>0</v>
      </c>
      <c r="S713" t="s">
        <v>21</v>
      </c>
      <c r="T713">
        <v>2</v>
      </c>
      <c r="U713">
        <v>0</v>
      </c>
    </row>
    <row r="714" spans="1:21" x14ac:dyDescent="0.25">
      <c r="A714">
        <v>9732635</v>
      </c>
      <c r="B714" t="s">
        <v>15</v>
      </c>
      <c r="C714" s="1">
        <v>43131</v>
      </c>
      <c r="D714" s="2">
        <f>YEAR(C714)</f>
        <v>2018</v>
      </c>
      <c r="E714">
        <v>520000</v>
      </c>
      <c r="F714" t="s">
        <v>85</v>
      </c>
      <c r="G714">
        <v>1968</v>
      </c>
      <c r="H714">
        <v>2148</v>
      </c>
      <c r="I714" t="s">
        <v>262</v>
      </c>
      <c r="J714">
        <v>62</v>
      </c>
      <c r="K714">
        <v>60062</v>
      </c>
      <c r="L714">
        <v>2738</v>
      </c>
      <c r="M714">
        <v>10</v>
      </c>
      <c r="N714">
        <v>2</v>
      </c>
      <c r="O714">
        <v>1</v>
      </c>
      <c r="P714" t="s">
        <v>18</v>
      </c>
      <c r="Q714">
        <v>4</v>
      </c>
      <c r="R714">
        <v>0</v>
      </c>
      <c r="S714" t="s">
        <v>21</v>
      </c>
      <c r="T714">
        <v>2</v>
      </c>
      <c r="U714">
        <v>0</v>
      </c>
    </row>
    <row r="715" spans="1:21" x14ac:dyDescent="0.25">
      <c r="A715">
        <v>9897859</v>
      </c>
      <c r="B715" t="s">
        <v>15</v>
      </c>
      <c r="C715" s="1">
        <v>43224</v>
      </c>
      <c r="D715" s="2">
        <f>YEAR(C715)</f>
        <v>2018</v>
      </c>
      <c r="E715">
        <v>749000</v>
      </c>
      <c r="F715" t="s">
        <v>85</v>
      </c>
      <c r="G715">
        <v>1968</v>
      </c>
      <c r="H715">
        <v>3849</v>
      </c>
      <c r="I715" t="s">
        <v>315</v>
      </c>
      <c r="J715">
        <v>62</v>
      </c>
      <c r="K715">
        <v>60062</v>
      </c>
      <c r="L715">
        <v>2636</v>
      </c>
      <c r="M715">
        <v>12</v>
      </c>
      <c r="N715">
        <v>2</v>
      </c>
      <c r="O715">
        <v>1</v>
      </c>
      <c r="P715" t="s">
        <v>18</v>
      </c>
      <c r="Q715">
        <v>4</v>
      </c>
      <c r="R715">
        <v>0</v>
      </c>
      <c r="S715" t="s">
        <v>21</v>
      </c>
      <c r="T715">
        <v>2</v>
      </c>
      <c r="U715">
        <v>0</v>
      </c>
    </row>
    <row r="716" spans="1:21" x14ac:dyDescent="0.25">
      <c r="A716">
        <v>10008380</v>
      </c>
      <c r="B716" t="s">
        <v>15</v>
      </c>
      <c r="C716" s="1">
        <v>43405</v>
      </c>
      <c r="D716" s="2">
        <f>YEAR(C716)</f>
        <v>2018</v>
      </c>
      <c r="E716">
        <v>635000</v>
      </c>
      <c r="F716" t="s">
        <v>85</v>
      </c>
      <c r="G716">
        <v>1968</v>
      </c>
      <c r="H716">
        <v>2904</v>
      </c>
      <c r="I716" t="s">
        <v>316</v>
      </c>
      <c r="J716">
        <v>62</v>
      </c>
      <c r="K716">
        <v>60062</v>
      </c>
      <c r="L716">
        <v>2528</v>
      </c>
      <c r="M716">
        <v>9</v>
      </c>
      <c r="N716">
        <v>2</v>
      </c>
      <c r="O716">
        <v>1</v>
      </c>
      <c r="P716" t="s">
        <v>18</v>
      </c>
      <c r="Q716">
        <v>4</v>
      </c>
      <c r="R716">
        <v>0</v>
      </c>
      <c r="S716" t="s">
        <v>21</v>
      </c>
      <c r="T716">
        <v>2.5</v>
      </c>
      <c r="U716">
        <v>0</v>
      </c>
    </row>
    <row r="717" spans="1:21" x14ac:dyDescent="0.25">
      <c r="A717">
        <v>9756979</v>
      </c>
      <c r="B717" t="s">
        <v>15</v>
      </c>
      <c r="C717" s="1">
        <v>43146</v>
      </c>
      <c r="D717" s="2">
        <f>YEAR(C717)</f>
        <v>2018</v>
      </c>
      <c r="E717">
        <v>475000</v>
      </c>
      <c r="F717" t="s">
        <v>85</v>
      </c>
      <c r="G717">
        <v>1968</v>
      </c>
      <c r="H717">
        <v>1230</v>
      </c>
      <c r="I717" t="s">
        <v>317</v>
      </c>
      <c r="J717">
        <v>62</v>
      </c>
      <c r="K717">
        <v>60062</v>
      </c>
      <c r="L717">
        <v>2507</v>
      </c>
      <c r="M717">
        <v>8</v>
      </c>
      <c r="N717">
        <v>2</v>
      </c>
      <c r="O717">
        <v>1</v>
      </c>
      <c r="P717" t="s">
        <v>18</v>
      </c>
      <c r="Q717">
        <v>4</v>
      </c>
      <c r="R717">
        <v>0</v>
      </c>
      <c r="S717" t="s">
        <v>21</v>
      </c>
      <c r="T717">
        <v>2</v>
      </c>
      <c r="U717">
        <v>0</v>
      </c>
    </row>
    <row r="718" spans="1:21" x14ac:dyDescent="0.25">
      <c r="A718">
        <v>10118850</v>
      </c>
      <c r="B718" t="s">
        <v>15</v>
      </c>
      <c r="C718" s="1">
        <v>43418</v>
      </c>
      <c r="D718" s="2">
        <f>YEAR(C718)</f>
        <v>2018</v>
      </c>
      <c r="E718">
        <v>500000</v>
      </c>
      <c r="F718" t="s">
        <v>85</v>
      </c>
      <c r="G718">
        <v>1968</v>
      </c>
      <c r="H718">
        <v>2517</v>
      </c>
      <c r="I718" t="s">
        <v>44</v>
      </c>
      <c r="J718">
        <v>62</v>
      </c>
      <c r="K718">
        <v>60062</v>
      </c>
      <c r="L718">
        <v>2418</v>
      </c>
      <c r="M718">
        <v>8</v>
      </c>
      <c r="N718">
        <v>2</v>
      </c>
      <c r="O718">
        <v>1</v>
      </c>
      <c r="P718" t="s">
        <v>18</v>
      </c>
      <c r="Q718">
        <v>4</v>
      </c>
      <c r="R718">
        <v>0</v>
      </c>
      <c r="S718" t="s">
        <v>21</v>
      </c>
      <c r="T718">
        <v>2.5</v>
      </c>
      <c r="U718">
        <v>0</v>
      </c>
    </row>
    <row r="719" spans="1:21" x14ac:dyDescent="0.25">
      <c r="A719">
        <v>9930617</v>
      </c>
      <c r="B719" t="s">
        <v>15</v>
      </c>
      <c r="C719" s="1">
        <v>43306</v>
      </c>
      <c r="D719" s="2">
        <f>YEAR(C719)</f>
        <v>2018</v>
      </c>
      <c r="E719">
        <v>490000</v>
      </c>
      <c r="F719" t="s">
        <v>85</v>
      </c>
      <c r="G719">
        <v>1968</v>
      </c>
      <c r="H719">
        <v>1905</v>
      </c>
      <c r="I719" t="s">
        <v>318</v>
      </c>
      <c r="J719">
        <v>62</v>
      </c>
      <c r="K719">
        <v>60062</v>
      </c>
      <c r="L719">
        <v>2351</v>
      </c>
      <c r="M719">
        <v>10</v>
      </c>
      <c r="N719">
        <v>2</v>
      </c>
      <c r="O719">
        <v>1</v>
      </c>
      <c r="P719" t="s">
        <v>18</v>
      </c>
      <c r="Q719">
        <v>4</v>
      </c>
      <c r="R719">
        <v>0</v>
      </c>
      <c r="S719" t="s">
        <v>21</v>
      </c>
      <c r="T719">
        <v>2</v>
      </c>
      <c r="U719">
        <v>0</v>
      </c>
    </row>
    <row r="720" spans="1:21" x14ac:dyDescent="0.25">
      <c r="A720">
        <v>9598377</v>
      </c>
      <c r="B720" t="s">
        <v>15</v>
      </c>
      <c r="C720" s="1">
        <v>42915</v>
      </c>
      <c r="D720" s="2">
        <f>YEAR(C720)</f>
        <v>2017</v>
      </c>
      <c r="E720">
        <v>609000</v>
      </c>
      <c r="F720" t="s">
        <v>85</v>
      </c>
      <c r="G720">
        <v>1968</v>
      </c>
      <c r="H720">
        <v>3900</v>
      </c>
      <c r="I720" t="s">
        <v>319</v>
      </c>
      <c r="J720">
        <v>62</v>
      </c>
      <c r="K720">
        <v>60062</v>
      </c>
      <c r="L720">
        <v>2300</v>
      </c>
      <c r="M720">
        <v>10</v>
      </c>
      <c r="N720">
        <v>2</v>
      </c>
      <c r="O720">
        <v>1</v>
      </c>
      <c r="P720" t="s">
        <v>18</v>
      </c>
      <c r="Q720">
        <v>4</v>
      </c>
      <c r="R720">
        <v>0</v>
      </c>
      <c r="S720" t="s">
        <v>21</v>
      </c>
      <c r="T720">
        <v>2</v>
      </c>
      <c r="U720">
        <v>0</v>
      </c>
    </row>
    <row r="721" spans="1:21" x14ac:dyDescent="0.25">
      <c r="A721">
        <v>10083129</v>
      </c>
      <c r="B721" t="s">
        <v>15</v>
      </c>
      <c r="C721" s="1">
        <v>43412</v>
      </c>
      <c r="D721" s="2">
        <f>YEAR(C721)</f>
        <v>2018</v>
      </c>
      <c r="E721">
        <v>420000</v>
      </c>
      <c r="F721" t="s">
        <v>85</v>
      </c>
      <c r="G721">
        <v>1968</v>
      </c>
      <c r="H721">
        <v>3492</v>
      </c>
      <c r="I721" t="s">
        <v>320</v>
      </c>
      <c r="J721">
        <v>62</v>
      </c>
      <c r="K721">
        <v>60062</v>
      </c>
      <c r="L721">
        <v>2200</v>
      </c>
      <c r="M721">
        <v>8</v>
      </c>
      <c r="N721">
        <v>2</v>
      </c>
      <c r="O721">
        <v>2</v>
      </c>
      <c r="P721" t="s">
        <v>18</v>
      </c>
      <c r="Q721">
        <v>3</v>
      </c>
      <c r="R721">
        <v>0</v>
      </c>
      <c r="S721" t="s">
        <v>21</v>
      </c>
      <c r="T721">
        <v>2</v>
      </c>
      <c r="U721">
        <v>0</v>
      </c>
    </row>
    <row r="722" spans="1:21" x14ac:dyDescent="0.25">
      <c r="A722">
        <v>9497596</v>
      </c>
      <c r="B722" t="s">
        <v>15</v>
      </c>
      <c r="C722" s="1">
        <v>42844</v>
      </c>
      <c r="D722" s="2">
        <f>YEAR(C722)</f>
        <v>2017</v>
      </c>
      <c r="E722">
        <v>439900</v>
      </c>
      <c r="F722" t="s">
        <v>85</v>
      </c>
      <c r="G722">
        <v>1968</v>
      </c>
      <c r="H722">
        <v>1804</v>
      </c>
      <c r="I722" t="s">
        <v>155</v>
      </c>
      <c r="J722">
        <v>62</v>
      </c>
      <c r="K722">
        <v>60062</v>
      </c>
      <c r="L722">
        <v>2100</v>
      </c>
      <c r="M722">
        <v>8</v>
      </c>
      <c r="N722">
        <v>2</v>
      </c>
      <c r="O722">
        <v>1</v>
      </c>
      <c r="P722" t="s">
        <v>18</v>
      </c>
      <c r="Q722">
        <v>3</v>
      </c>
      <c r="R722">
        <v>0</v>
      </c>
      <c r="S722" t="s">
        <v>21</v>
      </c>
      <c r="T722">
        <v>2.1</v>
      </c>
      <c r="U722">
        <v>0</v>
      </c>
    </row>
    <row r="723" spans="1:21" x14ac:dyDescent="0.25">
      <c r="A723">
        <v>9982111</v>
      </c>
      <c r="B723" t="s">
        <v>15</v>
      </c>
      <c r="C723" s="1">
        <v>43308</v>
      </c>
      <c r="D723" s="2">
        <f>YEAR(C723)</f>
        <v>2018</v>
      </c>
      <c r="E723">
        <v>515000</v>
      </c>
      <c r="F723" t="s">
        <v>85</v>
      </c>
      <c r="G723">
        <v>1968</v>
      </c>
      <c r="H723">
        <v>1821</v>
      </c>
      <c r="I723" t="s">
        <v>264</v>
      </c>
      <c r="J723">
        <v>62</v>
      </c>
      <c r="K723">
        <v>60062</v>
      </c>
      <c r="L723">
        <v>2071</v>
      </c>
      <c r="M723">
        <v>9</v>
      </c>
      <c r="N723">
        <v>2</v>
      </c>
      <c r="O723">
        <v>1</v>
      </c>
      <c r="P723" t="s">
        <v>18</v>
      </c>
      <c r="Q723">
        <v>4</v>
      </c>
      <c r="R723">
        <v>0</v>
      </c>
      <c r="S723" t="s">
        <v>21</v>
      </c>
      <c r="T723">
        <v>2</v>
      </c>
      <c r="U723">
        <v>0</v>
      </c>
    </row>
    <row r="724" spans="1:21" x14ac:dyDescent="0.25">
      <c r="A724">
        <v>9643427</v>
      </c>
      <c r="B724" t="s">
        <v>15</v>
      </c>
      <c r="C724" s="1">
        <v>42970</v>
      </c>
      <c r="D724" s="2">
        <f>YEAR(C724)</f>
        <v>2017</v>
      </c>
      <c r="E724">
        <v>490000</v>
      </c>
      <c r="F724" t="s">
        <v>85</v>
      </c>
      <c r="G724">
        <v>1968</v>
      </c>
      <c r="H724">
        <v>2267</v>
      </c>
      <c r="I724" t="s">
        <v>321</v>
      </c>
      <c r="J724">
        <v>62</v>
      </c>
      <c r="K724">
        <v>60062</v>
      </c>
      <c r="L724">
        <v>2070</v>
      </c>
      <c r="M724">
        <v>11</v>
      </c>
      <c r="N724">
        <v>2</v>
      </c>
      <c r="O724">
        <v>1</v>
      </c>
      <c r="P724" t="s">
        <v>18</v>
      </c>
      <c r="Q724">
        <v>4</v>
      </c>
      <c r="R724">
        <v>0</v>
      </c>
      <c r="S724" t="s">
        <v>21</v>
      </c>
      <c r="T724">
        <v>2.5</v>
      </c>
      <c r="U724">
        <v>0</v>
      </c>
    </row>
    <row r="725" spans="1:21" x14ac:dyDescent="0.25">
      <c r="A725">
        <v>9859512</v>
      </c>
      <c r="B725" t="s">
        <v>15</v>
      </c>
      <c r="C725" s="1">
        <v>43287</v>
      </c>
      <c r="D725" s="2">
        <f>YEAR(C725)</f>
        <v>2018</v>
      </c>
      <c r="E725">
        <v>545000</v>
      </c>
      <c r="F725" t="s">
        <v>85</v>
      </c>
      <c r="G725">
        <v>1968</v>
      </c>
      <c r="H725">
        <v>2555</v>
      </c>
      <c r="I725" t="s">
        <v>271</v>
      </c>
      <c r="J725">
        <v>62</v>
      </c>
      <c r="K725">
        <v>60062</v>
      </c>
      <c r="L725">
        <v>1800</v>
      </c>
      <c r="M725">
        <v>8</v>
      </c>
      <c r="N725">
        <v>2</v>
      </c>
      <c r="O725">
        <v>1</v>
      </c>
      <c r="P725" t="s">
        <v>18</v>
      </c>
      <c r="Q725">
        <v>4</v>
      </c>
      <c r="R725">
        <v>0</v>
      </c>
      <c r="S725" t="s">
        <v>21</v>
      </c>
      <c r="T725">
        <v>2</v>
      </c>
      <c r="U725">
        <v>0</v>
      </c>
    </row>
    <row r="726" spans="1:21" x14ac:dyDescent="0.25">
      <c r="A726">
        <v>9663941</v>
      </c>
      <c r="B726" t="s">
        <v>15</v>
      </c>
      <c r="C726" s="1">
        <v>43081</v>
      </c>
      <c r="D726" s="2">
        <f>YEAR(C726)</f>
        <v>2017</v>
      </c>
      <c r="E726">
        <v>575000</v>
      </c>
      <c r="F726" t="s">
        <v>85</v>
      </c>
      <c r="G726">
        <v>1969</v>
      </c>
      <c r="H726">
        <v>4252</v>
      </c>
      <c r="I726" t="s">
        <v>109</v>
      </c>
      <c r="J726">
        <v>76</v>
      </c>
      <c r="K726">
        <v>60076</v>
      </c>
      <c r="L726">
        <v>3700</v>
      </c>
      <c r="M726">
        <v>8</v>
      </c>
      <c r="N726">
        <v>2</v>
      </c>
      <c r="O726">
        <v>1</v>
      </c>
      <c r="P726" t="s">
        <v>18</v>
      </c>
      <c r="Q726">
        <v>3</v>
      </c>
      <c r="R726">
        <v>0</v>
      </c>
      <c r="S726" t="s">
        <v>21</v>
      </c>
      <c r="T726">
        <v>2.5</v>
      </c>
      <c r="U726">
        <v>0</v>
      </c>
    </row>
    <row r="727" spans="1:21" x14ac:dyDescent="0.25">
      <c r="A727">
        <v>9924764</v>
      </c>
      <c r="B727" t="s">
        <v>15</v>
      </c>
      <c r="C727" s="1">
        <v>43322</v>
      </c>
      <c r="D727" s="2">
        <f>YEAR(C727)</f>
        <v>2018</v>
      </c>
      <c r="E727">
        <v>539500</v>
      </c>
      <c r="F727" t="s">
        <v>85</v>
      </c>
      <c r="G727">
        <v>1969</v>
      </c>
      <c r="H727">
        <v>6854</v>
      </c>
      <c r="I727" t="s">
        <v>233</v>
      </c>
      <c r="J727">
        <v>76</v>
      </c>
      <c r="K727">
        <v>60077</v>
      </c>
      <c r="L727">
        <v>3321</v>
      </c>
      <c r="M727">
        <v>9</v>
      </c>
      <c r="N727">
        <v>2</v>
      </c>
      <c r="O727">
        <v>1</v>
      </c>
      <c r="P727" t="s">
        <v>18</v>
      </c>
      <c r="Q727">
        <v>4</v>
      </c>
      <c r="R727">
        <v>0</v>
      </c>
      <c r="S727" t="s">
        <v>21</v>
      </c>
      <c r="T727">
        <v>2</v>
      </c>
      <c r="U727">
        <v>0</v>
      </c>
    </row>
    <row r="728" spans="1:21" x14ac:dyDescent="0.25">
      <c r="A728">
        <v>10036866</v>
      </c>
      <c r="B728" t="s">
        <v>15</v>
      </c>
      <c r="C728" s="1">
        <v>43392</v>
      </c>
      <c r="D728" s="2">
        <f>YEAR(C728)</f>
        <v>2018</v>
      </c>
      <c r="E728">
        <v>565000</v>
      </c>
      <c r="F728" t="s">
        <v>85</v>
      </c>
      <c r="G728">
        <v>1969</v>
      </c>
      <c r="H728">
        <v>8314</v>
      </c>
      <c r="I728" t="s">
        <v>123</v>
      </c>
      <c r="J728">
        <v>76</v>
      </c>
      <c r="K728">
        <v>60076</v>
      </c>
      <c r="L728">
        <v>2870</v>
      </c>
      <c r="M728">
        <v>10</v>
      </c>
      <c r="N728">
        <v>3</v>
      </c>
      <c r="O728">
        <v>1</v>
      </c>
      <c r="P728" t="s">
        <v>18</v>
      </c>
      <c r="Q728">
        <v>5</v>
      </c>
      <c r="R728">
        <v>0</v>
      </c>
      <c r="S728" t="s">
        <v>21</v>
      </c>
      <c r="T728">
        <v>4</v>
      </c>
      <c r="U728">
        <v>0</v>
      </c>
    </row>
    <row r="729" spans="1:21" x14ac:dyDescent="0.25">
      <c r="A729">
        <v>9572816</v>
      </c>
      <c r="B729" t="s">
        <v>15</v>
      </c>
      <c r="C729" s="1">
        <v>42912</v>
      </c>
      <c r="D729" s="2">
        <f>YEAR(C729)</f>
        <v>2017</v>
      </c>
      <c r="E729">
        <v>227000</v>
      </c>
      <c r="F729" t="s">
        <v>85</v>
      </c>
      <c r="G729">
        <v>1969</v>
      </c>
      <c r="H729">
        <v>8717</v>
      </c>
      <c r="I729" t="s">
        <v>62</v>
      </c>
      <c r="J729">
        <v>76</v>
      </c>
      <c r="K729">
        <v>60077</v>
      </c>
      <c r="L729">
        <v>1206</v>
      </c>
      <c r="M729">
        <v>7</v>
      </c>
      <c r="N729">
        <v>2</v>
      </c>
      <c r="O729">
        <v>0</v>
      </c>
      <c r="P729" t="s">
        <v>18</v>
      </c>
      <c r="Q729">
        <v>3</v>
      </c>
      <c r="R729">
        <v>0</v>
      </c>
      <c r="S729" t="s">
        <v>21</v>
      </c>
      <c r="T729">
        <v>2</v>
      </c>
      <c r="U729">
        <v>0</v>
      </c>
    </row>
    <row r="730" spans="1:21" x14ac:dyDescent="0.25">
      <c r="A730">
        <v>10102691</v>
      </c>
      <c r="B730" t="s">
        <v>15</v>
      </c>
      <c r="C730" s="1">
        <v>43461</v>
      </c>
      <c r="D730" s="2">
        <f>YEAR(C730)</f>
        <v>2018</v>
      </c>
      <c r="E730">
        <v>570000</v>
      </c>
      <c r="F730" t="s">
        <v>85</v>
      </c>
      <c r="G730">
        <v>1969</v>
      </c>
      <c r="H730">
        <v>920</v>
      </c>
      <c r="I730" t="s">
        <v>151</v>
      </c>
      <c r="J730">
        <v>62</v>
      </c>
      <c r="K730">
        <v>60062</v>
      </c>
      <c r="L730">
        <v>3865</v>
      </c>
      <c r="M730">
        <v>10</v>
      </c>
      <c r="N730">
        <v>2</v>
      </c>
      <c r="O730">
        <v>1</v>
      </c>
      <c r="P730" t="s">
        <v>18</v>
      </c>
      <c r="Q730">
        <v>4</v>
      </c>
      <c r="R730">
        <v>0</v>
      </c>
      <c r="S730" t="s">
        <v>21</v>
      </c>
      <c r="T730">
        <v>2</v>
      </c>
      <c r="U730">
        <v>0</v>
      </c>
    </row>
    <row r="731" spans="1:21" x14ac:dyDescent="0.25">
      <c r="A731">
        <v>9889332</v>
      </c>
      <c r="B731" t="s">
        <v>15</v>
      </c>
      <c r="C731" s="1">
        <v>43263</v>
      </c>
      <c r="D731" s="2">
        <f>YEAR(C731)</f>
        <v>2018</v>
      </c>
      <c r="E731">
        <v>624900</v>
      </c>
      <c r="F731" t="s">
        <v>85</v>
      </c>
      <c r="G731">
        <v>1969</v>
      </c>
      <c r="H731">
        <v>1742</v>
      </c>
      <c r="I731" t="s">
        <v>314</v>
      </c>
      <c r="J731">
        <v>62</v>
      </c>
      <c r="K731">
        <v>60062</v>
      </c>
      <c r="L731">
        <v>3849</v>
      </c>
      <c r="M731">
        <v>9</v>
      </c>
      <c r="N731">
        <v>3</v>
      </c>
      <c r="O731">
        <v>1</v>
      </c>
      <c r="P731" t="s">
        <v>18</v>
      </c>
      <c r="Q731">
        <v>4</v>
      </c>
      <c r="R731">
        <v>0</v>
      </c>
      <c r="S731" t="s">
        <v>21</v>
      </c>
      <c r="T731">
        <v>2</v>
      </c>
      <c r="U731">
        <v>0</v>
      </c>
    </row>
    <row r="732" spans="1:21" x14ac:dyDescent="0.25">
      <c r="A732">
        <v>9945585</v>
      </c>
      <c r="B732" t="s">
        <v>15</v>
      </c>
      <c r="C732" s="1">
        <v>43315</v>
      </c>
      <c r="D732" s="2">
        <f>YEAR(C732)</f>
        <v>2018</v>
      </c>
      <c r="E732">
        <v>900000</v>
      </c>
      <c r="F732" t="s">
        <v>85</v>
      </c>
      <c r="G732">
        <v>1969</v>
      </c>
      <c r="H732">
        <v>2007</v>
      </c>
      <c r="I732" t="s">
        <v>146</v>
      </c>
      <c r="J732">
        <v>62</v>
      </c>
      <c r="K732">
        <v>60062</v>
      </c>
      <c r="L732">
        <v>3849</v>
      </c>
      <c r="M732">
        <v>13</v>
      </c>
      <c r="N732">
        <v>3</v>
      </c>
      <c r="O732">
        <v>1</v>
      </c>
      <c r="P732" t="s">
        <v>18</v>
      </c>
      <c r="Q732">
        <v>5</v>
      </c>
      <c r="R732">
        <v>0</v>
      </c>
      <c r="S732" t="s">
        <v>21</v>
      </c>
      <c r="T732">
        <v>2</v>
      </c>
      <c r="U732">
        <v>0</v>
      </c>
    </row>
    <row r="733" spans="1:21" x14ac:dyDescent="0.25">
      <c r="A733">
        <v>9560697</v>
      </c>
      <c r="B733" t="s">
        <v>15</v>
      </c>
      <c r="C733" s="1">
        <v>42902</v>
      </c>
      <c r="D733" s="2">
        <f>YEAR(C733)</f>
        <v>2017</v>
      </c>
      <c r="E733">
        <v>665000</v>
      </c>
      <c r="F733" t="s">
        <v>85</v>
      </c>
      <c r="G733">
        <v>1969</v>
      </c>
      <c r="H733">
        <v>1419</v>
      </c>
      <c r="I733" t="s">
        <v>95</v>
      </c>
      <c r="J733">
        <v>62</v>
      </c>
      <c r="K733">
        <v>60062</v>
      </c>
      <c r="L733">
        <v>3640</v>
      </c>
      <c r="M733">
        <v>9</v>
      </c>
      <c r="N733">
        <v>2</v>
      </c>
      <c r="O733">
        <v>1</v>
      </c>
      <c r="P733" t="s">
        <v>18</v>
      </c>
      <c r="Q733">
        <v>4</v>
      </c>
      <c r="R733">
        <v>0</v>
      </c>
      <c r="S733" t="s">
        <v>21</v>
      </c>
      <c r="T733">
        <v>2</v>
      </c>
      <c r="U733">
        <v>0</v>
      </c>
    </row>
    <row r="734" spans="1:21" x14ac:dyDescent="0.25">
      <c r="A734">
        <v>9700064</v>
      </c>
      <c r="B734" t="s">
        <v>15</v>
      </c>
      <c r="C734" s="1">
        <v>43014</v>
      </c>
      <c r="D734" s="2">
        <f>YEAR(C734)</f>
        <v>2017</v>
      </c>
      <c r="E734">
        <v>640000</v>
      </c>
      <c r="F734" t="s">
        <v>85</v>
      </c>
      <c r="G734">
        <v>1969</v>
      </c>
      <c r="H734">
        <v>331</v>
      </c>
      <c r="I734" t="s">
        <v>322</v>
      </c>
      <c r="J734">
        <v>62</v>
      </c>
      <c r="K734">
        <v>60062</v>
      </c>
      <c r="L734">
        <v>3437</v>
      </c>
      <c r="M734">
        <v>12</v>
      </c>
      <c r="N734">
        <v>3</v>
      </c>
      <c r="O734">
        <v>1</v>
      </c>
      <c r="P734" t="s">
        <v>18</v>
      </c>
      <c r="Q734">
        <v>5</v>
      </c>
      <c r="R734">
        <v>0</v>
      </c>
      <c r="S734" t="s">
        <v>21</v>
      </c>
      <c r="T734">
        <v>2</v>
      </c>
      <c r="U734">
        <v>0</v>
      </c>
    </row>
    <row r="735" spans="1:21" x14ac:dyDescent="0.25">
      <c r="A735">
        <v>9484474</v>
      </c>
      <c r="B735" t="s">
        <v>15</v>
      </c>
      <c r="C735" s="1">
        <v>42915</v>
      </c>
      <c r="D735" s="2">
        <f>YEAR(C735)</f>
        <v>2017</v>
      </c>
      <c r="E735">
        <v>696000</v>
      </c>
      <c r="F735" t="s">
        <v>85</v>
      </c>
      <c r="G735">
        <v>1969</v>
      </c>
      <c r="H735">
        <v>3925</v>
      </c>
      <c r="I735" t="s">
        <v>323</v>
      </c>
      <c r="J735">
        <v>62</v>
      </c>
      <c r="K735">
        <v>60062</v>
      </c>
      <c r="L735">
        <v>3422</v>
      </c>
      <c r="M735">
        <v>11</v>
      </c>
      <c r="N735">
        <v>2</v>
      </c>
      <c r="O735">
        <v>2</v>
      </c>
      <c r="P735" t="s">
        <v>18</v>
      </c>
      <c r="Q735">
        <v>5</v>
      </c>
      <c r="R735">
        <v>0</v>
      </c>
      <c r="S735" t="s">
        <v>21</v>
      </c>
      <c r="T735">
        <v>2</v>
      </c>
      <c r="U735">
        <v>0</v>
      </c>
    </row>
    <row r="736" spans="1:21" x14ac:dyDescent="0.25">
      <c r="A736">
        <v>9825370</v>
      </c>
      <c r="B736" t="s">
        <v>15</v>
      </c>
      <c r="C736" s="1">
        <v>43185</v>
      </c>
      <c r="D736" s="2">
        <f>YEAR(C736)</f>
        <v>2018</v>
      </c>
      <c r="E736">
        <v>950000</v>
      </c>
      <c r="F736" t="s">
        <v>85</v>
      </c>
      <c r="G736">
        <v>1969</v>
      </c>
      <c r="H736">
        <v>2124</v>
      </c>
      <c r="I736" t="s">
        <v>119</v>
      </c>
      <c r="J736">
        <v>62</v>
      </c>
      <c r="K736">
        <v>60062</v>
      </c>
      <c r="L736">
        <v>3256</v>
      </c>
      <c r="M736">
        <v>11</v>
      </c>
      <c r="N736">
        <v>4</v>
      </c>
      <c r="O736">
        <v>0</v>
      </c>
      <c r="P736" t="s">
        <v>18</v>
      </c>
      <c r="Q736">
        <v>4</v>
      </c>
      <c r="R736">
        <v>0</v>
      </c>
      <c r="S736" t="s">
        <v>21</v>
      </c>
      <c r="T736">
        <v>2</v>
      </c>
      <c r="U736">
        <v>0</v>
      </c>
    </row>
    <row r="737" spans="1:21" x14ac:dyDescent="0.25">
      <c r="A737">
        <v>10065163</v>
      </c>
      <c r="B737" t="s">
        <v>15</v>
      </c>
      <c r="C737" s="1">
        <v>43434</v>
      </c>
      <c r="D737" s="2">
        <f>YEAR(C737)</f>
        <v>2018</v>
      </c>
      <c r="E737">
        <v>581500</v>
      </c>
      <c r="F737" t="s">
        <v>85</v>
      </c>
      <c r="G737">
        <v>1969</v>
      </c>
      <c r="H737">
        <v>646</v>
      </c>
      <c r="I737" t="s">
        <v>324</v>
      </c>
      <c r="J737">
        <v>62</v>
      </c>
      <c r="K737">
        <v>60062</v>
      </c>
      <c r="L737">
        <v>3212</v>
      </c>
      <c r="M737">
        <v>11</v>
      </c>
      <c r="N737">
        <v>2</v>
      </c>
      <c r="O737">
        <v>1</v>
      </c>
      <c r="P737" t="s">
        <v>18</v>
      </c>
      <c r="Q737">
        <v>4</v>
      </c>
      <c r="R737">
        <v>0</v>
      </c>
      <c r="S737" t="s">
        <v>21</v>
      </c>
      <c r="T737">
        <v>2</v>
      </c>
      <c r="U737">
        <v>0</v>
      </c>
    </row>
    <row r="738" spans="1:21" x14ac:dyDescent="0.25">
      <c r="A738">
        <v>9681559</v>
      </c>
      <c r="B738" t="s">
        <v>15</v>
      </c>
      <c r="C738" s="1">
        <v>43021</v>
      </c>
      <c r="D738" s="2">
        <f>YEAR(C738)</f>
        <v>2017</v>
      </c>
      <c r="E738">
        <v>639900</v>
      </c>
      <c r="F738" t="s">
        <v>85</v>
      </c>
      <c r="G738">
        <v>1969</v>
      </c>
      <c r="H738">
        <v>3855</v>
      </c>
      <c r="I738" t="s">
        <v>310</v>
      </c>
      <c r="J738">
        <v>62</v>
      </c>
      <c r="K738">
        <v>60062</v>
      </c>
      <c r="L738">
        <v>3144</v>
      </c>
      <c r="M738">
        <v>10</v>
      </c>
      <c r="N738">
        <v>3</v>
      </c>
      <c r="O738">
        <v>2</v>
      </c>
      <c r="P738" t="s">
        <v>18</v>
      </c>
      <c r="Q738">
        <v>4</v>
      </c>
      <c r="R738">
        <v>0</v>
      </c>
      <c r="S738" t="s">
        <v>21</v>
      </c>
      <c r="T738">
        <v>2</v>
      </c>
      <c r="U738">
        <v>0</v>
      </c>
    </row>
    <row r="739" spans="1:21" x14ac:dyDescent="0.25">
      <c r="A739">
        <v>10004318</v>
      </c>
      <c r="B739" t="s">
        <v>15</v>
      </c>
      <c r="C739" s="1">
        <v>43322</v>
      </c>
      <c r="D739" s="2">
        <f>YEAR(C739)</f>
        <v>2018</v>
      </c>
      <c r="E739">
        <v>529000</v>
      </c>
      <c r="F739" t="s">
        <v>85</v>
      </c>
      <c r="G739">
        <v>1969</v>
      </c>
      <c r="H739">
        <v>3802</v>
      </c>
      <c r="I739" t="s">
        <v>303</v>
      </c>
      <c r="J739">
        <v>62</v>
      </c>
      <c r="K739">
        <v>60062</v>
      </c>
      <c r="L739">
        <v>3115</v>
      </c>
      <c r="M739">
        <v>8</v>
      </c>
      <c r="N739">
        <v>2</v>
      </c>
      <c r="O739">
        <v>1</v>
      </c>
      <c r="P739" t="s">
        <v>18</v>
      </c>
      <c r="Q739">
        <v>4</v>
      </c>
      <c r="R739">
        <v>0</v>
      </c>
      <c r="S739" t="s">
        <v>21</v>
      </c>
      <c r="T739">
        <v>2.5</v>
      </c>
      <c r="U739">
        <v>0</v>
      </c>
    </row>
    <row r="740" spans="1:21" x14ac:dyDescent="0.25">
      <c r="A740">
        <v>9888120</v>
      </c>
      <c r="B740" t="s">
        <v>15</v>
      </c>
      <c r="C740" s="1">
        <v>43308</v>
      </c>
      <c r="D740" s="2">
        <f>YEAR(C740)</f>
        <v>2018</v>
      </c>
      <c r="E740">
        <v>680000</v>
      </c>
      <c r="F740" t="s">
        <v>85</v>
      </c>
      <c r="G740">
        <v>1969</v>
      </c>
      <c r="H740">
        <v>3940</v>
      </c>
      <c r="I740" t="s">
        <v>325</v>
      </c>
      <c r="J740">
        <v>62</v>
      </c>
      <c r="K740">
        <v>60062</v>
      </c>
      <c r="L740">
        <v>3057</v>
      </c>
      <c r="M740">
        <v>9</v>
      </c>
      <c r="N740">
        <v>2</v>
      </c>
      <c r="O740">
        <v>1</v>
      </c>
      <c r="P740" t="s">
        <v>18</v>
      </c>
      <c r="Q740">
        <v>4</v>
      </c>
      <c r="R740">
        <v>0</v>
      </c>
      <c r="S740" t="s">
        <v>21</v>
      </c>
      <c r="T740">
        <v>2</v>
      </c>
      <c r="U740">
        <v>0</v>
      </c>
    </row>
    <row r="741" spans="1:21" x14ac:dyDescent="0.25">
      <c r="A741">
        <v>9865896</v>
      </c>
      <c r="B741" t="s">
        <v>15</v>
      </c>
      <c r="C741" s="1">
        <v>43276</v>
      </c>
      <c r="D741" s="2">
        <f>YEAR(C741)</f>
        <v>2018</v>
      </c>
      <c r="E741">
        <v>570000</v>
      </c>
      <c r="F741" t="s">
        <v>85</v>
      </c>
      <c r="G741">
        <v>1969</v>
      </c>
      <c r="H741">
        <v>3301</v>
      </c>
      <c r="I741" t="s">
        <v>326</v>
      </c>
      <c r="J741">
        <v>62</v>
      </c>
      <c r="K741">
        <v>60062</v>
      </c>
      <c r="L741">
        <v>2979</v>
      </c>
      <c r="M741">
        <v>10</v>
      </c>
      <c r="N741">
        <v>2</v>
      </c>
      <c r="O741">
        <v>1</v>
      </c>
      <c r="P741" t="s">
        <v>18</v>
      </c>
      <c r="Q741">
        <v>4</v>
      </c>
      <c r="R741">
        <v>0</v>
      </c>
      <c r="S741" t="s">
        <v>21</v>
      </c>
      <c r="T741">
        <v>2</v>
      </c>
      <c r="U741">
        <v>0</v>
      </c>
    </row>
    <row r="742" spans="1:21" x14ac:dyDescent="0.25">
      <c r="A742">
        <v>9594145</v>
      </c>
      <c r="B742" t="s">
        <v>15</v>
      </c>
      <c r="C742" s="1">
        <v>42901</v>
      </c>
      <c r="D742" s="2">
        <f>YEAR(C742)</f>
        <v>2017</v>
      </c>
      <c r="E742">
        <v>500000</v>
      </c>
      <c r="F742" t="s">
        <v>85</v>
      </c>
      <c r="G742">
        <v>1969</v>
      </c>
      <c r="H742">
        <v>1116</v>
      </c>
      <c r="I742" t="s">
        <v>283</v>
      </c>
      <c r="J742">
        <v>62</v>
      </c>
      <c r="K742">
        <v>60062</v>
      </c>
      <c r="L742">
        <v>2913</v>
      </c>
      <c r="M742">
        <v>8</v>
      </c>
      <c r="N742">
        <v>2</v>
      </c>
      <c r="O742">
        <v>1</v>
      </c>
      <c r="P742" t="s">
        <v>18</v>
      </c>
      <c r="Q742">
        <v>4</v>
      </c>
      <c r="R742">
        <v>0</v>
      </c>
      <c r="S742" t="s">
        <v>21</v>
      </c>
      <c r="T742">
        <v>2</v>
      </c>
      <c r="U742">
        <v>0</v>
      </c>
    </row>
    <row r="743" spans="1:21" x14ac:dyDescent="0.25">
      <c r="A743">
        <v>9588346</v>
      </c>
      <c r="B743" t="s">
        <v>15</v>
      </c>
      <c r="C743" s="1">
        <v>42874</v>
      </c>
      <c r="D743" s="2">
        <f>YEAR(C743)</f>
        <v>2017</v>
      </c>
      <c r="E743">
        <v>457700</v>
      </c>
      <c r="F743" t="s">
        <v>85</v>
      </c>
      <c r="G743">
        <v>1969</v>
      </c>
      <c r="H743">
        <v>3315</v>
      </c>
      <c r="I743" t="s">
        <v>327</v>
      </c>
      <c r="J743">
        <v>62</v>
      </c>
      <c r="K743">
        <v>60062</v>
      </c>
      <c r="L743">
        <v>2839</v>
      </c>
      <c r="M743">
        <v>8</v>
      </c>
      <c r="N743">
        <v>2</v>
      </c>
      <c r="O743">
        <v>1</v>
      </c>
      <c r="P743" t="s">
        <v>18</v>
      </c>
      <c r="Q743">
        <v>4</v>
      </c>
      <c r="R743">
        <v>0</v>
      </c>
      <c r="S743" t="s">
        <v>21</v>
      </c>
      <c r="T743">
        <v>2</v>
      </c>
      <c r="U743">
        <v>0</v>
      </c>
    </row>
    <row r="744" spans="1:21" x14ac:dyDescent="0.25">
      <c r="A744">
        <v>9779463</v>
      </c>
      <c r="B744" t="s">
        <v>15</v>
      </c>
      <c r="C744" s="1">
        <v>43194</v>
      </c>
      <c r="D744" s="2">
        <f>YEAR(C744)</f>
        <v>2018</v>
      </c>
      <c r="E744">
        <v>612000</v>
      </c>
      <c r="F744" t="s">
        <v>85</v>
      </c>
      <c r="G744">
        <v>1969</v>
      </c>
      <c r="H744">
        <v>3315</v>
      </c>
      <c r="I744" t="s">
        <v>327</v>
      </c>
      <c r="J744">
        <v>62</v>
      </c>
      <c r="K744">
        <v>60062</v>
      </c>
      <c r="L744">
        <v>2839</v>
      </c>
      <c r="M744">
        <v>9</v>
      </c>
      <c r="N744">
        <v>2</v>
      </c>
      <c r="O744">
        <v>1</v>
      </c>
      <c r="P744" t="s">
        <v>18</v>
      </c>
      <c r="Q744">
        <v>4</v>
      </c>
      <c r="R744">
        <v>0</v>
      </c>
      <c r="S744" t="s">
        <v>21</v>
      </c>
      <c r="T744">
        <v>2</v>
      </c>
      <c r="U744">
        <v>0</v>
      </c>
    </row>
    <row r="745" spans="1:21" x14ac:dyDescent="0.25">
      <c r="A745">
        <v>9955118</v>
      </c>
      <c r="B745" t="s">
        <v>15</v>
      </c>
      <c r="C745" s="1">
        <v>43322</v>
      </c>
      <c r="D745" s="2">
        <f>YEAR(C745)</f>
        <v>2018</v>
      </c>
      <c r="E745">
        <v>550000</v>
      </c>
      <c r="F745" t="s">
        <v>85</v>
      </c>
      <c r="G745">
        <v>1969</v>
      </c>
      <c r="H745">
        <v>3953</v>
      </c>
      <c r="I745" t="s">
        <v>325</v>
      </c>
      <c r="J745">
        <v>62</v>
      </c>
      <c r="K745">
        <v>60062</v>
      </c>
      <c r="L745">
        <v>2751</v>
      </c>
      <c r="M745">
        <v>9</v>
      </c>
      <c r="N745">
        <v>2</v>
      </c>
      <c r="O745">
        <v>1</v>
      </c>
      <c r="P745" t="s">
        <v>18</v>
      </c>
      <c r="Q745">
        <v>4</v>
      </c>
      <c r="R745">
        <v>0</v>
      </c>
      <c r="S745" t="s">
        <v>21</v>
      </c>
      <c r="T745">
        <v>2</v>
      </c>
      <c r="U745">
        <v>0</v>
      </c>
    </row>
    <row r="746" spans="1:21" x14ac:dyDescent="0.25">
      <c r="A746">
        <v>10032869</v>
      </c>
      <c r="B746" t="s">
        <v>15</v>
      </c>
      <c r="C746" s="1">
        <v>43368</v>
      </c>
      <c r="D746" s="2">
        <f>YEAR(C746)</f>
        <v>2018</v>
      </c>
      <c r="E746">
        <v>509000</v>
      </c>
      <c r="F746" t="s">
        <v>85</v>
      </c>
      <c r="G746">
        <v>1969</v>
      </c>
      <c r="H746">
        <v>314</v>
      </c>
      <c r="I746" t="s">
        <v>322</v>
      </c>
      <c r="J746">
        <v>62</v>
      </c>
      <c r="K746">
        <v>60062</v>
      </c>
      <c r="L746">
        <v>2737</v>
      </c>
      <c r="M746">
        <v>10</v>
      </c>
      <c r="N746">
        <v>2</v>
      </c>
      <c r="O746">
        <v>1</v>
      </c>
      <c r="P746" t="s">
        <v>18</v>
      </c>
      <c r="Q746">
        <v>4</v>
      </c>
      <c r="R746">
        <v>0</v>
      </c>
      <c r="S746" t="s">
        <v>21</v>
      </c>
      <c r="T746">
        <v>2</v>
      </c>
      <c r="U746">
        <v>0</v>
      </c>
    </row>
    <row r="747" spans="1:21" x14ac:dyDescent="0.25">
      <c r="A747">
        <v>9844334</v>
      </c>
      <c r="B747" t="s">
        <v>15</v>
      </c>
      <c r="C747" s="1">
        <v>43244</v>
      </c>
      <c r="D747" s="2">
        <f>YEAR(C747)</f>
        <v>2018</v>
      </c>
      <c r="E747">
        <v>545000</v>
      </c>
      <c r="F747" t="s">
        <v>85</v>
      </c>
      <c r="G747">
        <v>1969</v>
      </c>
      <c r="H747">
        <v>4037</v>
      </c>
      <c r="I747" t="s">
        <v>328</v>
      </c>
      <c r="J747">
        <v>62</v>
      </c>
      <c r="K747">
        <v>60062</v>
      </c>
      <c r="L747">
        <v>2736</v>
      </c>
      <c r="M747">
        <v>10</v>
      </c>
      <c r="N747">
        <v>2</v>
      </c>
      <c r="O747">
        <v>1</v>
      </c>
      <c r="P747" t="s">
        <v>18</v>
      </c>
      <c r="Q747">
        <v>4</v>
      </c>
      <c r="R747">
        <v>0</v>
      </c>
      <c r="S747" t="s">
        <v>21</v>
      </c>
      <c r="T747">
        <v>2</v>
      </c>
      <c r="U747">
        <v>0</v>
      </c>
    </row>
    <row r="748" spans="1:21" x14ac:dyDescent="0.25">
      <c r="A748">
        <v>9985451</v>
      </c>
      <c r="B748" t="s">
        <v>15</v>
      </c>
      <c r="C748" s="1">
        <v>43334</v>
      </c>
      <c r="D748" s="2">
        <f>YEAR(C748)</f>
        <v>2018</v>
      </c>
      <c r="E748">
        <v>650000</v>
      </c>
      <c r="F748" t="s">
        <v>85</v>
      </c>
      <c r="G748">
        <v>1969</v>
      </c>
      <c r="H748">
        <v>3931</v>
      </c>
      <c r="I748" t="s">
        <v>315</v>
      </c>
      <c r="J748">
        <v>62</v>
      </c>
      <c r="K748">
        <v>60062</v>
      </c>
      <c r="L748">
        <v>2700</v>
      </c>
      <c r="M748">
        <v>11</v>
      </c>
      <c r="N748">
        <v>2</v>
      </c>
      <c r="O748">
        <v>1</v>
      </c>
      <c r="P748" t="s">
        <v>18</v>
      </c>
      <c r="Q748">
        <v>4</v>
      </c>
      <c r="R748">
        <v>0</v>
      </c>
      <c r="S748" t="s">
        <v>21</v>
      </c>
      <c r="T748">
        <v>2.5</v>
      </c>
      <c r="U748">
        <v>0</v>
      </c>
    </row>
    <row r="749" spans="1:21" x14ac:dyDescent="0.25">
      <c r="A749">
        <v>9830306</v>
      </c>
      <c r="B749" t="s">
        <v>15</v>
      </c>
      <c r="C749" s="1">
        <v>43250</v>
      </c>
      <c r="D749" s="2">
        <f>YEAR(C749)</f>
        <v>2018</v>
      </c>
      <c r="E749">
        <v>543000</v>
      </c>
      <c r="F749" t="s">
        <v>85</v>
      </c>
      <c r="G749">
        <v>1969</v>
      </c>
      <c r="H749">
        <v>1240</v>
      </c>
      <c r="I749" t="s">
        <v>329</v>
      </c>
      <c r="J749">
        <v>62</v>
      </c>
      <c r="K749">
        <v>60062</v>
      </c>
      <c r="L749">
        <v>2639</v>
      </c>
      <c r="M749">
        <v>11</v>
      </c>
      <c r="N749">
        <v>2</v>
      </c>
      <c r="O749">
        <v>1</v>
      </c>
      <c r="P749" t="s">
        <v>18</v>
      </c>
      <c r="Q749">
        <v>4</v>
      </c>
      <c r="R749">
        <v>1</v>
      </c>
      <c r="S749" t="s">
        <v>21</v>
      </c>
      <c r="T749">
        <v>2.5</v>
      </c>
      <c r="U749">
        <v>0</v>
      </c>
    </row>
    <row r="750" spans="1:21" x14ac:dyDescent="0.25">
      <c r="A750">
        <v>9805287</v>
      </c>
      <c r="B750" t="s">
        <v>15</v>
      </c>
      <c r="C750" s="1">
        <v>43097</v>
      </c>
      <c r="D750" s="2">
        <f>YEAR(C750)</f>
        <v>2017</v>
      </c>
      <c r="E750">
        <v>375000</v>
      </c>
      <c r="F750" t="s">
        <v>85</v>
      </c>
      <c r="G750">
        <v>1969</v>
      </c>
      <c r="H750">
        <v>3931</v>
      </c>
      <c r="I750" t="s">
        <v>315</v>
      </c>
      <c r="J750">
        <v>62</v>
      </c>
      <c r="K750">
        <v>60062</v>
      </c>
      <c r="L750">
        <v>2636</v>
      </c>
      <c r="M750">
        <v>10</v>
      </c>
      <c r="N750">
        <v>2</v>
      </c>
      <c r="O750">
        <v>1</v>
      </c>
      <c r="P750" t="s">
        <v>18</v>
      </c>
      <c r="Q750">
        <v>4</v>
      </c>
      <c r="R750">
        <v>0</v>
      </c>
      <c r="S750" t="s">
        <v>21</v>
      </c>
      <c r="T750">
        <v>2.5</v>
      </c>
      <c r="U750">
        <v>0</v>
      </c>
    </row>
    <row r="751" spans="1:21" x14ac:dyDescent="0.25">
      <c r="A751">
        <v>9972214</v>
      </c>
      <c r="B751" t="s">
        <v>15</v>
      </c>
      <c r="C751" s="1">
        <v>43290</v>
      </c>
      <c r="D751" s="2">
        <f>YEAR(C751)</f>
        <v>2018</v>
      </c>
      <c r="E751">
        <v>665000</v>
      </c>
      <c r="F751" t="s">
        <v>85</v>
      </c>
      <c r="G751">
        <v>1969</v>
      </c>
      <c r="H751">
        <v>4069</v>
      </c>
      <c r="I751" t="s">
        <v>330</v>
      </c>
      <c r="J751">
        <v>62</v>
      </c>
      <c r="K751">
        <v>60062</v>
      </c>
      <c r="L751">
        <v>2636</v>
      </c>
      <c r="M751">
        <v>9</v>
      </c>
      <c r="N751">
        <v>2</v>
      </c>
      <c r="O751">
        <v>1</v>
      </c>
      <c r="P751" t="s">
        <v>18</v>
      </c>
      <c r="Q751">
        <v>4</v>
      </c>
      <c r="R751">
        <v>0</v>
      </c>
      <c r="S751" t="s">
        <v>21</v>
      </c>
      <c r="T751">
        <v>2</v>
      </c>
      <c r="U751">
        <v>0</v>
      </c>
    </row>
    <row r="752" spans="1:21" x14ac:dyDescent="0.25">
      <c r="A752">
        <v>9619131</v>
      </c>
      <c r="B752" t="s">
        <v>15</v>
      </c>
      <c r="C752" s="1">
        <v>43007</v>
      </c>
      <c r="D752" s="2">
        <f>YEAR(C752)</f>
        <v>2017</v>
      </c>
      <c r="E752">
        <v>780000</v>
      </c>
      <c r="F752" t="s">
        <v>85</v>
      </c>
      <c r="G752">
        <v>1969</v>
      </c>
      <c r="H752">
        <v>2139</v>
      </c>
      <c r="I752" t="s">
        <v>331</v>
      </c>
      <c r="J752">
        <v>62</v>
      </c>
      <c r="K752">
        <v>60062</v>
      </c>
      <c r="L752">
        <v>2592</v>
      </c>
      <c r="M752">
        <v>11</v>
      </c>
      <c r="N752">
        <v>2</v>
      </c>
      <c r="O752">
        <v>1</v>
      </c>
      <c r="P752" t="s">
        <v>18</v>
      </c>
      <c r="Q752">
        <v>4</v>
      </c>
      <c r="R752">
        <v>1</v>
      </c>
      <c r="S752" t="s">
        <v>21</v>
      </c>
      <c r="T752">
        <v>2.5</v>
      </c>
      <c r="U752">
        <v>0</v>
      </c>
    </row>
    <row r="753" spans="1:21" x14ac:dyDescent="0.25">
      <c r="A753">
        <v>9708224</v>
      </c>
      <c r="B753" t="s">
        <v>15</v>
      </c>
      <c r="C753" s="1">
        <v>43024</v>
      </c>
      <c r="D753" s="2">
        <f>YEAR(C753)</f>
        <v>2017</v>
      </c>
      <c r="E753">
        <v>440000</v>
      </c>
      <c r="F753" t="s">
        <v>85</v>
      </c>
      <c r="G753">
        <v>1969</v>
      </c>
      <c r="H753">
        <v>1115</v>
      </c>
      <c r="I753" t="s">
        <v>332</v>
      </c>
      <c r="J753">
        <v>62</v>
      </c>
      <c r="K753">
        <v>60062</v>
      </c>
      <c r="L753">
        <v>2590</v>
      </c>
      <c r="M753">
        <v>8</v>
      </c>
      <c r="N753">
        <v>2</v>
      </c>
      <c r="O753">
        <v>1</v>
      </c>
      <c r="P753" t="s">
        <v>18</v>
      </c>
      <c r="Q753">
        <v>4</v>
      </c>
      <c r="R753">
        <v>0</v>
      </c>
      <c r="S753" t="s">
        <v>21</v>
      </c>
      <c r="T753">
        <v>2</v>
      </c>
      <c r="U753">
        <v>0</v>
      </c>
    </row>
    <row r="754" spans="1:21" x14ac:dyDescent="0.25">
      <c r="A754">
        <v>9329115</v>
      </c>
      <c r="B754" t="s">
        <v>15</v>
      </c>
      <c r="C754" s="1">
        <v>42809</v>
      </c>
      <c r="D754" s="2">
        <f>YEAR(C754)</f>
        <v>2017</v>
      </c>
      <c r="E754">
        <v>523000</v>
      </c>
      <c r="F754" t="s">
        <v>85</v>
      </c>
      <c r="G754">
        <v>1969</v>
      </c>
      <c r="H754">
        <v>2139</v>
      </c>
      <c r="I754" t="s">
        <v>333</v>
      </c>
      <c r="J754">
        <v>62</v>
      </c>
      <c r="K754">
        <v>60062</v>
      </c>
      <c r="L754">
        <v>2587</v>
      </c>
      <c r="M754">
        <v>11</v>
      </c>
      <c r="N754">
        <v>2</v>
      </c>
      <c r="O754">
        <v>1</v>
      </c>
      <c r="P754" t="s">
        <v>18</v>
      </c>
      <c r="Q754">
        <v>4</v>
      </c>
      <c r="R754">
        <v>1</v>
      </c>
      <c r="S754" t="s">
        <v>21</v>
      </c>
      <c r="T754">
        <v>2.5</v>
      </c>
      <c r="U754">
        <v>0</v>
      </c>
    </row>
    <row r="755" spans="1:21" x14ac:dyDescent="0.25">
      <c r="A755">
        <v>10024378</v>
      </c>
      <c r="B755" t="s">
        <v>15</v>
      </c>
      <c r="C755" s="1">
        <v>43405</v>
      </c>
      <c r="D755" s="2">
        <f>YEAR(C755)</f>
        <v>2018</v>
      </c>
      <c r="E755">
        <v>566250</v>
      </c>
      <c r="F755" t="s">
        <v>85</v>
      </c>
      <c r="G755">
        <v>1969</v>
      </c>
      <c r="H755">
        <v>3305</v>
      </c>
      <c r="I755" t="s">
        <v>327</v>
      </c>
      <c r="J755">
        <v>62</v>
      </c>
      <c r="K755">
        <v>60062</v>
      </c>
      <c r="L755">
        <v>2581</v>
      </c>
      <c r="M755">
        <v>10</v>
      </c>
      <c r="N755">
        <v>2</v>
      </c>
      <c r="O755">
        <v>1</v>
      </c>
      <c r="P755" t="s">
        <v>18</v>
      </c>
      <c r="Q755">
        <v>4</v>
      </c>
      <c r="R755">
        <v>0</v>
      </c>
      <c r="S755" t="s">
        <v>21</v>
      </c>
      <c r="T755">
        <v>2</v>
      </c>
      <c r="U755">
        <v>0</v>
      </c>
    </row>
    <row r="756" spans="1:21" x14ac:dyDescent="0.25">
      <c r="A756">
        <v>9817755</v>
      </c>
      <c r="B756" t="s">
        <v>15</v>
      </c>
      <c r="C756" s="1">
        <v>43237</v>
      </c>
      <c r="D756" s="2">
        <f>YEAR(C756)</f>
        <v>2018</v>
      </c>
      <c r="E756">
        <v>567000</v>
      </c>
      <c r="F756" t="s">
        <v>85</v>
      </c>
      <c r="G756">
        <v>1969</v>
      </c>
      <c r="H756">
        <v>1354</v>
      </c>
      <c r="I756" t="s">
        <v>334</v>
      </c>
      <c r="J756">
        <v>62</v>
      </c>
      <c r="K756">
        <v>60062</v>
      </c>
      <c r="L756">
        <v>2504</v>
      </c>
      <c r="M756">
        <v>9</v>
      </c>
      <c r="N756">
        <v>2</v>
      </c>
      <c r="O756">
        <v>1</v>
      </c>
      <c r="P756" t="s">
        <v>18</v>
      </c>
      <c r="Q756">
        <v>4</v>
      </c>
      <c r="R756">
        <v>0</v>
      </c>
      <c r="S756" t="s">
        <v>21</v>
      </c>
      <c r="T756">
        <v>2</v>
      </c>
      <c r="U756">
        <v>0</v>
      </c>
    </row>
    <row r="757" spans="1:21" x14ac:dyDescent="0.25">
      <c r="A757">
        <v>10119935</v>
      </c>
      <c r="B757" t="s">
        <v>15</v>
      </c>
      <c r="C757" s="1">
        <v>43453</v>
      </c>
      <c r="D757" s="2">
        <f>YEAR(C757)</f>
        <v>2018</v>
      </c>
      <c r="E757">
        <v>575000</v>
      </c>
      <c r="F757" t="s">
        <v>85</v>
      </c>
      <c r="G757">
        <v>1969</v>
      </c>
      <c r="H757">
        <v>1346</v>
      </c>
      <c r="I757" t="s">
        <v>334</v>
      </c>
      <c r="J757">
        <v>62</v>
      </c>
      <c r="K757">
        <v>60062</v>
      </c>
      <c r="L757">
        <v>2504</v>
      </c>
      <c r="M757">
        <v>9</v>
      </c>
      <c r="N757">
        <v>2</v>
      </c>
      <c r="O757">
        <v>1</v>
      </c>
      <c r="P757" t="s">
        <v>18</v>
      </c>
      <c r="Q757">
        <v>4</v>
      </c>
      <c r="R757">
        <v>0</v>
      </c>
      <c r="S757" t="s">
        <v>21</v>
      </c>
      <c r="T757">
        <v>2</v>
      </c>
      <c r="U757">
        <v>0</v>
      </c>
    </row>
    <row r="758" spans="1:21" x14ac:dyDescent="0.25">
      <c r="A758">
        <v>10131185</v>
      </c>
      <c r="B758" t="s">
        <v>15</v>
      </c>
      <c r="C758" s="1">
        <v>43460</v>
      </c>
      <c r="D758" s="2">
        <f>YEAR(C758)</f>
        <v>2018</v>
      </c>
      <c r="E758">
        <v>450000</v>
      </c>
      <c r="F758" t="s">
        <v>85</v>
      </c>
      <c r="G758">
        <v>1969</v>
      </c>
      <c r="H758">
        <v>247</v>
      </c>
      <c r="I758" t="s">
        <v>335</v>
      </c>
      <c r="J758">
        <v>62</v>
      </c>
      <c r="K758">
        <v>60062</v>
      </c>
      <c r="L758">
        <v>2435</v>
      </c>
      <c r="M758">
        <v>9</v>
      </c>
      <c r="N758">
        <v>2</v>
      </c>
      <c r="O758">
        <v>1</v>
      </c>
      <c r="P758" t="s">
        <v>18</v>
      </c>
      <c r="Q758">
        <v>4</v>
      </c>
      <c r="R758">
        <v>0</v>
      </c>
      <c r="S758" t="s">
        <v>21</v>
      </c>
      <c r="T758">
        <v>2</v>
      </c>
      <c r="U758">
        <v>0</v>
      </c>
    </row>
    <row r="759" spans="1:21" x14ac:dyDescent="0.25">
      <c r="A759">
        <v>9574298</v>
      </c>
      <c r="B759" t="s">
        <v>15</v>
      </c>
      <c r="C759" s="1">
        <v>42858</v>
      </c>
      <c r="D759" s="2">
        <f>YEAR(C759)</f>
        <v>2017</v>
      </c>
      <c r="E759">
        <v>580000</v>
      </c>
      <c r="F759" t="s">
        <v>85</v>
      </c>
      <c r="G759">
        <v>1969</v>
      </c>
      <c r="H759">
        <v>1248</v>
      </c>
      <c r="I759" t="s">
        <v>334</v>
      </c>
      <c r="J759">
        <v>62</v>
      </c>
      <c r="K759">
        <v>60062</v>
      </c>
      <c r="L759">
        <v>2382</v>
      </c>
      <c r="M759">
        <v>9</v>
      </c>
      <c r="N759">
        <v>2</v>
      </c>
      <c r="O759">
        <v>1</v>
      </c>
      <c r="P759" t="s">
        <v>18</v>
      </c>
      <c r="Q759">
        <v>4</v>
      </c>
      <c r="R759">
        <v>0</v>
      </c>
      <c r="S759" t="s">
        <v>21</v>
      </c>
      <c r="T759">
        <v>2</v>
      </c>
      <c r="U759">
        <v>0</v>
      </c>
    </row>
    <row r="760" spans="1:21" x14ac:dyDescent="0.25">
      <c r="A760">
        <v>9977640</v>
      </c>
      <c r="B760" t="s">
        <v>15</v>
      </c>
      <c r="C760" s="1">
        <v>43364</v>
      </c>
      <c r="D760" s="2">
        <f>YEAR(C760)</f>
        <v>2018</v>
      </c>
      <c r="E760">
        <v>522500</v>
      </c>
      <c r="F760" t="s">
        <v>85</v>
      </c>
      <c r="G760">
        <v>1969</v>
      </c>
      <c r="H760">
        <v>4035</v>
      </c>
      <c r="I760" t="s">
        <v>336</v>
      </c>
      <c r="J760">
        <v>62</v>
      </c>
      <c r="K760">
        <v>60062</v>
      </c>
      <c r="L760">
        <v>2374</v>
      </c>
      <c r="M760">
        <v>10</v>
      </c>
      <c r="N760">
        <v>2</v>
      </c>
      <c r="O760">
        <v>1</v>
      </c>
      <c r="P760" t="s">
        <v>18</v>
      </c>
      <c r="Q760">
        <v>4</v>
      </c>
      <c r="R760">
        <v>0</v>
      </c>
      <c r="S760" t="s">
        <v>21</v>
      </c>
      <c r="T760">
        <v>2.5</v>
      </c>
      <c r="U760">
        <v>0</v>
      </c>
    </row>
    <row r="761" spans="1:21" x14ac:dyDescent="0.25">
      <c r="A761">
        <v>9993487</v>
      </c>
      <c r="B761" t="s">
        <v>15</v>
      </c>
      <c r="C761" s="1">
        <v>43500</v>
      </c>
      <c r="D761" s="2">
        <f>YEAR(C761)</f>
        <v>2019</v>
      </c>
      <c r="E761">
        <v>725000</v>
      </c>
      <c r="F761" t="s">
        <v>85</v>
      </c>
      <c r="G761">
        <v>1969</v>
      </c>
      <c r="H761">
        <v>2267</v>
      </c>
      <c r="I761" t="s">
        <v>337</v>
      </c>
      <c r="J761">
        <v>62</v>
      </c>
      <c r="K761">
        <v>60062</v>
      </c>
      <c r="L761">
        <v>2271</v>
      </c>
      <c r="M761">
        <v>11</v>
      </c>
      <c r="N761">
        <v>2</v>
      </c>
      <c r="O761">
        <v>1</v>
      </c>
      <c r="P761" t="s">
        <v>18</v>
      </c>
      <c r="Q761">
        <v>4</v>
      </c>
      <c r="R761">
        <v>1</v>
      </c>
      <c r="S761" t="s">
        <v>21</v>
      </c>
      <c r="T761">
        <v>2</v>
      </c>
      <c r="U761">
        <v>0</v>
      </c>
    </row>
    <row r="762" spans="1:21" x14ac:dyDescent="0.25">
      <c r="A762">
        <v>9794327</v>
      </c>
      <c r="B762" t="s">
        <v>15</v>
      </c>
      <c r="C762" s="1">
        <v>43159</v>
      </c>
      <c r="D762" s="2">
        <f>YEAR(C762)</f>
        <v>2018</v>
      </c>
      <c r="E762">
        <v>475000</v>
      </c>
      <c r="F762" t="s">
        <v>85</v>
      </c>
      <c r="G762">
        <v>1969</v>
      </c>
      <c r="H762">
        <v>3913</v>
      </c>
      <c r="I762" t="s">
        <v>319</v>
      </c>
      <c r="J762">
        <v>62</v>
      </c>
      <c r="K762">
        <v>60062</v>
      </c>
      <c r="L762">
        <v>2145</v>
      </c>
      <c r="M762">
        <v>9</v>
      </c>
      <c r="N762">
        <v>2</v>
      </c>
      <c r="O762">
        <v>1</v>
      </c>
      <c r="P762" t="s">
        <v>18</v>
      </c>
      <c r="Q762">
        <v>4</v>
      </c>
      <c r="R762">
        <v>0</v>
      </c>
      <c r="S762" t="s">
        <v>21</v>
      </c>
      <c r="T762">
        <v>2</v>
      </c>
      <c r="U762">
        <v>0</v>
      </c>
    </row>
    <row r="763" spans="1:21" x14ac:dyDescent="0.25">
      <c r="A763">
        <v>10107296</v>
      </c>
      <c r="B763" t="s">
        <v>15</v>
      </c>
      <c r="C763" s="1">
        <v>43395</v>
      </c>
      <c r="D763" s="2">
        <f>YEAR(C763)</f>
        <v>2018</v>
      </c>
      <c r="E763">
        <v>425000</v>
      </c>
      <c r="F763" t="s">
        <v>85</v>
      </c>
      <c r="G763">
        <v>1970</v>
      </c>
      <c r="H763">
        <v>5261</v>
      </c>
      <c r="I763" t="s">
        <v>203</v>
      </c>
      <c r="J763">
        <v>76</v>
      </c>
      <c r="K763">
        <v>60077</v>
      </c>
      <c r="L763">
        <v>3300</v>
      </c>
      <c r="M763">
        <v>10</v>
      </c>
      <c r="N763">
        <v>2</v>
      </c>
      <c r="O763">
        <v>1</v>
      </c>
      <c r="P763" t="s">
        <v>18</v>
      </c>
      <c r="Q763">
        <v>5</v>
      </c>
      <c r="R763">
        <v>0</v>
      </c>
      <c r="S763" t="s">
        <v>21</v>
      </c>
      <c r="T763">
        <v>2</v>
      </c>
      <c r="U763">
        <v>0</v>
      </c>
    </row>
    <row r="764" spans="1:21" x14ac:dyDescent="0.25">
      <c r="A764">
        <v>9844132</v>
      </c>
      <c r="B764" t="s">
        <v>15</v>
      </c>
      <c r="C764" s="1">
        <v>43312</v>
      </c>
      <c r="D764" s="2">
        <f>YEAR(C764)</f>
        <v>2018</v>
      </c>
      <c r="E764">
        <v>570000</v>
      </c>
      <c r="F764" t="s">
        <v>85</v>
      </c>
      <c r="G764">
        <v>1970</v>
      </c>
      <c r="H764">
        <v>8818</v>
      </c>
      <c r="I764" t="s">
        <v>125</v>
      </c>
      <c r="J764">
        <v>76</v>
      </c>
      <c r="K764">
        <v>60076</v>
      </c>
      <c r="L764">
        <v>3200</v>
      </c>
      <c r="M764">
        <v>9</v>
      </c>
      <c r="N764">
        <v>2</v>
      </c>
      <c r="O764">
        <v>1</v>
      </c>
      <c r="P764" t="s">
        <v>18</v>
      </c>
      <c r="Q764">
        <v>4</v>
      </c>
      <c r="R764">
        <v>0</v>
      </c>
      <c r="S764" t="s">
        <v>21</v>
      </c>
      <c r="T764">
        <v>2</v>
      </c>
      <c r="U764">
        <v>0</v>
      </c>
    </row>
    <row r="765" spans="1:21" x14ac:dyDescent="0.25">
      <c r="A765">
        <v>9896129</v>
      </c>
      <c r="B765" t="s">
        <v>15</v>
      </c>
      <c r="C765" s="1">
        <v>43311</v>
      </c>
      <c r="D765" s="2">
        <f>YEAR(C765)</f>
        <v>2018</v>
      </c>
      <c r="E765">
        <v>475000</v>
      </c>
      <c r="F765" t="s">
        <v>85</v>
      </c>
      <c r="G765">
        <v>1970</v>
      </c>
      <c r="H765">
        <v>6930</v>
      </c>
      <c r="I765" t="s">
        <v>233</v>
      </c>
      <c r="J765">
        <v>76</v>
      </c>
      <c r="K765">
        <v>60077</v>
      </c>
      <c r="L765">
        <v>3056</v>
      </c>
      <c r="M765">
        <v>9</v>
      </c>
      <c r="N765">
        <v>2</v>
      </c>
      <c r="O765">
        <v>1</v>
      </c>
      <c r="P765" t="s">
        <v>18</v>
      </c>
      <c r="Q765">
        <v>4</v>
      </c>
      <c r="R765">
        <v>0</v>
      </c>
      <c r="S765" t="s">
        <v>21</v>
      </c>
      <c r="T765">
        <v>2</v>
      </c>
      <c r="U765">
        <v>0</v>
      </c>
    </row>
    <row r="766" spans="1:21" x14ac:dyDescent="0.25">
      <c r="A766">
        <v>9764994</v>
      </c>
      <c r="B766" t="s">
        <v>15</v>
      </c>
      <c r="C766" s="1">
        <v>43068</v>
      </c>
      <c r="D766" s="2">
        <f>YEAR(C766)</f>
        <v>2017</v>
      </c>
      <c r="E766">
        <v>458000</v>
      </c>
      <c r="F766" t="s">
        <v>85</v>
      </c>
      <c r="G766">
        <v>1970</v>
      </c>
      <c r="H766">
        <v>5238</v>
      </c>
      <c r="I766" t="s">
        <v>203</v>
      </c>
      <c r="J766">
        <v>76</v>
      </c>
      <c r="K766">
        <v>60077</v>
      </c>
      <c r="L766">
        <v>2950</v>
      </c>
      <c r="M766">
        <v>8</v>
      </c>
      <c r="N766">
        <v>2</v>
      </c>
      <c r="O766">
        <v>1</v>
      </c>
      <c r="P766" t="s">
        <v>18</v>
      </c>
      <c r="Q766">
        <v>4</v>
      </c>
      <c r="R766">
        <v>0</v>
      </c>
      <c r="S766" t="s">
        <v>21</v>
      </c>
      <c r="T766">
        <v>2.5</v>
      </c>
      <c r="U766">
        <v>0</v>
      </c>
    </row>
    <row r="767" spans="1:21" x14ac:dyDescent="0.25">
      <c r="A767">
        <v>9347430</v>
      </c>
      <c r="B767" t="s">
        <v>15</v>
      </c>
      <c r="C767" s="1">
        <v>42808</v>
      </c>
      <c r="D767" s="2">
        <f>YEAR(C767)</f>
        <v>2017</v>
      </c>
      <c r="E767">
        <v>418000</v>
      </c>
      <c r="F767" t="s">
        <v>85</v>
      </c>
      <c r="G767">
        <v>1970</v>
      </c>
      <c r="H767">
        <v>9648</v>
      </c>
      <c r="I767" t="s">
        <v>239</v>
      </c>
      <c r="J767">
        <v>76</v>
      </c>
      <c r="K767">
        <v>60077</v>
      </c>
      <c r="L767">
        <v>2400</v>
      </c>
      <c r="M767">
        <v>8</v>
      </c>
      <c r="N767">
        <v>2</v>
      </c>
      <c r="O767">
        <v>1</v>
      </c>
      <c r="P767" t="s">
        <v>18</v>
      </c>
      <c r="Q767">
        <v>3</v>
      </c>
      <c r="R767">
        <v>0</v>
      </c>
      <c r="S767" t="s">
        <v>21</v>
      </c>
      <c r="T767">
        <v>2</v>
      </c>
      <c r="U767">
        <v>0</v>
      </c>
    </row>
    <row r="768" spans="1:21" x14ac:dyDescent="0.25">
      <c r="A768">
        <v>9915219</v>
      </c>
      <c r="B768" t="s">
        <v>15</v>
      </c>
      <c r="C768" s="1">
        <v>43252</v>
      </c>
      <c r="D768" s="2">
        <f>YEAR(C768)</f>
        <v>2018</v>
      </c>
      <c r="E768">
        <v>492000</v>
      </c>
      <c r="F768" t="s">
        <v>85</v>
      </c>
      <c r="G768">
        <v>1970</v>
      </c>
      <c r="H768">
        <v>5308</v>
      </c>
      <c r="I768" t="s">
        <v>269</v>
      </c>
      <c r="J768">
        <v>76</v>
      </c>
      <c r="K768">
        <v>60077</v>
      </c>
      <c r="L768">
        <v>2243</v>
      </c>
      <c r="M768">
        <v>10</v>
      </c>
      <c r="N768">
        <v>2</v>
      </c>
      <c r="O768">
        <v>1</v>
      </c>
      <c r="P768" t="s">
        <v>18</v>
      </c>
      <c r="Q768">
        <v>4</v>
      </c>
      <c r="R768">
        <v>0</v>
      </c>
      <c r="S768" t="s">
        <v>21</v>
      </c>
      <c r="T768">
        <v>2</v>
      </c>
      <c r="U768">
        <v>0</v>
      </c>
    </row>
    <row r="769" spans="1:21" x14ac:dyDescent="0.25">
      <c r="A769">
        <v>9803549</v>
      </c>
      <c r="B769" t="s">
        <v>15</v>
      </c>
      <c r="C769" s="1">
        <v>43139</v>
      </c>
      <c r="D769" s="2">
        <f>YEAR(C769)</f>
        <v>2018</v>
      </c>
      <c r="E769">
        <v>410000</v>
      </c>
      <c r="F769" t="s">
        <v>85</v>
      </c>
      <c r="G769">
        <v>1970</v>
      </c>
      <c r="H769">
        <v>5235</v>
      </c>
      <c r="I769" t="s">
        <v>338</v>
      </c>
      <c r="J769">
        <v>76</v>
      </c>
      <c r="K769">
        <v>60077</v>
      </c>
      <c r="L769">
        <v>2200</v>
      </c>
      <c r="M769">
        <v>10</v>
      </c>
      <c r="N769">
        <v>2</v>
      </c>
      <c r="O769">
        <v>0</v>
      </c>
      <c r="P769" t="s">
        <v>18</v>
      </c>
      <c r="Q769">
        <v>4</v>
      </c>
      <c r="R769">
        <v>0</v>
      </c>
      <c r="S769" t="s">
        <v>21</v>
      </c>
      <c r="T769">
        <v>2.5</v>
      </c>
      <c r="U769">
        <v>0</v>
      </c>
    </row>
    <row r="770" spans="1:21" x14ac:dyDescent="0.25">
      <c r="A770">
        <v>9484266</v>
      </c>
      <c r="B770" t="s">
        <v>15</v>
      </c>
      <c r="C770" s="1">
        <v>42909</v>
      </c>
      <c r="D770" s="2">
        <f>YEAR(C770)</f>
        <v>2017</v>
      </c>
      <c r="E770">
        <v>905000</v>
      </c>
      <c r="F770" t="s">
        <v>85</v>
      </c>
      <c r="G770">
        <v>1970</v>
      </c>
      <c r="H770">
        <v>2515</v>
      </c>
      <c r="I770" t="s">
        <v>339</v>
      </c>
      <c r="J770">
        <v>62</v>
      </c>
      <c r="K770">
        <v>60062</v>
      </c>
      <c r="L770">
        <v>4000</v>
      </c>
      <c r="M770">
        <v>11</v>
      </c>
      <c r="N770">
        <v>3</v>
      </c>
      <c r="O770">
        <v>2</v>
      </c>
      <c r="P770" t="s">
        <v>18</v>
      </c>
      <c r="Q770">
        <v>4</v>
      </c>
      <c r="R770">
        <v>0</v>
      </c>
      <c r="S770" t="s">
        <v>21</v>
      </c>
      <c r="T770">
        <v>3</v>
      </c>
      <c r="U770">
        <v>0</v>
      </c>
    </row>
    <row r="771" spans="1:21" x14ac:dyDescent="0.25">
      <c r="A771">
        <v>9920194</v>
      </c>
      <c r="B771" t="s">
        <v>15</v>
      </c>
      <c r="C771" s="1">
        <v>43252</v>
      </c>
      <c r="D771" s="2">
        <f>YEAR(C771)</f>
        <v>2018</v>
      </c>
      <c r="E771">
        <v>610000</v>
      </c>
      <c r="F771" t="s">
        <v>85</v>
      </c>
      <c r="G771">
        <v>1970</v>
      </c>
      <c r="H771">
        <v>3823</v>
      </c>
      <c r="I771" t="s">
        <v>340</v>
      </c>
      <c r="J771">
        <v>62</v>
      </c>
      <c r="K771">
        <v>60062</v>
      </c>
      <c r="L771">
        <v>3367</v>
      </c>
      <c r="M771">
        <v>11</v>
      </c>
      <c r="N771">
        <v>2</v>
      </c>
      <c r="O771">
        <v>1</v>
      </c>
      <c r="P771" t="s">
        <v>18</v>
      </c>
      <c r="Q771">
        <v>5</v>
      </c>
      <c r="R771">
        <v>0</v>
      </c>
      <c r="S771" t="s">
        <v>21</v>
      </c>
      <c r="T771">
        <v>2</v>
      </c>
      <c r="U771">
        <v>0</v>
      </c>
    </row>
    <row r="772" spans="1:21" x14ac:dyDescent="0.25">
      <c r="A772">
        <v>9951607</v>
      </c>
      <c r="B772" t="s">
        <v>15</v>
      </c>
      <c r="C772" s="1">
        <v>43299</v>
      </c>
      <c r="D772" s="2">
        <f>YEAR(C772)</f>
        <v>2018</v>
      </c>
      <c r="E772">
        <v>644000</v>
      </c>
      <c r="F772" t="s">
        <v>85</v>
      </c>
      <c r="G772">
        <v>1970</v>
      </c>
      <c r="H772">
        <v>2053</v>
      </c>
      <c r="I772" t="s">
        <v>318</v>
      </c>
      <c r="J772">
        <v>62</v>
      </c>
      <c r="K772">
        <v>60062</v>
      </c>
      <c r="L772">
        <v>3092</v>
      </c>
      <c r="M772">
        <v>11</v>
      </c>
      <c r="N772">
        <v>2</v>
      </c>
      <c r="O772">
        <v>2</v>
      </c>
      <c r="P772" t="s">
        <v>18</v>
      </c>
      <c r="Q772">
        <v>4</v>
      </c>
      <c r="R772">
        <v>0</v>
      </c>
      <c r="S772" t="s">
        <v>21</v>
      </c>
      <c r="T772">
        <v>2</v>
      </c>
      <c r="U772">
        <v>0</v>
      </c>
    </row>
    <row r="773" spans="1:21" x14ac:dyDescent="0.25">
      <c r="A773">
        <v>9972837</v>
      </c>
      <c r="B773" t="s">
        <v>15</v>
      </c>
      <c r="C773" s="1">
        <v>43294</v>
      </c>
      <c r="D773" s="2">
        <f>YEAR(C773)</f>
        <v>2018</v>
      </c>
      <c r="E773">
        <v>536000</v>
      </c>
      <c r="F773" t="s">
        <v>85</v>
      </c>
      <c r="G773">
        <v>1970</v>
      </c>
      <c r="H773">
        <v>2408</v>
      </c>
      <c r="I773" t="s">
        <v>341</v>
      </c>
      <c r="J773">
        <v>62</v>
      </c>
      <c r="K773">
        <v>60062</v>
      </c>
      <c r="L773">
        <v>3039</v>
      </c>
      <c r="M773">
        <v>11</v>
      </c>
      <c r="N773">
        <v>2</v>
      </c>
      <c r="O773">
        <v>1</v>
      </c>
      <c r="P773" t="s">
        <v>18</v>
      </c>
      <c r="Q773">
        <v>5</v>
      </c>
      <c r="R773">
        <v>0</v>
      </c>
      <c r="S773" t="s">
        <v>21</v>
      </c>
      <c r="T773">
        <v>2</v>
      </c>
      <c r="U773">
        <v>0</v>
      </c>
    </row>
    <row r="774" spans="1:21" x14ac:dyDescent="0.25">
      <c r="A774">
        <v>9787972</v>
      </c>
      <c r="B774" t="s">
        <v>15</v>
      </c>
      <c r="C774" s="1">
        <v>43075</v>
      </c>
      <c r="D774" s="2">
        <f>YEAR(C774)</f>
        <v>2017</v>
      </c>
      <c r="E774">
        <v>710000</v>
      </c>
      <c r="F774" t="s">
        <v>85</v>
      </c>
      <c r="G774">
        <v>1970</v>
      </c>
      <c r="H774">
        <v>3832</v>
      </c>
      <c r="I774" t="s">
        <v>342</v>
      </c>
      <c r="J774">
        <v>62</v>
      </c>
      <c r="K774">
        <v>60062</v>
      </c>
      <c r="L774">
        <v>3016</v>
      </c>
      <c r="M774">
        <v>10</v>
      </c>
      <c r="N774">
        <v>2</v>
      </c>
      <c r="O774">
        <v>1</v>
      </c>
      <c r="P774" t="s">
        <v>18</v>
      </c>
      <c r="Q774">
        <v>4</v>
      </c>
      <c r="R774">
        <v>0</v>
      </c>
      <c r="S774" t="s">
        <v>21</v>
      </c>
      <c r="T774">
        <v>2</v>
      </c>
      <c r="U774">
        <v>0</v>
      </c>
    </row>
    <row r="775" spans="1:21" x14ac:dyDescent="0.25">
      <c r="A775">
        <v>9690836</v>
      </c>
      <c r="B775" t="s">
        <v>15</v>
      </c>
      <c r="C775" s="1">
        <v>42972</v>
      </c>
      <c r="D775" s="2">
        <f>YEAR(C775)</f>
        <v>2017</v>
      </c>
      <c r="E775">
        <v>588250</v>
      </c>
      <c r="F775" t="s">
        <v>85</v>
      </c>
      <c r="G775">
        <v>1970</v>
      </c>
      <c r="H775">
        <v>3219</v>
      </c>
      <c r="I775" t="s">
        <v>326</v>
      </c>
      <c r="J775">
        <v>62</v>
      </c>
      <c r="K775">
        <v>60062</v>
      </c>
      <c r="L775">
        <v>2990</v>
      </c>
      <c r="M775">
        <v>11</v>
      </c>
      <c r="N775">
        <v>2</v>
      </c>
      <c r="O775">
        <v>1</v>
      </c>
      <c r="P775" t="s">
        <v>18</v>
      </c>
      <c r="Q775">
        <v>4</v>
      </c>
      <c r="R775">
        <v>0</v>
      </c>
      <c r="S775" t="s">
        <v>21</v>
      </c>
      <c r="T775">
        <v>2</v>
      </c>
      <c r="U775">
        <v>0</v>
      </c>
    </row>
    <row r="776" spans="1:21" x14ac:dyDescent="0.25">
      <c r="A776">
        <v>9751009</v>
      </c>
      <c r="B776" t="s">
        <v>15</v>
      </c>
      <c r="C776" s="1">
        <v>43027</v>
      </c>
      <c r="D776" s="2">
        <f>YEAR(C776)</f>
        <v>2017</v>
      </c>
      <c r="E776">
        <v>545000</v>
      </c>
      <c r="F776" t="s">
        <v>85</v>
      </c>
      <c r="G776">
        <v>1970</v>
      </c>
      <c r="H776">
        <v>2731</v>
      </c>
      <c r="I776" t="s">
        <v>343</v>
      </c>
      <c r="J776">
        <v>62</v>
      </c>
      <c r="K776">
        <v>60062</v>
      </c>
      <c r="L776">
        <v>2900</v>
      </c>
      <c r="M776">
        <v>9</v>
      </c>
      <c r="N776">
        <v>2</v>
      </c>
      <c r="O776">
        <v>1</v>
      </c>
      <c r="P776" t="s">
        <v>18</v>
      </c>
      <c r="Q776">
        <v>4</v>
      </c>
      <c r="R776">
        <v>0</v>
      </c>
      <c r="S776" t="s">
        <v>21</v>
      </c>
      <c r="T776">
        <v>2</v>
      </c>
      <c r="U776">
        <v>0</v>
      </c>
    </row>
    <row r="777" spans="1:21" x14ac:dyDescent="0.25">
      <c r="A777">
        <v>10120223</v>
      </c>
      <c r="B777" t="s">
        <v>15</v>
      </c>
      <c r="C777" s="1">
        <v>43517</v>
      </c>
      <c r="D777" s="2">
        <f>YEAR(C777)</f>
        <v>2019</v>
      </c>
      <c r="E777">
        <v>612500</v>
      </c>
      <c r="F777" t="s">
        <v>85</v>
      </c>
      <c r="G777">
        <v>1970</v>
      </c>
      <c r="H777">
        <v>1021</v>
      </c>
      <c r="I777" t="s">
        <v>282</v>
      </c>
      <c r="J777">
        <v>62</v>
      </c>
      <c r="K777">
        <v>60062</v>
      </c>
      <c r="L777">
        <v>2896</v>
      </c>
      <c r="M777">
        <v>9</v>
      </c>
      <c r="N777">
        <v>2</v>
      </c>
      <c r="O777">
        <v>1</v>
      </c>
      <c r="P777" t="s">
        <v>18</v>
      </c>
      <c r="Q777">
        <v>4</v>
      </c>
      <c r="R777">
        <v>0</v>
      </c>
      <c r="S777" t="s">
        <v>21</v>
      </c>
      <c r="T777">
        <v>2</v>
      </c>
      <c r="U777">
        <v>0</v>
      </c>
    </row>
    <row r="778" spans="1:21" x14ac:dyDescent="0.25">
      <c r="A778">
        <v>9934954</v>
      </c>
      <c r="B778" t="s">
        <v>15</v>
      </c>
      <c r="C778" s="1">
        <v>43269</v>
      </c>
      <c r="D778" s="2">
        <f>YEAR(C778)</f>
        <v>2018</v>
      </c>
      <c r="E778">
        <v>605000</v>
      </c>
      <c r="F778" t="s">
        <v>85</v>
      </c>
      <c r="G778">
        <v>1970</v>
      </c>
      <c r="H778">
        <v>2729</v>
      </c>
      <c r="I778" t="s">
        <v>116</v>
      </c>
      <c r="J778">
        <v>62</v>
      </c>
      <c r="K778">
        <v>60062</v>
      </c>
      <c r="L778">
        <v>2876</v>
      </c>
      <c r="M778">
        <v>10</v>
      </c>
      <c r="N778">
        <v>2</v>
      </c>
      <c r="O778">
        <v>1</v>
      </c>
      <c r="P778" t="s">
        <v>18</v>
      </c>
      <c r="Q778">
        <v>4</v>
      </c>
      <c r="R778">
        <v>0</v>
      </c>
      <c r="S778" t="s">
        <v>21</v>
      </c>
      <c r="T778">
        <v>2</v>
      </c>
      <c r="U778">
        <v>0</v>
      </c>
    </row>
    <row r="779" spans="1:21" x14ac:dyDescent="0.25">
      <c r="A779">
        <v>9566667</v>
      </c>
      <c r="B779" t="s">
        <v>15</v>
      </c>
      <c r="C779" s="1">
        <v>42849</v>
      </c>
      <c r="D779" s="2">
        <f>YEAR(C779)</f>
        <v>2017</v>
      </c>
      <c r="E779">
        <v>499900</v>
      </c>
      <c r="F779" t="s">
        <v>85</v>
      </c>
      <c r="G779">
        <v>1970</v>
      </c>
      <c r="H779">
        <v>3832</v>
      </c>
      <c r="I779" t="s">
        <v>342</v>
      </c>
      <c r="J779">
        <v>62</v>
      </c>
      <c r="K779">
        <v>60062</v>
      </c>
      <c r="L779">
        <v>2842</v>
      </c>
      <c r="M779">
        <v>11</v>
      </c>
      <c r="N779">
        <v>2</v>
      </c>
      <c r="O779">
        <v>1</v>
      </c>
      <c r="P779" t="s">
        <v>18</v>
      </c>
      <c r="Q779">
        <v>4</v>
      </c>
      <c r="R779">
        <v>0</v>
      </c>
      <c r="S779" t="s">
        <v>21</v>
      </c>
      <c r="T779">
        <v>2.5</v>
      </c>
      <c r="U779">
        <v>0</v>
      </c>
    </row>
    <row r="780" spans="1:21" x14ac:dyDescent="0.25">
      <c r="A780">
        <v>9671852</v>
      </c>
      <c r="B780" t="s">
        <v>15</v>
      </c>
      <c r="C780" s="1">
        <v>42971</v>
      </c>
      <c r="D780" s="2">
        <f>YEAR(C780)</f>
        <v>2017</v>
      </c>
      <c r="E780">
        <v>608000</v>
      </c>
      <c r="F780" t="s">
        <v>85</v>
      </c>
      <c r="G780">
        <v>1970</v>
      </c>
      <c r="H780">
        <v>1722</v>
      </c>
      <c r="I780" t="s">
        <v>344</v>
      </c>
      <c r="J780">
        <v>62</v>
      </c>
      <c r="K780">
        <v>60062</v>
      </c>
      <c r="L780">
        <v>2837</v>
      </c>
      <c r="M780">
        <v>9</v>
      </c>
      <c r="N780">
        <v>2</v>
      </c>
      <c r="O780">
        <v>1</v>
      </c>
      <c r="P780" t="s">
        <v>18</v>
      </c>
      <c r="Q780">
        <v>4</v>
      </c>
      <c r="R780">
        <v>0</v>
      </c>
      <c r="S780" t="s">
        <v>21</v>
      </c>
      <c r="T780">
        <v>2</v>
      </c>
      <c r="U780">
        <v>0</v>
      </c>
    </row>
    <row r="781" spans="1:21" x14ac:dyDescent="0.25">
      <c r="A781">
        <v>9735373</v>
      </c>
      <c r="B781" t="s">
        <v>15</v>
      </c>
      <c r="C781" s="1">
        <v>43066</v>
      </c>
      <c r="D781" s="2">
        <f>YEAR(C781)</f>
        <v>2017</v>
      </c>
      <c r="E781">
        <v>510000</v>
      </c>
      <c r="F781" t="s">
        <v>85</v>
      </c>
      <c r="G781">
        <v>1970</v>
      </c>
      <c r="H781">
        <v>2400</v>
      </c>
      <c r="I781" t="s">
        <v>345</v>
      </c>
      <c r="J781">
        <v>62</v>
      </c>
      <c r="K781">
        <v>60062</v>
      </c>
      <c r="L781">
        <v>2832</v>
      </c>
      <c r="M781">
        <v>10</v>
      </c>
      <c r="N781">
        <v>2</v>
      </c>
      <c r="O781">
        <v>1</v>
      </c>
      <c r="P781" t="s">
        <v>18</v>
      </c>
      <c r="Q781">
        <v>4</v>
      </c>
      <c r="R781">
        <v>0</v>
      </c>
      <c r="S781" t="s">
        <v>21</v>
      </c>
      <c r="T781">
        <v>2</v>
      </c>
      <c r="U781">
        <v>0</v>
      </c>
    </row>
    <row r="782" spans="1:21" x14ac:dyDescent="0.25">
      <c r="A782">
        <v>9796570</v>
      </c>
      <c r="B782" t="s">
        <v>15</v>
      </c>
      <c r="C782" s="1">
        <v>43165</v>
      </c>
      <c r="D782" s="2">
        <f>YEAR(C782)</f>
        <v>2018</v>
      </c>
      <c r="E782">
        <v>540000</v>
      </c>
      <c r="F782" t="s">
        <v>85</v>
      </c>
      <c r="G782">
        <v>1970</v>
      </c>
      <c r="H782">
        <v>2640</v>
      </c>
      <c r="I782" t="s">
        <v>243</v>
      </c>
      <c r="J782">
        <v>62</v>
      </c>
      <c r="K782">
        <v>60062</v>
      </c>
      <c r="L782">
        <v>2824</v>
      </c>
      <c r="M782">
        <v>8</v>
      </c>
      <c r="N782">
        <v>2</v>
      </c>
      <c r="O782">
        <v>1</v>
      </c>
      <c r="P782" t="s">
        <v>18</v>
      </c>
      <c r="Q782">
        <v>4</v>
      </c>
      <c r="R782">
        <v>0</v>
      </c>
      <c r="S782" t="s">
        <v>21</v>
      </c>
      <c r="T782">
        <v>2.5</v>
      </c>
      <c r="U782">
        <v>0</v>
      </c>
    </row>
    <row r="783" spans="1:21" x14ac:dyDescent="0.25">
      <c r="A783">
        <v>9935271</v>
      </c>
      <c r="B783" t="s">
        <v>15</v>
      </c>
      <c r="C783" s="1">
        <v>43320</v>
      </c>
      <c r="D783" s="2">
        <f>YEAR(C783)</f>
        <v>2018</v>
      </c>
      <c r="E783">
        <v>642000</v>
      </c>
      <c r="F783" t="s">
        <v>85</v>
      </c>
      <c r="G783">
        <v>1970</v>
      </c>
      <c r="H783">
        <v>1762</v>
      </c>
      <c r="I783" t="s">
        <v>295</v>
      </c>
      <c r="J783">
        <v>62</v>
      </c>
      <c r="K783">
        <v>60062</v>
      </c>
      <c r="L783">
        <v>2700</v>
      </c>
      <c r="M783">
        <v>9</v>
      </c>
      <c r="N783">
        <v>2</v>
      </c>
      <c r="O783">
        <v>1</v>
      </c>
      <c r="P783" t="s">
        <v>18</v>
      </c>
      <c r="Q783">
        <v>4</v>
      </c>
      <c r="R783">
        <v>0</v>
      </c>
      <c r="S783" t="s">
        <v>21</v>
      </c>
      <c r="T783">
        <v>2</v>
      </c>
      <c r="U783">
        <v>0</v>
      </c>
    </row>
    <row r="784" spans="1:21" x14ac:dyDescent="0.25">
      <c r="A784">
        <v>9985296</v>
      </c>
      <c r="B784" t="s">
        <v>15</v>
      </c>
      <c r="C784" s="1">
        <v>43315</v>
      </c>
      <c r="D784" s="2">
        <f>YEAR(C784)</f>
        <v>2018</v>
      </c>
      <c r="E784">
        <v>510000</v>
      </c>
      <c r="F784" t="s">
        <v>85</v>
      </c>
      <c r="G784">
        <v>1970</v>
      </c>
      <c r="H784">
        <v>3032</v>
      </c>
      <c r="I784" t="s">
        <v>311</v>
      </c>
      <c r="J784">
        <v>62</v>
      </c>
      <c r="K784">
        <v>60062</v>
      </c>
      <c r="L784">
        <v>2654</v>
      </c>
      <c r="M784">
        <v>9</v>
      </c>
      <c r="N784">
        <v>2</v>
      </c>
      <c r="O784">
        <v>1</v>
      </c>
      <c r="P784" t="s">
        <v>18</v>
      </c>
      <c r="Q784">
        <v>4</v>
      </c>
      <c r="R784">
        <v>0</v>
      </c>
      <c r="S784" t="s">
        <v>21</v>
      </c>
      <c r="T784">
        <v>2.5</v>
      </c>
      <c r="U784">
        <v>0</v>
      </c>
    </row>
    <row r="785" spans="1:21" x14ac:dyDescent="0.25">
      <c r="A785">
        <v>9508502</v>
      </c>
      <c r="B785" t="s">
        <v>15</v>
      </c>
      <c r="C785" s="1">
        <v>42887</v>
      </c>
      <c r="D785" s="2">
        <f>YEAR(C785)</f>
        <v>2017</v>
      </c>
      <c r="E785">
        <v>630000</v>
      </c>
      <c r="F785" t="s">
        <v>85</v>
      </c>
      <c r="G785">
        <v>1970</v>
      </c>
      <c r="H785">
        <v>1304</v>
      </c>
      <c r="I785" t="s">
        <v>283</v>
      </c>
      <c r="J785">
        <v>62</v>
      </c>
      <c r="K785">
        <v>60062</v>
      </c>
      <c r="L785">
        <v>2600</v>
      </c>
      <c r="M785">
        <v>9</v>
      </c>
      <c r="N785">
        <v>2</v>
      </c>
      <c r="O785">
        <v>1</v>
      </c>
      <c r="P785" t="s">
        <v>18</v>
      </c>
      <c r="Q785">
        <v>4</v>
      </c>
      <c r="R785">
        <v>0</v>
      </c>
      <c r="S785" t="s">
        <v>21</v>
      </c>
      <c r="T785">
        <v>2</v>
      </c>
      <c r="U785">
        <v>0</v>
      </c>
    </row>
    <row r="786" spans="1:21" x14ac:dyDescent="0.25">
      <c r="A786">
        <v>10051257</v>
      </c>
      <c r="B786" t="s">
        <v>15</v>
      </c>
      <c r="C786" s="1">
        <v>43448</v>
      </c>
      <c r="D786" s="2">
        <f>YEAR(C786)</f>
        <v>2018</v>
      </c>
      <c r="E786">
        <v>450000</v>
      </c>
      <c r="F786" t="s">
        <v>85</v>
      </c>
      <c r="G786">
        <v>1970</v>
      </c>
      <c r="H786">
        <v>270</v>
      </c>
      <c r="I786" t="s">
        <v>335</v>
      </c>
      <c r="J786">
        <v>62</v>
      </c>
      <c r="K786">
        <v>60062</v>
      </c>
      <c r="L786">
        <v>2580</v>
      </c>
      <c r="M786">
        <v>8</v>
      </c>
      <c r="N786">
        <v>2</v>
      </c>
      <c r="O786">
        <v>1</v>
      </c>
      <c r="P786" t="s">
        <v>18</v>
      </c>
      <c r="Q786">
        <v>4</v>
      </c>
      <c r="R786">
        <v>0</v>
      </c>
      <c r="S786" t="s">
        <v>21</v>
      </c>
      <c r="T786">
        <v>2</v>
      </c>
      <c r="U786">
        <v>0</v>
      </c>
    </row>
    <row r="787" spans="1:21" x14ac:dyDescent="0.25">
      <c r="A787">
        <v>9588654</v>
      </c>
      <c r="B787" t="s">
        <v>15</v>
      </c>
      <c r="C787" s="1">
        <v>43049</v>
      </c>
      <c r="D787" s="2">
        <f>YEAR(C787)</f>
        <v>2017</v>
      </c>
      <c r="E787">
        <v>525000</v>
      </c>
      <c r="F787" t="s">
        <v>85</v>
      </c>
      <c r="G787">
        <v>1970</v>
      </c>
      <c r="H787">
        <v>4025</v>
      </c>
      <c r="I787" t="s">
        <v>302</v>
      </c>
      <c r="J787">
        <v>62</v>
      </c>
      <c r="K787">
        <v>60062</v>
      </c>
      <c r="L787">
        <v>2534</v>
      </c>
      <c r="M787">
        <v>8</v>
      </c>
      <c r="N787">
        <v>2</v>
      </c>
      <c r="O787">
        <v>1</v>
      </c>
      <c r="P787" t="s">
        <v>18</v>
      </c>
      <c r="Q787">
        <v>4</v>
      </c>
      <c r="R787">
        <v>0</v>
      </c>
      <c r="S787" t="s">
        <v>21</v>
      </c>
      <c r="T787">
        <v>2</v>
      </c>
      <c r="U787">
        <v>0</v>
      </c>
    </row>
    <row r="788" spans="1:21" x14ac:dyDescent="0.25">
      <c r="A788">
        <v>9939019</v>
      </c>
      <c r="B788" t="s">
        <v>15</v>
      </c>
      <c r="C788" s="1">
        <v>43433</v>
      </c>
      <c r="D788" s="2">
        <f>YEAR(C788)</f>
        <v>2018</v>
      </c>
      <c r="E788">
        <v>515000</v>
      </c>
      <c r="F788" t="s">
        <v>85</v>
      </c>
      <c r="G788">
        <v>1970</v>
      </c>
      <c r="H788">
        <v>1100</v>
      </c>
      <c r="I788" t="s">
        <v>332</v>
      </c>
      <c r="J788">
        <v>62</v>
      </c>
      <c r="K788">
        <v>60062</v>
      </c>
      <c r="L788">
        <v>2504</v>
      </c>
      <c r="M788">
        <v>9</v>
      </c>
      <c r="N788">
        <v>2</v>
      </c>
      <c r="O788">
        <v>1</v>
      </c>
      <c r="P788" t="s">
        <v>18</v>
      </c>
      <c r="Q788">
        <v>4</v>
      </c>
      <c r="R788">
        <v>0</v>
      </c>
      <c r="S788" t="s">
        <v>21</v>
      </c>
      <c r="T788">
        <v>2</v>
      </c>
      <c r="U788">
        <v>0</v>
      </c>
    </row>
    <row r="789" spans="1:21" x14ac:dyDescent="0.25">
      <c r="A789">
        <v>9599999</v>
      </c>
      <c r="B789" t="s">
        <v>15</v>
      </c>
      <c r="C789" s="1">
        <v>42916</v>
      </c>
      <c r="D789" s="2">
        <f>YEAR(C789)</f>
        <v>2017</v>
      </c>
      <c r="E789">
        <v>569000</v>
      </c>
      <c r="F789" t="s">
        <v>85</v>
      </c>
      <c r="G789">
        <v>1970</v>
      </c>
      <c r="H789">
        <v>3413</v>
      </c>
      <c r="I789" t="s">
        <v>326</v>
      </c>
      <c r="J789">
        <v>62</v>
      </c>
      <c r="K789">
        <v>60062</v>
      </c>
      <c r="L789">
        <v>2504</v>
      </c>
      <c r="M789">
        <v>8</v>
      </c>
      <c r="N789">
        <v>2</v>
      </c>
      <c r="O789">
        <v>1</v>
      </c>
      <c r="P789" t="s">
        <v>18</v>
      </c>
      <c r="Q789">
        <v>4</v>
      </c>
      <c r="R789">
        <v>0</v>
      </c>
      <c r="S789" t="s">
        <v>21</v>
      </c>
      <c r="T789">
        <v>2</v>
      </c>
      <c r="U789">
        <v>0</v>
      </c>
    </row>
    <row r="790" spans="1:21" x14ac:dyDescent="0.25">
      <c r="A790">
        <v>10071448</v>
      </c>
      <c r="B790" t="s">
        <v>15</v>
      </c>
      <c r="C790" s="1">
        <v>43444</v>
      </c>
      <c r="D790" s="2">
        <f>YEAR(C790)</f>
        <v>2018</v>
      </c>
      <c r="E790">
        <v>540000</v>
      </c>
      <c r="F790" t="s">
        <v>85</v>
      </c>
      <c r="G790">
        <v>1970</v>
      </c>
      <c r="H790">
        <v>2610</v>
      </c>
      <c r="I790" t="s">
        <v>346</v>
      </c>
      <c r="J790">
        <v>62</v>
      </c>
      <c r="K790">
        <v>60062</v>
      </c>
      <c r="L790">
        <v>2500</v>
      </c>
      <c r="M790">
        <v>8</v>
      </c>
      <c r="N790">
        <v>2</v>
      </c>
      <c r="O790">
        <v>1</v>
      </c>
      <c r="P790" t="s">
        <v>18</v>
      </c>
      <c r="Q790">
        <v>4</v>
      </c>
      <c r="R790">
        <v>0</v>
      </c>
      <c r="S790" t="s">
        <v>21</v>
      </c>
      <c r="T790">
        <v>2</v>
      </c>
      <c r="U790">
        <v>0</v>
      </c>
    </row>
    <row r="791" spans="1:21" x14ac:dyDescent="0.25">
      <c r="A791">
        <v>9570758</v>
      </c>
      <c r="B791" t="s">
        <v>15</v>
      </c>
      <c r="C791" s="1">
        <v>42853</v>
      </c>
      <c r="D791" s="2">
        <f>YEAR(C791)</f>
        <v>2017</v>
      </c>
      <c r="E791">
        <v>527000</v>
      </c>
      <c r="F791" t="s">
        <v>85</v>
      </c>
      <c r="G791">
        <v>1970</v>
      </c>
      <c r="H791">
        <v>2314</v>
      </c>
      <c r="I791" t="s">
        <v>347</v>
      </c>
      <c r="J791">
        <v>62</v>
      </c>
      <c r="K791">
        <v>60062</v>
      </c>
      <c r="L791">
        <v>2496</v>
      </c>
      <c r="M791">
        <v>10</v>
      </c>
      <c r="N791">
        <v>2</v>
      </c>
      <c r="O791">
        <v>1</v>
      </c>
      <c r="P791" t="s">
        <v>18</v>
      </c>
      <c r="Q791">
        <v>4</v>
      </c>
      <c r="R791">
        <v>0</v>
      </c>
      <c r="S791" t="s">
        <v>21</v>
      </c>
      <c r="T791">
        <v>2</v>
      </c>
      <c r="U791">
        <v>0</v>
      </c>
    </row>
    <row r="792" spans="1:21" x14ac:dyDescent="0.25">
      <c r="A792">
        <v>10004762</v>
      </c>
      <c r="B792" t="s">
        <v>15</v>
      </c>
      <c r="C792" s="1">
        <v>43314</v>
      </c>
      <c r="D792" s="2">
        <f>YEAR(C792)</f>
        <v>2018</v>
      </c>
      <c r="E792">
        <v>466750</v>
      </c>
      <c r="F792" t="s">
        <v>85</v>
      </c>
      <c r="G792">
        <v>1970</v>
      </c>
      <c r="H792">
        <v>2045</v>
      </c>
      <c r="I792" t="s">
        <v>318</v>
      </c>
      <c r="J792">
        <v>62</v>
      </c>
      <c r="K792">
        <v>60062</v>
      </c>
      <c r="L792">
        <v>2477</v>
      </c>
      <c r="M792">
        <v>8</v>
      </c>
      <c r="N792">
        <v>2</v>
      </c>
      <c r="O792">
        <v>1</v>
      </c>
      <c r="P792" t="s">
        <v>18</v>
      </c>
      <c r="Q792">
        <v>4</v>
      </c>
      <c r="R792">
        <v>0</v>
      </c>
      <c r="S792" t="s">
        <v>21</v>
      </c>
      <c r="T792">
        <v>2</v>
      </c>
      <c r="U792">
        <v>0</v>
      </c>
    </row>
    <row r="793" spans="1:21" x14ac:dyDescent="0.25">
      <c r="A793">
        <v>9939958</v>
      </c>
      <c r="B793" t="s">
        <v>15</v>
      </c>
      <c r="C793" s="1">
        <v>43371</v>
      </c>
      <c r="D793" s="2">
        <f>YEAR(C793)</f>
        <v>2018</v>
      </c>
      <c r="E793">
        <v>555000</v>
      </c>
      <c r="F793" t="s">
        <v>85</v>
      </c>
      <c r="G793">
        <v>1970</v>
      </c>
      <c r="H793">
        <v>3410</v>
      </c>
      <c r="I793" t="s">
        <v>326</v>
      </c>
      <c r="J793">
        <v>62</v>
      </c>
      <c r="K793">
        <v>60062</v>
      </c>
      <c r="L793">
        <v>2443</v>
      </c>
      <c r="M793">
        <v>10</v>
      </c>
      <c r="N793">
        <v>2</v>
      </c>
      <c r="O793">
        <v>1</v>
      </c>
      <c r="P793" t="s">
        <v>18</v>
      </c>
      <c r="Q793">
        <v>5</v>
      </c>
      <c r="R793">
        <v>0</v>
      </c>
      <c r="S793" t="s">
        <v>21</v>
      </c>
      <c r="T793">
        <v>2</v>
      </c>
      <c r="U793">
        <v>0</v>
      </c>
    </row>
    <row r="794" spans="1:21" x14ac:dyDescent="0.25">
      <c r="A794">
        <v>10120171</v>
      </c>
      <c r="B794" t="s">
        <v>15</v>
      </c>
      <c r="C794" s="1">
        <v>43397</v>
      </c>
      <c r="D794" s="2">
        <f>YEAR(C794)</f>
        <v>2018</v>
      </c>
      <c r="E794">
        <v>777500</v>
      </c>
      <c r="F794" t="s">
        <v>85</v>
      </c>
      <c r="G794">
        <v>1970</v>
      </c>
      <c r="H794">
        <v>1309</v>
      </c>
      <c r="I794" t="s">
        <v>348</v>
      </c>
      <c r="J794">
        <v>62</v>
      </c>
      <c r="K794">
        <v>60062</v>
      </c>
      <c r="L794">
        <v>2412</v>
      </c>
      <c r="M794">
        <v>9</v>
      </c>
      <c r="N794">
        <v>2</v>
      </c>
      <c r="O794">
        <v>1</v>
      </c>
      <c r="P794" t="s">
        <v>18</v>
      </c>
      <c r="Q794">
        <v>4</v>
      </c>
      <c r="R794">
        <v>0</v>
      </c>
      <c r="S794" t="s">
        <v>21</v>
      </c>
      <c r="T794">
        <v>2</v>
      </c>
      <c r="U794">
        <v>0</v>
      </c>
    </row>
    <row r="795" spans="1:21" x14ac:dyDescent="0.25">
      <c r="A795">
        <v>9801492</v>
      </c>
      <c r="B795" t="s">
        <v>15</v>
      </c>
      <c r="C795" s="1">
        <v>43133</v>
      </c>
      <c r="D795" s="2">
        <f>YEAR(C795)</f>
        <v>2018</v>
      </c>
      <c r="E795">
        <v>456500</v>
      </c>
      <c r="F795" t="s">
        <v>85</v>
      </c>
      <c r="G795">
        <v>1970</v>
      </c>
      <c r="H795">
        <v>1146</v>
      </c>
      <c r="I795" t="s">
        <v>334</v>
      </c>
      <c r="J795">
        <v>62</v>
      </c>
      <c r="K795">
        <v>60062</v>
      </c>
      <c r="L795">
        <v>2351</v>
      </c>
      <c r="M795">
        <v>8</v>
      </c>
      <c r="N795">
        <v>2</v>
      </c>
      <c r="O795">
        <v>1</v>
      </c>
      <c r="P795" t="s">
        <v>18</v>
      </c>
      <c r="Q795">
        <v>4</v>
      </c>
      <c r="R795">
        <v>0</v>
      </c>
      <c r="S795" t="s">
        <v>21</v>
      </c>
      <c r="T795">
        <v>2</v>
      </c>
      <c r="U795">
        <v>0</v>
      </c>
    </row>
    <row r="796" spans="1:21" x14ac:dyDescent="0.25">
      <c r="A796">
        <v>9599311</v>
      </c>
      <c r="B796" t="s">
        <v>15</v>
      </c>
      <c r="C796" s="1">
        <v>42902</v>
      </c>
      <c r="D796" s="2">
        <f>YEAR(C796)</f>
        <v>2017</v>
      </c>
      <c r="E796">
        <v>599000</v>
      </c>
      <c r="F796" t="s">
        <v>85</v>
      </c>
      <c r="G796">
        <v>1970</v>
      </c>
      <c r="H796">
        <v>3437</v>
      </c>
      <c r="I796" t="s">
        <v>349</v>
      </c>
      <c r="J796">
        <v>62</v>
      </c>
      <c r="K796">
        <v>60062</v>
      </c>
      <c r="L796">
        <v>2308</v>
      </c>
      <c r="M796">
        <v>9</v>
      </c>
      <c r="N796">
        <v>2</v>
      </c>
      <c r="O796">
        <v>1</v>
      </c>
      <c r="P796" t="s">
        <v>18</v>
      </c>
      <c r="Q796">
        <v>4</v>
      </c>
      <c r="R796">
        <v>0</v>
      </c>
      <c r="S796" t="s">
        <v>21</v>
      </c>
      <c r="T796">
        <v>2</v>
      </c>
      <c r="U796">
        <v>0</v>
      </c>
    </row>
    <row r="797" spans="1:21" x14ac:dyDescent="0.25">
      <c r="A797">
        <v>9569539</v>
      </c>
      <c r="B797" t="s">
        <v>15</v>
      </c>
      <c r="C797" s="1">
        <v>42912</v>
      </c>
      <c r="D797" s="2">
        <f>YEAR(C797)</f>
        <v>2017</v>
      </c>
      <c r="E797">
        <v>615000</v>
      </c>
      <c r="F797" t="s">
        <v>85</v>
      </c>
      <c r="G797">
        <v>1970</v>
      </c>
      <c r="H797">
        <v>3842</v>
      </c>
      <c r="I797" t="s">
        <v>41</v>
      </c>
      <c r="J797">
        <v>62</v>
      </c>
      <c r="K797">
        <v>60062</v>
      </c>
      <c r="L797">
        <v>2223</v>
      </c>
      <c r="M797">
        <v>9</v>
      </c>
      <c r="N797">
        <v>2</v>
      </c>
      <c r="O797">
        <v>1</v>
      </c>
      <c r="P797" t="s">
        <v>18</v>
      </c>
      <c r="Q797">
        <v>4</v>
      </c>
      <c r="R797">
        <v>0</v>
      </c>
      <c r="S797" t="s">
        <v>21</v>
      </c>
      <c r="T797">
        <v>2</v>
      </c>
      <c r="U797">
        <v>0</v>
      </c>
    </row>
    <row r="798" spans="1:21" x14ac:dyDescent="0.25">
      <c r="A798">
        <v>10109011</v>
      </c>
      <c r="B798" t="s">
        <v>15</v>
      </c>
      <c r="C798" s="1">
        <v>43517</v>
      </c>
      <c r="D798" s="2">
        <f>YEAR(C798)</f>
        <v>2019</v>
      </c>
      <c r="E798">
        <v>425000</v>
      </c>
      <c r="F798" t="s">
        <v>85</v>
      </c>
      <c r="G798">
        <v>1970</v>
      </c>
      <c r="H798">
        <v>1151</v>
      </c>
      <c r="I798" t="s">
        <v>332</v>
      </c>
      <c r="J798">
        <v>62</v>
      </c>
      <c r="K798">
        <v>60062</v>
      </c>
      <c r="L798">
        <v>2088</v>
      </c>
      <c r="M798">
        <v>10</v>
      </c>
      <c r="N798">
        <v>2</v>
      </c>
      <c r="O798">
        <v>1</v>
      </c>
      <c r="P798" t="s">
        <v>18</v>
      </c>
      <c r="Q798">
        <v>4</v>
      </c>
      <c r="R798">
        <v>0</v>
      </c>
      <c r="S798" t="s">
        <v>21</v>
      </c>
      <c r="T798">
        <v>2</v>
      </c>
      <c r="U798">
        <v>0</v>
      </c>
    </row>
    <row r="799" spans="1:21" x14ac:dyDescent="0.25">
      <c r="A799">
        <v>9513153</v>
      </c>
      <c r="B799" t="s">
        <v>15</v>
      </c>
      <c r="C799" s="1">
        <v>42934</v>
      </c>
      <c r="D799" s="2">
        <f>YEAR(C799)</f>
        <v>2017</v>
      </c>
      <c r="E799">
        <v>412000</v>
      </c>
      <c r="F799" t="s">
        <v>85</v>
      </c>
      <c r="G799">
        <v>1970</v>
      </c>
      <c r="H799">
        <v>2333</v>
      </c>
      <c r="I799" t="s">
        <v>347</v>
      </c>
      <c r="J799">
        <v>62</v>
      </c>
      <c r="K799">
        <v>60062</v>
      </c>
      <c r="L799">
        <v>1965</v>
      </c>
      <c r="M799">
        <v>9</v>
      </c>
      <c r="N799">
        <v>2</v>
      </c>
      <c r="O799">
        <v>1</v>
      </c>
      <c r="P799" t="s">
        <v>18</v>
      </c>
      <c r="Q799">
        <v>3</v>
      </c>
      <c r="R799">
        <v>1</v>
      </c>
      <c r="S799" t="s">
        <v>21</v>
      </c>
      <c r="T799">
        <v>2</v>
      </c>
      <c r="U799">
        <v>0</v>
      </c>
    </row>
    <row r="800" spans="1:21" x14ac:dyDescent="0.25">
      <c r="A800">
        <v>9590138</v>
      </c>
      <c r="B800" t="s">
        <v>15</v>
      </c>
      <c r="C800" s="1">
        <v>42902</v>
      </c>
      <c r="D800" s="2">
        <f>YEAR(C800)</f>
        <v>2017</v>
      </c>
      <c r="E800">
        <v>496000</v>
      </c>
      <c r="F800" t="s">
        <v>85</v>
      </c>
      <c r="G800">
        <v>1970</v>
      </c>
      <c r="H800">
        <v>3509</v>
      </c>
      <c r="I800" t="s">
        <v>327</v>
      </c>
      <c r="J800">
        <v>62</v>
      </c>
      <c r="K800">
        <v>60062</v>
      </c>
      <c r="L800">
        <v>1881</v>
      </c>
      <c r="M800">
        <v>9</v>
      </c>
      <c r="N800">
        <v>2</v>
      </c>
      <c r="O800">
        <v>1</v>
      </c>
      <c r="P800" t="s">
        <v>18</v>
      </c>
      <c r="Q800">
        <v>4</v>
      </c>
      <c r="R800">
        <v>0</v>
      </c>
      <c r="S800" t="s">
        <v>21</v>
      </c>
      <c r="T800">
        <v>2.5</v>
      </c>
      <c r="U800">
        <v>0</v>
      </c>
    </row>
    <row r="801" spans="1:21" x14ac:dyDescent="0.25">
      <c r="A801">
        <v>9689779</v>
      </c>
      <c r="B801" t="s">
        <v>15</v>
      </c>
      <c r="C801" s="1">
        <v>43021</v>
      </c>
      <c r="D801" s="2">
        <f>YEAR(C801)</f>
        <v>2017</v>
      </c>
      <c r="E801">
        <v>313000</v>
      </c>
      <c r="F801" t="s">
        <v>85</v>
      </c>
      <c r="G801">
        <v>1971</v>
      </c>
      <c r="H801">
        <v>9622</v>
      </c>
      <c r="I801" t="s">
        <v>112</v>
      </c>
      <c r="J801">
        <v>76</v>
      </c>
      <c r="K801">
        <v>60076</v>
      </c>
      <c r="L801">
        <v>1526</v>
      </c>
      <c r="M801">
        <v>7</v>
      </c>
      <c r="N801">
        <v>1</v>
      </c>
      <c r="O801">
        <v>1</v>
      </c>
      <c r="P801" t="s">
        <v>18</v>
      </c>
      <c r="Q801">
        <v>3</v>
      </c>
      <c r="R801">
        <v>0</v>
      </c>
      <c r="S801" t="s">
        <v>21</v>
      </c>
      <c r="T801">
        <v>1</v>
      </c>
      <c r="U801">
        <v>0</v>
      </c>
    </row>
    <row r="802" spans="1:21" x14ac:dyDescent="0.25">
      <c r="A802">
        <v>9880914</v>
      </c>
      <c r="B802" t="s">
        <v>15</v>
      </c>
      <c r="C802" s="1">
        <v>43279</v>
      </c>
      <c r="D802" s="2">
        <f>YEAR(C802)</f>
        <v>2018</v>
      </c>
      <c r="E802">
        <v>650000</v>
      </c>
      <c r="F802" t="s">
        <v>85</v>
      </c>
      <c r="G802">
        <v>1971</v>
      </c>
      <c r="H802">
        <v>628</v>
      </c>
      <c r="I802" t="s">
        <v>350</v>
      </c>
      <c r="J802">
        <v>62</v>
      </c>
      <c r="K802">
        <v>60062</v>
      </c>
      <c r="L802">
        <v>3481</v>
      </c>
      <c r="M802">
        <v>11</v>
      </c>
      <c r="N802">
        <v>2</v>
      </c>
      <c r="O802">
        <v>1</v>
      </c>
      <c r="P802" t="s">
        <v>18</v>
      </c>
      <c r="Q802">
        <v>5</v>
      </c>
      <c r="R802">
        <v>1</v>
      </c>
      <c r="S802" t="s">
        <v>21</v>
      </c>
      <c r="T802">
        <v>2.5</v>
      </c>
      <c r="U802">
        <v>0</v>
      </c>
    </row>
    <row r="803" spans="1:21" x14ac:dyDescent="0.25">
      <c r="A803">
        <v>9994535</v>
      </c>
      <c r="B803" t="s">
        <v>15</v>
      </c>
      <c r="C803" s="1">
        <v>43418</v>
      </c>
      <c r="D803" s="2">
        <f>YEAR(C803)</f>
        <v>2018</v>
      </c>
      <c r="E803">
        <v>535000</v>
      </c>
      <c r="F803" t="s">
        <v>85</v>
      </c>
      <c r="G803">
        <v>1971</v>
      </c>
      <c r="H803">
        <v>855</v>
      </c>
      <c r="I803" t="s">
        <v>351</v>
      </c>
      <c r="J803">
        <v>62</v>
      </c>
      <c r="K803">
        <v>60062</v>
      </c>
      <c r="L803">
        <v>3422</v>
      </c>
      <c r="M803">
        <v>10</v>
      </c>
      <c r="N803">
        <v>3</v>
      </c>
      <c r="O803">
        <v>1</v>
      </c>
      <c r="P803" t="s">
        <v>18</v>
      </c>
      <c r="Q803">
        <v>5</v>
      </c>
      <c r="R803">
        <v>0</v>
      </c>
      <c r="S803" t="s">
        <v>21</v>
      </c>
      <c r="T803">
        <v>2.5</v>
      </c>
      <c r="U803">
        <v>0</v>
      </c>
    </row>
    <row r="804" spans="1:21" x14ac:dyDescent="0.25">
      <c r="A804">
        <v>9953533</v>
      </c>
      <c r="B804" t="s">
        <v>15</v>
      </c>
      <c r="C804" s="1">
        <v>43424</v>
      </c>
      <c r="D804" s="2">
        <f>YEAR(C804)</f>
        <v>2018</v>
      </c>
      <c r="E804">
        <v>600000</v>
      </c>
      <c r="F804" t="s">
        <v>85</v>
      </c>
      <c r="G804">
        <v>1971</v>
      </c>
      <c r="H804">
        <v>3715</v>
      </c>
      <c r="I804" t="s">
        <v>41</v>
      </c>
      <c r="J804">
        <v>62</v>
      </c>
      <c r="K804">
        <v>60062</v>
      </c>
      <c r="L804">
        <v>3154</v>
      </c>
      <c r="M804">
        <v>8</v>
      </c>
      <c r="N804">
        <v>2</v>
      </c>
      <c r="O804">
        <v>1</v>
      </c>
      <c r="P804" t="s">
        <v>18</v>
      </c>
      <c r="Q804">
        <v>4</v>
      </c>
      <c r="R804">
        <v>0</v>
      </c>
      <c r="S804" t="s">
        <v>21</v>
      </c>
      <c r="T804">
        <v>3</v>
      </c>
      <c r="U804">
        <v>0</v>
      </c>
    </row>
    <row r="805" spans="1:21" x14ac:dyDescent="0.25">
      <c r="A805">
        <v>9521853</v>
      </c>
      <c r="B805" t="s">
        <v>15</v>
      </c>
      <c r="C805" s="1">
        <v>42853</v>
      </c>
      <c r="D805" s="2">
        <f>YEAR(C805)</f>
        <v>2017</v>
      </c>
      <c r="E805">
        <v>499000</v>
      </c>
      <c r="F805" t="s">
        <v>85</v>
      </c>
      <c r="G805">
        <v>1971</v>
      </c>
      <c r="H805">
        <v>3619</v>
      </c>
      <c r="I805" t="s">
        <v>41</v>
      </c>
      <c r="J805">
        <v>62</v>
      </c>
      <c r="K805">
        <v>60062</v>
      </c>
      <c r="L805">
        <v>3005</v>
      </c>
      <c r="M805">
        <v>8</v>
      </c>
      <c r="N805">
        <v>2</v>
      </c>
      <c r="O805">
        <v>1</v>
      </c>
      <c r="P805" t="s">
        <v>18</v>
      </c>
      <c r="Q805">
        <v>4</v>
      </c>
      <c r="R805">
        <v>0</v>
      </c>
      <c r="S805" t="s">
        <v>21</v>
      </c>
      <c r="T805">
        <v>2</v>
      </c>
      <c r="U805">
        <v>0</v>
      </c>
    </row>
    <row r="806" spans="1:21" x14ac:dyDescent="0.25">
      <c r="A806">
        <v>9767989</v>
      </c>
      <c r="B806" t="s">
        <v>15</v>
      </c>
      <c r="C806" s="1">
        <v>43116</v>
      </c>
      <c r="D806" s="2">
        <f>YEAR(C806)</f>
        <v>2018</v>
      </c>
      <c r="E806">
        <v>475000</v>
      </c>
      <c r="F806" t="s">
        <v>85</v>
      </c>
      <c r="G806">
        <v>1971</v>
      </c>
      <c r="H806">
        <v>3633</v>
      </c>
      <c r="I806" t="s">
        <v>41</v>
      </c>
      <c r="J806">
        <v>62</v>
      </c>
      <c r="K806">
        <v>60062</v>
      </c>
      <c r="L806">
        <v>2994</v>
      </c>
      <c r="M806">
        <v>10</v>
      </c>
      <c r="N806">
        <v>2</v>
      </c>
      <c r="O806">
        <v>1</v>
      </c>
      <c r="P806" t="s">
        <v>18</v>
      </c>
      <c r="Q806">
        <v>4</v>
      </c>
      <c r="R806">
        <v>0</v>
      </c>
      <c r="S806" t="s">
        <v>21</v>
      </c>
      <c r="T806">
        <v>2</v>
      </c>
      <c r="U806">
        <v>0</v>
      </c>
    </row>
    <row r="807" spans="1:21" x14ac:dyDescent="0.25">
      <c r="A807">
        <v>9675270</v>
      </c>
      <c r="B807" t="s">
        <v>15</v>
      </c>
      <c r="C807" s="1">
        <v>43040</v>
      </c>
      <c r="D807" s="2">
        <f>YEAR(C807)</f>
        <v>2017</v>
      </c>
      <c r="E807">
        <v>607500</v>
      </c>
      <c r="F807" t="s">
        <v>85</v>
      </c>
      <c r="G807">
        <v>1971</v>
      </c>
      <c r="H807">
        <v>1331</v>
      </c>
      <c r="I807" t="s">
        <v>282</v>
      </c>
      <c r="J807">
        <v>62</v>
      </c>
      <c r="K807">
        <v>60062</v>
      </c>
      <c r="L807">
        <v>2896</v>
      </c>
      <c r="M807">
        <v>10</v>
      </c>
      <c r="N807">
        <v>2</v>
      </c>
      <c r="O807">
        <v>1</v>
      </c>
      <c r="P807" t="s">
        <v>18</v>
      </c>
      <c r="Q807">
        <v>4</v>
      </c>
      <c r="R807">
        <v>0</v>
      </c>
      <c r="S807" t="s">
        <v>21</v>
      </c>
      <c r="T807">
        <v>2</v>
      </c>
      <c r="U807">
        <v>0</v>
      </c>
    </row>
    <row r="808" spans="1:21" x14ac:dyDescent="0.25">
      <c r="A808">
        <v>9665998</v>
      </c>
      <c r="B808" t="s">
        <v>15</v>
      </c>
      <c r="C808" s="1">
        <v>42993</v>
      </c>
      <c r="D808" s="2">
        <f>YEAR(C808)</f>
        <v>2017</v>
      </c>
      <c r="E808">
        <v>705000</v>
      </c>
      <c r="F808" t="s">
        <v>85</v>
      </c>
      <c r="G808">
        <v>1971</v>
      </c>
      <c r="H808">
        <v>4030</v>
      </c>
      <c r="I808" t="s">
        <v>328</v>
      </c>
      <c r="J808">
        <v>62</v>
      </c>
      <c r="K808">
        <v>60062</v>
      </c>
      <c r="L808">
        <v>2876</v>
      </c>
      <c r="M808">
        <v>11</v>
      </c>
      <c r="N808">
        <v>2</v>
      </c>
      <c r="O808">
        <v>1</v>
      </c>
      <c r="P808" t="s">
        <v>18</v>
      </c>
      <c r="Q808">
        <v>4</v>
      </c>
      <c r="R808">
        <v>1</v>
      </c>
      <c r="S808" t="s">
        <v>21</v>
      </c>
      <c r="T808">
        <v>2</v>
      </c>
      <c r="U808">
        <v>0</v>
      </c>
    </row>
    <row r="809" spans="1:21" x14ac:dyDescent="0.25">
      <c r="A809">
        <v>9570031</v>
      </c>
      <c r="B809" t="s">
        <v>15</v>
      </c>
      <c r="C809" s="1">
        <v>43011</v>
      </c>
      <c r="D809" s="2">
        <f>YEAR(C809)</f>
        <v>2017</v>
      </c>
      <c r="E809">
        <v>525000</v>
      </c>
      <c r="F809" t="s">
        <v>85</v>
      </c>
      <c r="G809">
        <v>1971</v>
      </c>
      <c r="H809">
        <v>262</v>
      </c>
      <c r="I809" t="s">
        <v>335</v>
      </c>
      <c r="J809">
        <v>62</v>
      </c>
      <c r="K809">
        <v>60062</v>
      </c>
      <c r="L809">
        <v>2796</v>
      </c>
      <c r="M809">
        <v>11</v>
      </c>
      <c r="N809">
        <v>2</v>
      </c>
      <c r="O809">
        <v>1</v>
      </c>
      <c r="P809" t="s">
        <v>18</v>
      </c>
      <c r="Q809">
        <v>4</v>
      </c>
      <c r="R809">
        <v>0</v>
      </c>
      <c r="S809" t="s">
        <v>21</v>
      </c>
      <c r="T809">
        <v>2</v>
      </c>
      <c r="U809">
        <v>0</v>
      </c>
    </row>
    <row r="810" spans="1:21" x14ac:dyDescent="0.25">
      <c r="A810">
        <v>9931254</v>
      </c>
      <c r="B810" t="s">
        <v>15</v>
      </c>
      <c r="C810" s="1">
        <v>43367</v>
      </c>
      <c r="D810" s="2">
        <f>YEAR(C810)</f>
        <v>2018</v>
      </c>
      <c r="E810">
        <v>605000</v>
      </c>
      <c r="F810" t="s">
        <v>85</v>
      </c>
      <c r="G810">
        <v>1971</v>
      </c>
      <c r="H810">
        <v>530</v>
      </c>
      <c r="I810" t="s">
        <v>352</v>
      </c>
      <c r="J810">
        <v>62</v>
      </c>
      <c r="K810">
        <v>60062</v>
      </c>
      <c r="L810">
        <v>2700</v>
      </c>
      <c r="M810">
        <v>10</v>
      </c>
      <c r="N810">
        <v>2</v>
      </c>
      <c r="O810">
        <v>1</v>
      </c>
      <c r="P810" t="s">
        <v>18</v>
      </c>
      <c r="Q810">
        <v>4</v>
      </c>
      <c r="R810">
        <v>0</v>
      </c>
      <c r="S810" t="s">
        <v>21</v>
      </c>
      <c r="T810">
        <v>2</v>
      </c>
      <c r="U810">
        <v>0</v>
      </c>
    </row>
    <row r="811" spans="1:21" x14ac:dyDescent="0.25">
      <c r="A811">
        <v>10044171</v>
      </c>
      <c r="B811" t="s">
        <v>15</v>
      </c>
      <c r="C811" s="1">
        <v>43430</v>
      </c>
      <c r="D811" s="2">
        <f>YEAR(C811)</f>
        <v>2018</v>
      </c>
      <c r="E811">
        <v>596000</v>
      </c>
      <c r="F811" t="s">
        <v>85</v>
      </c>
      <c r="G811">
        <v>1971</v>
      </c>
      <c r="H811">
        <v>3204</v>
      </c>
      <c r="I811" t="s">
        <v>327</v>
      </c>
      <c r="J811">
        <v>62</v>
      </c>
      <c r="K811">
        <v>60062</v>
      </c>
      <c r="L811">
        <v>2414</v>
      </c>
      <c r="M811">
        <v>8</v>
      </c>
      <c r="N811">
        <v>2</v>
      </c>
      <c r="O811">
        <v>1</v>
      </c>
      <c r="P811" t="s">
        <v>18</v>
      </c>
      <c r="Q811">
        <v>4</v>
      </c>
      <c r="R811">
        <v>0</v>
      </c>
      <c r="S811" t="s">
        <v>21</v>
      </c>
      <c r="T811">
        <v>2</v>
      </c>
      <c r="U811">
        <v>0</v>
      </c>
    </row>
    <row r="812" spans="1:21" x14ac:dyDescent="0.25">
      <c r="A812">
        <v>9501313</v>
      </c>
      <c r="B812" t="s">
        <v>15</v>
      </c>
      <c r="C812" s="1">
        <v>42870</v>
      </c>
      <c r="D812" s="2">
        <f>YEAR(C812)</f>
        <v>2017</v>
      </c>
      <c r="E812">
        <v>435000</v>
      </c>
      <c r="F812" t="s">
        <v>85</v>
      </c>
      <c r="G812">
        <v>1971</v>
      </c>
      <c r="H812">
        <v>4035</v>
      </c>
      <c r="I812" t="s">
        <v>303</v>
      </c>
      <c r="J812">
        <v>62</v>
      </c>
      <c r="K812">
        <v>60062</v>
      </c>
      <c r="L812">
        <v>2281</v>
      </c>
      <c r="M812">
        <v>8</v>
      </c>
      <c r="N812">
        <v>2</v>
      </c>
      <c r="O812">
        <v>0</v>
      </c>
      <c r="P812" t="s">
        <v>18</v>
      </c>
      <c r="Q812">
        <v>3</v>
      </c>
      <c r="R812">
        <v>0</v>
      </c>
      <c r="S812" t="s">
        <v>21</v>
      </c>
      <c r="T812">
        <v>2.5</v>
      </c>
      <c r="U812">
        <v>0</v>
      </c>
    </row>
    <row r="813" spans="1:21" x14ac:dyDescent="0.25">
      <c r="A813">
        <v>9631393</v>
      </c>
      <c r="B813" t="s">
        <v>15</v>
      </c>
      <c r="C813" s="1">
        <v>42948</v>
      </c>
      <c r="D813" s="2">
        <f>YEAR(C813)</f>
        <v>2017</v>
      </c>
      <c r="E813">
        <v>570000</v>
      </c>
      <c r="F813" t="s">
        <v>85</v>
      </c>
      <c r="G813">
        <v>1971</v>
      </c>
      <c r="H813">
        <v>401</v>
      </c>
      <c r="I813" t="s">
        <v>353</v>
      </c>
      <c r="J813">
        <v>62</v>
      </c>
      <c r="K813">
        <v>60062</v>
      </c>
      <c r="L813">
        <v>2166</v>
      </c>
      <c r="M813">
        <v>9</v>
      </c>
      <c r="N813">
        <v>2</v>
      </c>
      <c r="O813">
        <v>1</v>
      </c>
      <c r="P813" t="s">
        <v>18</v>
      </c>
      <c r="Q813">
        <v>4</v>
      </c>
      <c r="R813">
        <v>0</v>
      </c>
      <c r="S813" t="s">
        <v>21</v>
      </c>
      <c r="T813">
        <v>2</v>
      </c>
      <c r="U813">
        <v>0</v>
      </c>
    </row>
    <row r="814" spans="1:21" x14ac:dyDescent="0.25">
      <c r="A814">
        <v>10072292</v>
      </c>
      <c r="B814" t="s">
        <v>15</v>
      </c>
      <c r="C814" s="1">
        <v>43425</v>
      </c>
      <c r="D814" s="2">
        <f>YEAR(C814)</f>
        <v>2018</v>
      </c>
      <c r="E814">
        <v>575000</v>
      </c>
      <c r="F814" t="s">
        <v>85</v>
      </c>
      <c r="G814">
        <v>1971</v>
      </c>
      <c r="H814">
        <v>4025</v>
      </c>
      <c r="I814" t="s">
        <v>325</v>
      </c>
      <c r="J814">
        <v>62</v>
      </c>
      <c r="K814">
        <v>60062</v>
      </c>
      <c r="L814">
        <v>2074</v>
      </c>
      <c r="M814">
        <v>10</v>
      </c>
      <c r="N814">
        <v>2</v>
      </c>
      <c r="O814">
        <v>1</v>
      </c>
      <c r="P814" t="s">
        <v>18</v>
      </c>
      <c r="Q814">
        <v>4</v>
      </c>
      <c r="R814">
        <v>0</v>
      </c>
      <c r="S814" t="s">
        <v>21</v>
      </c>
      <c r="T814">
        <v>2</v>
      </c>
      <c r="U814">
        <v>0</v>
      </c>
    </row>
    <row r="815" spans="1:21" x14ac:dyDescent="0.25">
      <c r="A815">
        <v>9631124</v>
      </c>
      <c r="B815" t="s">
        <v>15</v>
      </c>
      <c r="C815" s="1">
        <v>42948</v>
      </c>
      <c r="D815" s="2">
        <f>YEAR(C815)</f>
        <v>2017</v>
      </c>
      <c r="E815">
        <v>510000</v>
      </c>
      <c r="F815" t="s">
        <v>85</v>
      </c>
      <c r="G815">
        <v>1971</v>
      </c>
      <c r="H815">
        <v>3549</v>
      </c>
      <c r="I815" t="s">
        <v>327</v>
      </c>
      <c r="J815">
        <v>62</v>
      </c>
      <c r="K815">
        <v>60062</v>
      </c>
      <c r="L815">
        <v>2029</v>
      </c>
      <c r="M815">
        <v>8</v>
      </c>
      <c r="N815">
        <v>2</v>
      </c>
      <c r="O815">
        <v>1</v>
      </c>
      <c r="P815" t="s">
        <v>18</v>
      </c>
      <c r="Q815">
        <v>4</v>
      </c>
      <c r="R815">
        <v>0</v>
      </c>
      <c r="S815" t="s">
        <v>21</v>
      </c>
      <c r="T815">
        <v>2</v>
      </c>
      <c r="U815">
        <v>0</v>
      </c>
    </row>
    <row r="816" spans="1:21" x14ac:dyDescent="0.25">
      <c r="A816">
        <v>9521576</v>
      </c>
      <c r="B816" t="s">
        <v>15</v>
      </c>
      <c r="C816" s="1">
        <v>42885</v>
      </c>
      <c r="D816" s="2">
        <f>YEAR(C816)</f>
        <v>2017</v>
      </c>
      <c r="E816">
        <v>469000</v>
      </c>
      <c r="F816" t="s">
        <v>85</v>
      </c>
      <c r="G816">
        <v>1971</v>
      </c>
      <c r="H816">
        <v>475</v>
      </c>
      <c r="I816" t="s">
        <v>354</v>
      </c>
      <c r="J816">
        <v>62</v>
      </c>
      <c r="K816">
        <v>60062</v>
      </c>
      <c r="L816">
        <v>1748</v>
      </c>
      <c r="M816">
        <v>10</v>
      </c>
      <c r="N816">
        <v>2</v>
      </c>
      <c r="O816">
        <v>1</v>
      </c>
      <c r="P816" t="s">
        <v>18</v>
      </c>
      <c r="Q816">
        <v>4</v>
      </c>
      <c r="R816">
        <v>0</v>
      </c>
      <c r="S816" t="s">
        <v>21</v>
      </c>
      <c r="T816">
        <v>2</v>
      </c>
      <c r="U816">
        <v>0</v>
      </c>
    </row>
    <row r="817" spans="1:21" x14ac:dyDescent="0.25">
      <c r="A817">
        <v>9614346</v>
      </c>
      <c r="B817" t="s">
        <v>15</v>
      </c>
      <c r="C817" s="1">
        <v>42943</v>
      </c>
      <c r="D817" s="2">
        <f>YEAR(C817)</f>
        <v>2017</v>
      </c>
      <c r="E817">
        <v>422500</v>
      </c>
      <c r="F817" t="s">
        <v>85</v>
      </c>
      <c r="G817">
        <v>1972</v>
      </c>
      <c r="H817">
        <v>9439</v>
      </c>
      <c r="I817" t="s">
        <v>355</v>
      </c>
      <c r="J817">
        <v>76</v>
      </c>
      <c r="K817">
        <v>60077</v>
      </c>
      <c r="L817">
        <v>2486</v>
      </c>
      <c r="M817">
        <v>8</v>
      </c>
      <c r="N817">
        <v>2</v>
      </c>
      <c r="O817">
        <v>1</v>
      </c>
      <c r="P817" t="s">
        <v>18</v>
      </c>
      <c r="Q817">
        <v>4</v>
      </c>
      <c r="R817">
        <v>0</v>
      </c>
      <c r="S817" t="s">
        <v>21</v>
      </c>
      <c r="T817">
        <v>2.5</v>
      </c>
      <c r="U817">
        <v>0</v>
      </c>
    </row>
    <row r="818" spans="1:21" x14ac:dyDescent="0.25">
      <c r="A818">
        <v>9371858</v>
      </c>
      <c r="B818" t="s">
        <v>15</v>
      </c>
      <c r="C818" s="1">
        <v>42814</v>
      </c>
      <c r="D818" s="2">
        <f>YEAR(C818)</f>
        <v>2017</v>
      </c>
      <c r="E818">
        <v>1800000</v>
      </c>
      <c r="F818" t="s">
        <v>85</v>
      </c>
      <c r="G818">
        <v>1972</v>
      </c>
      <c r="H818">
        <v>661</v>
      </c>
      <c r="I818" t="s">
        <v>356</v>
      </c>
      <c r="J818">
        <v>62</v>
      </c>
      <c r="K818">
        <v>60062</v>
      </c>
      <c r="L818">
        <v>8090</v>
      </c>
      <c r="M818">
        <v>13</v>
      </c>
      <c r="N818">
        <v>6</v>
      </c>
      <c r="O818">
        <v>1</v>
      </c>
      <c r="P818" t="s">
        <v>18</v>
      </c>
      <c r="Q818">
        <v>6</v>
      </c>
      <c r="R818">
        <v>0</v>
      </c>
      <c r="S818" t="s">
        <v>21</v>
      </c>
      <c r="T818">
        <v>3</v>
      </c>
      <c r="U818">
        <v>0</v>
      </c>
    </row>
    <row r="819" spans="1:21" x14ac:dyDescent="0.25">
      <c r="A819">
        <v>9818753</v>
      </c>
      <c r="B819" t="s">
        <v>15</v>
      </c>
      <c r="C819" s="1">
        <v>43174</v>
      </c>
      <c r="D819" s="2">
        <f>YEAR(C819)</f>
        <v>2018</v>
      </c>
      <c r="E819">
        <v>620000</v>
      </c>
      <c r="F819" t="s">
        <v>85</v>
      </c>
      <c r="G819">
        <v>1972</v>
      </c>
      <c r="H819">
        <v>2569</v>
      </c>
      <c r="I819" t="s">
        <v>357</v>
      </c>
      <c r="J819">
        <v>62</v>
      </c>
      <c r="K819">
        <v>60062</v>
      </c>
      <c r="L819">
        <v>3150</v>
      </c>
      <c r="M819">
        <v>9</v>
      </c>
      <c r="N819">
        <v>2</v>
      </c>
      <c r="O819">
        <v>1</v>
      </c>
      <c r="P819" t="s">
        <v>18</v>
      </c>
      <c r="Q819">
        <v>4</v>
      </c>
      <c r="R819">
        <v>0</v>
      </c>
      <c r="S819" t="s">
        <v>21</v>
      </c>
      <c r="T819">
        <v>2</v>
      </c>
      <c r="U819">
        <v>0</v>
      </c>
    </row>
    <row r="820" spans="1:21" x14ac:dyDescent="0.25">
      <c r="A820">
        <v>9806665</v>
      </c>
      <c r="B820" t="s">
        <v>15</v>
      </c>
      <c r="C820" s="1">
        <v>43117</v>
      </c>
      <c r="D820" s="2">
        <f>YEAR(C820)</f>
        <v>2018</v>
      </c>
      <c r="E820">
        <v>650000</v>
      </c>
      <c r="F820" t="s">
        <v>85</v>
      </c>
      <c r="G820">
        <v>1972</v>
      </c>
      <c r="H820">
        <v>3220</v>
      </c>
      <c r="I820" t="s">
        <v>358</v>
      </c>
      <c r="J820">
        <v>62</v>
      </c>
      <c r="K820">
        <v>60062</v>
      </c>
      <c r="L820">
        <v>3100</v>
      </c>
      <c r="M820">
        <v>9</v>
      </c>
      <c r="N820">
        <v>2</v>
      </c>
      <c r="O820">
        <v>1</v>
      </c>
      <c r="P820" t="s">
        <v>18</v>
      </c>
      <c r="Q820">
        <v>4</v>
      </c>
      <c r="R820">
        <v>0</v>
      </c>
      <c r="S820" t="s">
        <v>21</v>
      </c>
      <c r="T820">
        <v>2</v>
      </c>
      <c r="U820">
        <v>0</v>
      </c>
    </row>
    <row r="821" spans="1:21" x14ac:dyDescent="0.25">
      <c r="A821">
        <v>9902189</v>
      </c>
      <c r="B821" t="s">
        <v>15</v>
      </c>
      <c r="C821" s="1">
        <v>43266</v>
      </c>
      <c r="D821" s="2">
        <f>YEAR(C821)</f>
        <v>2018</v>
      </c>
      <c r="E821">
        <v>735000</v>
      </c>
      <c r="F821" t="s">
        <v>85</v>
      </c>
      <c r="G821">
        <v>1972</v>
      </c>
      <c r="H821">
        <v>2901</v>
      </c>
      <c r="I821" t="s">
        <v>271</v>
      </c>
      <c r="J821">
        <v>62</v>
      </c>
      <c r="K821">
        <v>60062</v>
      </c>
      <c r="L821">
        <v>3100</v>
      </c>
      <c r="M821">
        <v>8</v>
      </c>
      <c r="N821">
        <v>3</v>
      </c>
      <c r="O821">
        <v>1</v>
      </c>
      <c r="P821" t="s">
        <v>18</v>
      </c>
      <c r="Q821">
        <v>4</v>
      </c>
      <c r="R821">
        <v>0</v>
      </c>
      <c r="S821" t="s">
        <v>21</v>
      </c>
      <c r="T821">
        <v>2</v>
      </c>
      <c r="U821">
        <v>0</v>
      </c>
    </row>
    <row r="822" spans="1:21" x14ac:dyDescent="0.25">
      <c r="A822">
        <v>9958162</v>
      </c>
      <c r="B822" t="s">
        <v>15</v>
      </c>
      <c r="C822" s="1">
        <v>43299</v>
      </c>
      <c r="D822" s="2">
        <f>YEAR(C822)</f>
        <v>2018</v>
      </c>
      <c r="E822">
        <v>710000</v>
      </c>
      <c r="F822" t="s">
        <v>85</v>
      </c>
      <c r="G822">
        <v>1972</v>
      </c>
      <c r="H822">
        <v>3627</v>
      </c>
      <c r="I822" t="s">
        <v>325</v>
      </c>
      <c r="J822">
        <v>62</v>
      </c>
      <c r="K822">
        <v>60062</v>
      </c>
      <c r="L822">
        <v>3049</v>
      </c>
      <c r="M822">
        <v>12</v>
      </c>
      <c r="N822">
        <v>2</v>
      </c>
      <c r="O822">
        <v>1</v>
      </c>
      <c r="P822" t="s">
        <v>18</v>
      </c>
      <c r="Q822">
        <v>4</v>
      </c>
      <c r="R822">
        <v>0</v>
      </c>
      <c r="S822" t="s">
        <v>21</v>
      </c>
      <c r="T822">
        <v>3</v>
      </c>
      <c r="U822">
        <v>0</v>
      </c>
    </row>
    <row r="823" spans="1:21" x14ac:dyDescent="0.25">
      <c r="A823">
        <v>9500201</v>
      </c>
      <c r="B823" t="s">
        <v>15</v>
      </c>
      <c r="C823" s="1">
        <v>42852</v>
      </c>
      <c r="D823" s="2">
        <f>YEAR(C823)</f>
        <v>2017</v>
      </c>
      <c r="E823">
        <v>560000</v>
      </c>
      <c r="F823" t="s">
        <v>85</v>
      </c>
      <c r="G823">
        <v>1972</v>
      </c>
      <c r="H823">
        <v>2118</v>
      </c>
      <c r="I823" t="s">
        <v>359</v>
      </c>
      <c r="J823">
        <v>62</v>
      </c>
      <c r="K823">
        <v>60062</v>
      </c>
      <c r="L823">
        <v>3000</v>
      </c>
      <c r="M823">
        <v>9</v>
      </c>
      <c r="N823">
        <v>2</v>
      </c>
      <c r="O823">
        <v>1</v>
      </c>
      <c r="P823" t="s">
        <v>18</v>
      </c>
      <c r="Q823">
        <v>5</v>
      </c>
      <c r="R823">
        <v>0</v>
      </c>
      <c r="S823" t="s">
        <v>21</v>
      </c>
      <c r="T823">
        <v>2.5</v>
      </c>
      <c r="U823">
        <v>0</v>
      </c>
    </row>
    <row r="824" spans="1:21" x14ac:dyDescent="0.25">
      <c r="A824">
        <v>9482166</v>
      </c>
      <c r="B824" t="s">
        <v>15</v>
      </c>
      <c r="C824" s="1">
        <v>42800</v>
      </c>
      <c r="D824" s="2">
        <f>YEAR(C824)</f>
        <v>2017</v>
      </c>
      <c r="E824">
        <v>552500</v>
      </c>
      <c r="F824" t="s">
        <v>85</v>
      </c>
      <c r="G824">
        <v>1972</v>
      </c>
      <c r="H824">
        <v>1326</v>
      </c>
      <c r="I824" t="s">
        <v>360</v>
      </c>
      <c r="J824">
        <v>62</v>
      </c>
      <c r="K824">
        <v>60062</v>
      </c>
      <c r="L824">
        <v>2925</v>
      </c>
      <c r="M824">
        <v>11</v>
      </c>
      <c r="N824">
        <v>2</v>
      </c>
      <c r="O824">
        <v>1</v>
      </c>
      <c r="P824" t="s">
        <v>18</v>
      </c>
      <c r="Q824">
        <v>4</v>
      </c>
      <c r="R824">
        <v>0</v>
      </c>
      <c r="S824" t="s">
        <v>21</v>
      </c>
      <c r="T824">
        <v>2</v>
      </c>
      <c r="U824">
        <v>0</v>
      </c>
    </row>
    <row r="825" spans="1:21" x14ac:dyDescent="0.25">
      <c r="A825">
        <v>10050166</v>
      </c>
      <c r="B825" t="s">
        <v>15</v>
      </c>
      <c r="C825" s="1">
        <v>43413</v>
      </c>
      <c r="D825" s="2">
        <f>YEAR(C825)</f>
        <v>2018</v>
      </c>
      <c r="E825">
        <v>481000</v>
      </c>
      <c r="F825" t="s">
        <v>85</v>
      </c>
      <c r="G825">
        <v>1972</v>
      </c>
      <c r="H825">
        <v>3205</v>
      </c>
      <c r="I825" t="s">
        <v>326</v>
      </c>
      <c r="J825">
        <v>62</v>
      </c>
      <c r="K825">
        <v>60062</v>
      </c>
      <c r="L825">
        <v>2763</v>
      </c>
      <c r="M825">
        <v>10</v>
      </c>
      <c r="N825">
        <v>2</v>
      </c>
      <c r="O825">
        <v>1</v>
      </c>
      <c r="P825" t="s">
        <v>18</v>
      </c>
      <c r="Q825">
        <v>5</v>
      </c>
      <c r="R825">
        <v>0</v>
      </c>
      <c r="S825" t="s">
        <v>21</v>
      </c>
      <c r="T825">
        <v>2</v>
      </c>
      <c r="U825">
        <v>0</v>
      </c>
    </row>
    <row r="826" spans="1:21" x14ac:dyDescent="0.25">
      <c r="A826">
        <v>9610255</v>
      </c>
      <c r="B826" t="s">
        <v>15</v>
      </c>
      <c r="C826" s="1">
        <v>43020</v>
      </c>
      <c r="D826" s="2">
        <f>YEAR(C826)</f>
        <v>2017</v>
      </c>
      <c r="E826">
        <v>480000</v>
      </c>
      <c r="F826" t="s">
        <v>85</v>
      </c>
      <c r="G826">
        <v>1972</v>
      </c>
      <c r="H826">
        <v>3630</v>
      </c>
      <c r="I826" t="s">
        <v>350</v>
      </c>
      <c r="J826">
        <v>62</v>
      </c>
      <c r="K826">
        <v>60062</v>
      </c>
      <c r="L826">
        <v>2628</v>
      </c>
      <c r="M826">
        <v>8</v>
      </c>
      <c r="N826">
        <v>2</v>
      </c>
      <c r="O826">
        <v>1</v>
      </c>
      <c r="P826" t="s">
        <v>18</v>
      </c>
      <c r="Q826">
        <v>4</v>
      </c>
      <c r="R826">
        <v>0</v>
      </c>
      <c r="S826" t="s">
        <v>21</v>
      </c>
      <c r="T826">
        <v>2.5</v>
      </c>
      <c r="U826">
        <v>0</v>
      </c>
    </row>
    <row r="827" spans="1:21" x14ac:dyDescent="0.25">
      <c r="A827">
        <v>9245428</v>
      </c>
      <c r="B827" t="s">
        <v>15</v>
      </c>
      <c r="C827" s="1">
        <v>42842</v>
      </c>
      <c r="D827" s="2">
        <f>YEAR(C827)</f>
        <v>2017</v>
      </c>
      <c r="E827">
        <v>350000</v>
      </c>
      <c r="F827" t="s">
        <v>85</v>
      </c>
      <c r="G827">
        <v>1972</v>
      </c>
      <c r="H827">
        <v>3220</v>
      </c>
      <c r="I827" t="s">
        <v>358</v>
      </c>
      <c r="J827">
        <v>62</v>
      </c>
      <c r="K827">
        <v>60062</v>
      </c>
      <c r="L827">
        <v>2500</v>
      </c>
      <c r="M827">
        <v>8</v>
      </c>
      <c r="N827">
        <v>2</v>
      </c>
      <c r="O827">
        <v>1</v>
      </c>
      <c r="P827" t="s">
        <v>18</v>
      </c>
      <c r="Q827">
        <v>3</v>
      </c>
      <c r="R827">
        <v>0</v>
      </c>
      <c r="S827" t="s">
        <v>21</v>
      </c>
      <c r="T827">
        <v>2</v>
      </c>
      <c r="U827">
        <v>0</v>
      </c>
    </row>
    <row r="828" spans="1:21" x14ac:dyDescent="0.25">
      <c r="A828">
        <v>9946965</v>
      </c>
      <c r="B828" t="s">
        <v>15</v>
      </c>
      <c r="C828" s="1">
        <v>43432</v>
      </c>
      <c r="D828" s="2">
        <f>YEAR(C828)</f>
        <v>2018</v>
      </c>
      <c r="E828">
        <v>485000</v>
      </c>
      <c r="F828" t="s">
        <v>85</v>
      </c>
      <c r="G828">
        <v>1972</v>
      </c>
      <c r="H828">
        <v>2790</v>
      </c>
      <c r="I828" t="s">
        <v>361</v>
      </c>
      <c r="J828">
        <v>62</v>
      </c>
      <c r="K828">
        <v>60062</v>
      </c>
      <c r="L828">
        <v>2344</v>
      </c>
      <c r="M828">
        <v>8</v>
      </c>
      <c r="N828">
        <v>2</v>
      </c>
      <c r="O828">
        <v>1</v>
      </c>
      <c r="P828" t="s">
        <v>18</v>
      </c>
      <c r="Q828">
        <v>4</v>
      </c>
      <c r="R828">
        <v>0</v>
      </c>
      <c r="S828" t="s">
        <v>21</v>
      </c>
      <c r="T828">
        <v>2</v>
      </c>
      <c r="U828">
        <v>0</v>
      </c>
    </row>
    <row r="829" spans="1:21" x14ac:dyDescent="0.25">
      <c r="A829">
        <v>9626144</v>
      </c>
      <c r="B829" t="s">
        <v>15</v>
      </c>
      <c r="C829" s="1">
        <v>42944</v>
      </c>
      <c r="D829" s="2">
        <f>YEAR(C829)</f>
        <v>2017</v>
      </c>
      <c r="E829">
        <v>561000</v>
      </c>
      <c r="F829" t="s">
        <v>85</v>
      </c>
      <c r="G829">
        <v>1972</v>
      </c>
      <c r="H829">
        <v>3719</v>
      </c>
      <c r="I829" t="s">
        <v>325</v>
      </c>
      <c r="J829">
        <v>62</v>
      </c>
      <c r="K829">
        <v>60062</v>
      </c>
      <c r="L829">
        <v>2265</v>
      </c>
      <c r="M829">
        <v>10</v>
      </c>
      <c r="N829">
        <v>2</v>
      </c>
      <c r="O829">
        <v>0</v>
      </c>
      <c r="P829" t="s">
        <v>18</v>
      </c>
      <c r="Q829">
        <v>4</v>
      </c>
      <c r="R829">
        <v>0</v>
      </c>
      <c r="S829" t="s">
        <v>21</v>
      </c>
      <c r="T829">
        <v>2</v>
      </c>
      <c r="U829">
        <v>0</v>
      </c>
    </row>
    <row r="830" spans="1:21" x14ac:dyDescent="0.25">
      <c r="A830">
        <v>9931579</v>
      </c>
      <c r="B830" t="s">
        <v>15</v>
      </c>
      <c r="C830" s="1">
        <v>43270</v>
      </c>
      <c r="D830" s="2">
        <f>YEAR(C830)</f>
        <v>2018</v>
      </c>
      <c r="E830">
        <v>336250</v>
      </c>
      <c r="F830" t="s">
        <v>85</v>
      </c>
      <c r="G830">
        <v>1972</v>
      </c>
      <c r="H830">
        <v>4645</v>
      </c>
      <c r="I830" t="s">
        <v>362</v>
      </c>
      <c r="J830">
        <v>62</v>
      </c>
      <c r="K830">
        <v>60062</v>
      </c>
      <c r="L830">
        <v>1593</v>
      </c>
      <c r="M830">
        <v>7</v>
      </c>
      <c r="N830">
        <v>2</v>
      </c>
      <c r="O830">
        <v>1</v>
      </c>
      <c r="P830" t="s">
        <v>18</v>
      </c>
      <c r="Q830">
        <v>3</v>
      </c>
      <c r="R830">
        <v>0</v>
      </c>
      <c r="S830" t="s">
        <v>21</v>
      </c>
      <c r="T830">
        <v>3</v>
      </c>
      <c r="U830">
        <v>0</v>
      </c>
    </row>
    <row r="831" spans="1:21" x14ac:dyDescent="0.25">
      <c r="A831">
        <v>9637307</v>
      </c>
      <c r="B831" t="s">
        <v>15</v>
      </c>
      <c r="C831" s="1">
        <v>42950</v>
      </c>
      <c r="D831" s="2">
        <f>YEAR(C831)</f>
        <v>2017</v>
      </c>
      <c r="E831">
        <v>677500</v>
      </c>
      <c r="F831" t="s">
        <v>85</v>
      </c>
      <c r="G831">
        <v>1973</v>
      </c>
      <c r="H831">
        <v>4400</v>
      </c>
      <c r="I831" t="s">
        <v>164</v>
      </c>
      <c r="J831">
        <v>76</v>
      </c>
      <c r="K831">
        <v>60076</v>
      </c>
      <c r="L831">
        <v>3650</v>
      </c>
      <c r="M831">
        <v>11</v>
      </c>
      <c r="N831">
        <v>3</v>
      </c>
      <c r="O831">
        <v>1</v>
      </c>
      <c r="P831" t="s">
        <v>18</v>
      </c>
      <c r="Q831">
        <v>4</v>
      </c>
      <c r="R831">
        <v>0</v>
      </c>
      <c r="S831" t="s">
        <v>21</v>
      </c>
      <c r="T831">
        <v>2</v>
      </c>
      <c r="U831">
        <v>0</v>
      </c>
    </row>
    <row r="832" spans="1:21" x14ac:dyDescent="0.25">
      <c r="A832">
        <v>9836528</v>
      </c>
      <c r="B832" t="s">
        <v>15</v>
      </c>
      <c r="C832" s="1">
        <v>43175</v>
      </c>
      <c r="D832" s="2">
        <f>YEAR(C832)</f>
        <v>2018</v>
      </c>
      <c r="E832">
        <v>437000</v>
      </c>
      <c r="F832" t="s">
        <v>85</v>
      </c>
      <c r="G832">
        <v>1973</v>
      </c>
      <c r="H832">
        <v>5307</v>
      </c>
      <c r="I832" t="s">
        <v>338</v>
      </c>
      <c r="J832">
        <v>76</v>
      </c>
      <c r="K832">
        <v>60077</v>
      </c>
      <c r="L832">
        <v>3326</v>
      </c>
      <c r="M832">
        <v>8</v>
      </c>
      <c r="N832">
        <v>2</v>
      </c>
      <c r="O832">
        <v>1</v>
      </c>
      <c r="P832" t="s">
        <v>18</v>
      </c>
      <c r="Q832">
        <v>4</v>
      </c>
      <c r="R832">
        <v>0</v>
      </c>
      <c r="S832" t="s">
        <v>21</v>
      </c>
      <c r="T832">
        <v>2</v>
      </c>
      <c r="U832">
        <v>0</v>
      </c>
    </row>
    <row r="833" spans="1:21" x14ac:dyDescent="0.25">
      <c r="A833">
        <v>9816919</v>
      </c>
      <c r="B833" t="s">
        <v>15</v>
      </c>
      <c r="C833" s="1">
        <v>43332</v>
      </c>
      <c r="D833" s="2">
        <f>YEAR(C833)</f>
        <v>2018</v>
      </c>
      <c r="E833">
        <v>455000</v>
      </c>
      <c r="F833" t="s">
        <v>85</v>
      </c>
      <c r="G833">
        <v>1973</v>
      </c>
      <c r="H833">
        <v>9636</v>
      </c>
      <c r="I833" t="s">
        <v>239</v>
      </c>
      <c r="J833">
        <v>76</v>
      </c>
      <c r="K833">
        <v>60077</v>
      </c>
      <c r="L833">
        <v>2585</v>
      </c>
      <c r="M833">
        <v>11</v>
      </c>
      <c r="N833">
        <v>3</v>
      </c>
      <c r="O833">
        <v>0</v>
      </c>
      <c r="P833" t="s">
        <v>18</v>
      </c>
      <c r="Q833">
        <v>4</v>
      </c>
      <c r="R833">
        <v>2</v>
      </c>
      <c r="S833" t="s">
        <v>21</v>
      </c>
      <c r="T833">
        <v>2</v>
      </c>
      <c r="U833">
        <v>0</v>
      </c>
    </row>
    <row r="834" spans="1:21" x14ac:dyDescent="0.25">
      <c r="A834">
        <v>9570747</v>
      </c>
      <c r="B834" t="s">
        <v>15</v>
      </c>
      <c r="C834" s="1">
        <v>42934</v>
      </c>
      <c r="D834" s="2">
        <f>YEAR(C834)</f>
        <v>2017</v>
      </c>
      <c r="E834">
        <v>509000</v>
      </c>
      <c r="F834" t="s">
        <v>85</v>
      </c>
      <c r="G834">
        <v>1973</v>
      </c>
      <c r="H834">
        <v>2765</v>
      </c>
      <c r="I834" t="s">
        <v>267</v>
      </c>
      <c r="J834">
        <v>62</v>
      </c>
      <c r="K834">
        <v>60062</v>
      </c>
      <c r="L834">
        <v>3341</v>
      </c>
      <c r="M834">
        <v>12</v>
      </c>
      <c r="N834">
        <v>2</v>
      </c>
      <c r="O834">
        <v>1</v>
      </c>
      <c r="P834" t="s">
        <v>18</v>
      </c>
      <c r="Q834">
        <v>4</v>
      </c>
      <c r="R834">
        <v>0</v>
      </c>
      <c r="S834" t="s">
        <v>21</v>
      </c>
      <c r="T834">
        <v>1</v>
      </c>
      <c r="U834">
        <v>0</v>
      </c>
    </row>
    <row r="835" spans="1:21" x14ac:dyDescent="0.25">
      <c r="A835">
        <v>10113358</v>
      </c>
      <c r="B835" t="s">
        <v>15</v>
      </c>
      <c r="C835" s="1">
        <v>43451</v>
      </c>
      <c r="D835" s="2">
        <f>YEAR(C835)</f>
        <v>2018</v>
      </c>
      <c r="E835">
        <v>460000</v>
      </c>
      <c r="F835" t="s">
        <v>85</v>
      </c>
      <c r="G835">
        <v>1973</v>
      </c>
      <c r="H835">
        <v>3725</v>
      </c>
      <c r="I835" t="s">
        <v>263</v>
      </c>
      <c r="J835">
        <v>62</v>
      </c>
      <c r="K835">
        <v>60062</v>
      </c>
      <c r="L835">
        <v>3287</v>
      </c>
      <c r="M835">
        <v>9</v>
      </c>
      <c r="N835">
        <v>3</v>
      </c>
      <c r="O835">
        <v>0</v>
      </c>
      <c r="P835" t="s">
        <v>18</v>
      </c>
      <c r="Q835">
        <v>4</v>
      </c>
      <c r="R835">
        <v>0</v>
      </c>
      <c r="S835" t="s">
        <v>21</v>
      </c>
      <c r="T835">
        <v>2</v>
      </c>
      <c r="U835">
        <v>0</v>
      </c>
    </row>
    <row r="836" spans="1:21" x14ac:dyDescent="0.25">
      <c r="A836">
        <v>9807870</v>
      </c>
      <c r="B836" t="s">
        <v>15</v>
      </c>
      <c r="C836" s="1">
        <v>43110</v>
      </c>
      <c r="D836" s="2">
        <f>YEAR(C836)</f>
        <v>2018</v>
      </c>
      <c r="E836">
        <v>595000</v>
      </c>
      <c r="F836" t="s">
        <v>85</v>
      </c>
      <c r="G836">
        <v>1973</v>
      </c>
      <c r="H836">
        <v>2926</v>
      </c>
      <c r="I836" t="s">
        <v>271</v>
      </c>
      <c r="J836">
        <v>62</v>
      </c>
      <c r="K836">
        <v>60062</v>
      </c>
      <c r="L836">
        <v>2901</v>
      </c>
      <c r="M836">
        <v>10</v>
      </c>
      <c r="N836">
        <v>2</v>
      </c>
      <c r="O836">
        <v>1</v>
      </c>
      <c r="P836" t="s">
        <v>18</v>
      </c>
      <c r="Q836">
        <v>5</v>
      </c>
      <c r="R836">
        <v>0</v>
      </c>
      <c r="S836" t="s">
        <v>21</v>
      </c>
      <c r="T836">
        <v>2</v>
      </c>
      <c r="U836">
        <v>0</v>
      </c>
    </row>
    <row r="837" spans="1:21" x14ac:dyDescent="0.25">
      <c r="A837">
        <v>9993574</v>
      </c>
      <c r="B837" t="s">
        <v>15</v>
      </c>
      <c r="C837" s="1">
        <v>43293</v>
      </c>
      <c r="D837" s="2">
        <f>YEAR(C837)</f>
        <v>2018</v>
      </c>
      <c r="E837">
        <v>543000</v>
      </c>
      <c r="F837" t="s">
        <v>85</v>
      </c>
      <c r="G837">
        <v>1973</v>
      </c>
      <c r="H837">
        <v>2819</v>
      </c>
      <c r="I837" t="s">
        <v>271</v>
      </c>
      <c r="J837">
        <v>62</v>
      </c>
      <c r="K837">
        <v>60062</v>
      </c>
      <c r="L837">
        <v>2784</v>
      </c>
      <c r="M837">
        <v>10</v>
      </c>
      <c r="N837">
        <v>2</v>
      </c>
      <c r="O837">
        <v>1</v>
      </c>
      <c r="P837" t="s">
        <v>18</v>
      </c>
      <c r="Q837">
        <v>5</v>
      </c>
      <c r="R837">
        <v>0</v>
      </c>
      <c r="S837" t="s">
        <v>21</v>
      </c>
      <c r="T837">
        <v>2.5</v>
      </c>
      <c r="U837">
        <v>0</v>
      </c>
    </row>
    <row r="838" spans="1:21" x14ac:dyDescent="0.25">
      <c r="A838">
        <v>9816884</v>
      </c>
      <c r="B838" t="s">
        <v>15</v>
      </c>
      <c r="C838" s="1">
        <v>43236</v>
      </c>
      <c r="D838" s="2">
        <f>YEAR(C838)</f>
        <v>2018</v>
      </c>
      <c r="E838">
        <v>625000</v>
      </c>
      <c r="F838" t="s">
        <v>85</v>
      </c>
      <c r="G838">
        <v>1973</v>
      </c>
      <c r="H838">
        <v>2754</v>
      </c>
      <c r="I838" t="s">
        <v>172</v>
      </c>
      <c r="J838">
        <v>62</v>
      </c>
      <c r="K838">
        <v>60062</v>
      </c>
      <c r="L838">
        <v>2743</v>
      </c>
      <c r="M838">
        <v>10</v>
      </c>
      <c r="N838">
        <v>2</v>
      </c>
      <c r="O838">
        <v>1</v>
      </c>
      <c r="P838" t="s">
        <v>18</v>
      </c>
      <c r="Q838">
        <v>4</v>
      </c>
      <c r="R838">
        <v>0</v>
      </c>
      <c r="S838" t="s">
        <v>21</v>
      </c>
      <c r="T838">
        <v>2</v>
      </c>
      <c r="U838">
        <v>0</v>
      </c>
    </row>
    <row r="839" spans="1:21" x14ac:dyDescent="0.25">
      <c r="A839">
        <v>9638304</v>
      </c>
      <c r="B839" t="s">
        <v>15</v>
      </c>
      <c r="C839" s="1">
        <v>43020</v>
      </c>
      <c r="D839" s="2">
        <f>YEAR(C839)</f>
        <v>2017</v>
      </c>
      <c r="E839">
        <v>535000</v>
      </c>
      <c r="F839" t="s">
        <v>85</v>
      </c>
      <c r="G839">
        <v>1973</v>
      </c>
      <c r="H839">
        <v>2844</v>
      </c>
      <c r="I839" t="s">
        <v>271</v>
      </c>
      <c r="J839">
        <v>62</v>
      </c>
      <c r="K839">
        <v>60062</v>
      </c>
      <c r="L839">
        <v>2559</v>
      </c>
      <c r="M839">
        <v>8</v>
      </c>
      <c r="N839">
        <v>2</v>
      </c>
      <c r="O839">
        <v>1</v>
      </c>
      <c r="P839" t="s">
        <v>18</v>
      </c>
      <c r="Q839">
        <v>4</v>
      </c>
      <c r="R839">
        <v>0</v>
      </c>
      <c r="S839" t="s">
        <v>21</v>
      </c>
      <c r="T839">
        <v>2</v>
      </c>
      <c r="U839">
        <v>0</v>
      </c>
    </row>
    <row r="840" spans="1:21" x14ac:dyDescent="0.25">
      <c r="A840">
        <v>9637241</v>
      </c>
      <c r="B840" t="s">
        <v>15</v>
      </c>
      <c r="C840" s="1">
        <v>42993</v>
      </c>
      <c r="D840" s="2">
        <f>YEAR(C840)</f>
        <v>2017</v>
      </c>
      <c r="E840">
        <v>582500</v>
      </c>
      <c r="F840" t="s">
        <v>85</v>
      </c>
      <c r="G840">
        <v>1973</v>
      </c>
      <c r="H840">
        <v>3710</v>
      </c>
      <c r="I840" t="s">
        <v>325</v>
      </c>
      <c r="J840">
        <v>62</v>
      </c>
      <c r="K840">
        <v>60062</v>
      </c>
      <c r="L840">
        <v>2375</v>
      </c>
      <c r="M840">
        <v>10</v>
      </c>
      <c r="N840">
        <v>2</v>
      </c>
      <c r="O840">
        <v>0</v>
      </c>
      <c r="P840" t="s">
        <v>18</v>
      </c>
      <c r="Q840">
        <v>4</v>
      </c>
      <c r="R840">
        <v>0</v>
      </c>
      <c r="S840" t="s">
        <v>21</v>
      </c>
      <c r="T840">
        <v>2</v>
      </c>
      <c r="U840">
        <v>0</v>
      </c>
    </row>
    <row r="841" spans="1:21" x14ac:dyDescent="0.25">
      <c r="A841">
        <v>9578456</v>
      </c>
      <c r="B841" t="s">
        <v>15</v>
      </c>
      <c r="C841" s="1">
        <v>42887</v>
      </c>
      <c r="D841" s="2">
        <f>YEAR(C841)</f>
        <v>2017</v>
      </c>
      <c r="E841">
        <v>560000</v>
      </c>
      <c r="F841" t="s">
        <v>85</v>
      </c>
      <c r="G841">
        <v>1973</v>
      </c>
      <c r="H841">
        <v>3820</v>
      </c>
      <c r="I841" t="s">
        <v>87</v>
      </c>
      <c r="J841">
        <v>62</v>
      </c>
      <c r="K841">
        <v>60062</v>
      </c>
      <c r="L841">
        <v>2264</v>
      </c>
      <c r="M841">
        <v>8</v>
      </c>
      <c r="N841">
        <v>3</v>
      </c>
      <c r="O841">
        <v>0</v>
      </c>
      <c r="P841" t="s">
        <v>18</v>
      </c>
      <c r="Q841">
        <v>3</v>
      </c>
      <c r="R841">
        <v>0</v>
      </c>
      <c r="S841" t="s">
        <v>21</v>
      </c>
      <c r="T841">
        <v>3</v>
      </c>
      <c r="U841">
        <v>0</v>
      </c>
    </row>
    <row r="842" spans="1:21" x14ac:dyDescent="0.25">
      <c r="A842">
        <v>9824416</v>
      </c>
      <c r="B842" t="s">
        <v>15</v>
      </c>
      <c r="C842" s="1">
        <v>43224</v>
      </c>
      <c r="D842" s="2">
        <f>YEAR(C842)</f>
        <v>2018</v>
      </c>
      <c r="E842">
        <v>370000</v>
      </c>
      <c r="F842" t="s">
        <v>85</v>
      </c>
      <c r="G842">
        <v>1973</v>
      </c>
      <c r="H842">
        <v>3450</v>
      </c>
      <c r="I842" t="s">
        <v>363</v>
      </c>
      <c r="J842">
        <v>62</v>
      </c>
      <c r="K842">
        <v>60062</v>
      </c>
      <c r="L842">
        <v>1900</v>
      </c>
      <c r="M842">
        <v>6</v>
      </c>
      <c r="N842">
        <v>2</v>
      </c>
      <c r="O842">
        <v>0</v>
      </c>
      <c r="P842" t="s">
        <v>18</v>
      </c>
      <c r="Q842">
        <v>3</v>
      </c>
      <c r="R842">
        <v>0</v>
      </c>
      <c r="S842" t="s">
        <v>21</v>
      </c>
      <c r="T842">
        <v>2</v>
      </c>
      <c r="U842">
        <v>0</v>
      </c>
    </row>
    <row r="843" spans="1:21" x14ac:dyDescent="0.25">
      <c r="A843">
        <v>9367562</v>
      </c>
      <c r="B843" t="s">
        <v>15</v>
      </c>
      <c r="C843" s="1">
        <v>42853</v>
      </c>
      <c r="D843" s="2">
        <f>YEAR(C843)</f>
        <v>2017</v>
      </c>
      <c r="E843">
        <v>705000</v>
      </c>
      <c r="F843" t="s">
        <v>85</v>
      </c>
      <c r="G843">
        <v>1975</v>
      </c>
      <c r="H843">
        <v>3840</v>
      </c>
      <c r="I843" t="s">
        <v>315</v>
      </c>
      <c r="J843">
        <v>62</v>
      </c>
      <c r="K843">
        <v>60062</v>
      </c>
      <c r="L843">
        <v>3459</v>
      </c>
      <c r="M843">
        <v>12</v>
      </c>
      <c r="N843">
        <v>2</v>
      </c>
      <c r="O843">
        <v>1</v>
      </c>
      <c r="P843" t="s">
        <v>18</v>
      </c>
      <c r="Q843">
        <v>4</v>
      </c>
      <c r="R843">
        <v>0</v>
      </c>
      <c r="S843" t="s">
        <v>21</v>
      </c>
      <c r="T843">
        <v>2</v>
      </c>
      <c r="U843">
        <v>0</v>
      </c>
    </row>
    <row r="844" spans="1:21" x14ac:dyDescent="0.25">
      <c r="A844">
        <v>9167128</v>
      </c>
      <c r="B844" t="s">
        <v>15</v>
      </c>
      <c r="C844" s="1">
        <v>42859</v>
      </c>
      <c r="D844" s="2">
        <f>YEAR(C844)</f>
        <v>2017</v>
      </c>
      <c r="E844">
        <v>695000</v>
      </c>
      <c r="F844" t="s">
        <v>85</v>
      </c>
      <c r="G844">
        <v>1975</v>
      </c>
      <c r="H844">
        <v>2432</v>
      </c>
      <c r="I844" t="s">
        <v>339</v>
      </c>
      <c r="J844">
        <v>62</v>
      </c>
      <c r="K844">
        <v>60062</v>
      </c>
      <c r="L844">
        <v>3193</v>
      </c>
      <c r="M844">
        <v>9</v>
      </c>
      <c r="N844">
        <v>3</v>
      </c>
      <c r="O844">
        <v>1</v>
      </c>
      <c r="P844" t="s">
        <v>18</v>
      </c>
      <c r="Q844">
        <v>4</v>
      </c>
      <c r="R844">
        <v>0</v>
      </c>
      <c r="S844" t="s">
        <v>21</v>
      </c>
      <c r="T844">
        <v>2</v>
      </c>
      <c r="U844">
        <v>0</v>
      </c>
    </row>
    <row r="845" spans="1:21" x14ac:dyDescent="0.25">
      <c r="A845">
        <v>9754913</v>
      </c>
      <c r="B845" t="s">
        <v>15</v>
      </c>
      <c r="C845" s="1">
        <v>42985</v>
      </c>
      <c r="D845" s="2">
        <f>YEAR(C845)</f>
        <v>2017</v>
      </c>
      <c r="E845">
        <v>596500</v>
      </c>
      <c r="F845" t="s">
        <v>85</v>
      </c>
      <c r="G845">
        <v>1975</v>
      </c>
      <c r="H845">
        <v>2747</v>
      </c>
      <c r="I845" t="s">
        <v>172</v>
      </c>
      <c r="J845">
        <v>62</v>
      </c>
      <c r="K845">
        <v>60062</v>
      </c>
      <c r="L845">
        <v>2602</v>
      </c>
      <c r="M845">
        <v>10</v>
      </c>
      <c r="N845">
        <v>2</v>
      </c>
      <c r="O845">
        <v>1</v>
      </c>
      <c r="P845" t="s">
        <v>18</v>
      </c>
      <c r="Q845">
        <v>4</v>
      </c>
      <c r="R845">
        <v>0</v>
      </c>
      <c r="S845" t="s">
        <v>21</v>
      </c>
      <c r="T845">
        <v>2</v>
      </c>
      <c r="U845">
        <v>0</v>
      </c>
    </row>
    <row r="846" spans="1:21" x14ac:dyDescent="0.25">
      <c r="A846">
        <v>9899491</v>
      </c>
      <c r="B846" t="s">
        <v>15</v>
      </c>
      <c r="C846" s="1">
        <v>43265</v>
      </c>
      <c r="D846" s="2">
        <f>YEAR(C846)</f>
        <v>2018</v>
      </c>
      <c r="E846">
        <v>360000</v>
      </c>
      <c r="F846" t="s">
        <v>85</v>
      </c>
      <c r="G846">
        <v>1975</v>
      </c>
      <c r="H846">
        <v>1</v>
      </c>
      <c r="I846" t="s">
        <v>364</v>
      </c>
      <c r="J846">
        <v>62</v>
      </c>
      <c r="K846">
        <v>60062</v>
      </c>
      <c r="L846">
        <v>1895</v>
      </c>
      <c r="M846">
        <v>10</v>
      </c>
      <c r="N846">
        <v>2</v>
      </c>
      <c r="O846">
        <v>1</v>
      </c>
      <c r="P846" t="s">
        <v>18</v>
      </c>
      <c r="Q846">
        <v>4</v>
      </c>
      <c r="R846">
        <v>0</v>
      </c>
      <c r="S846" t="s">
        <v>21</v>
      </c>
      <c r="T846">
        <v>2</v>
      </c>
      <c r="U846">
        <v>0</v>
      </c>
    </row>
    <row r="847" spans="1:21" x14ac:dyDescent="0.25">
      <c r="A847">
        <v>9641591</v>
      </c>
      <c r="B847" t="s">
        <v>15</v>
      </c>
      <c r="C847" s="1">
        <v>43192</v>
      </c>
      <c r="D847" s="2">
        <f>YEAR(C847)</f>
        <v>2018</v>
      </c>
      <c r="E847">
        <v>380000</v>
      </c>
      <c r="F847" t="s">
        <v>85</v>
      </c>
      <c r="G847">
        <v>1975</v>
      </c>
      <c r="H847">
        <v>6</v>
      </c>
      <c r="I847" t="s">
        <v>365</v>
      </c>
      <c r="J847">
        <v>62</v>
      </c>
      <c r="K847">
        <v>60062</v>
      </c>
      <c r="L847">
        <v>1833</v>
      </c>
      <c r="M847">
        <v>7</v>
      </c>
      <c r="N847">
        <v>2</v>
      </c>
      <c r="O847">
        <v>1</v>
      </c>
      <c r="P847" t="s">
        <v>18</v>
      </c>
      <c r="Q847">
        <v>3</v>
      </c>
      <c r="R847">
        <v>0</v>
      </c>
      <c r="S847" t="s">
        <v>21</v>
      </c>
      <c r="T847">
        <v>2</v>
      </c>
      <c r="U847">
        <v>0</v>
      </c>
    </row>
    <row r="848" spans="1:21" x14ac:dyDescent="0.25">
      <c r="A848">
        <v>9479870</v>
      </c>
      <c r="B848" t="s">
        <v>15</v>
      </c>
      <c r="C848" s="1">
        <v>42856</v>
      </c>
      <c r="D848" s="2">
        <f>YEAR(C848)</f>
        <v>2017</v>
      </c>
      <c r="E848">
        <v>505000</v>
      </c>
      <c r="F848" t="s">
        <v>85</v>
      </c>
      <c r="G848">
        <v>1976</v>
      </c>
      <c r="H848">
        <v>4405</v>
      </c>
      <c r="I848" t="s">
        <v>366</v>
      </c>
      <c r="J848">
        <v>76</v>
      </c>
      <c r="K848">
        <v>60076</v>
      </c>
      <c r="L848">
        <v>3600</v>
      </c>
      <c r="M848">
        <v>9</v>
      </c>
      <c r="N848">
        <v>2</v>
      </c>
      <c r="O848">
        <v>1</v>
      </c>
      <c r="P848" t="s">
        <v>18</v>
      </c>
      <c r="Q848">
        <v>4</v>
      </c>
      <c r="R848">
        <v>0</v>
      </c>
      <c r="S848" t="s">
        <v>21</v>
      </c>
      <c r="T848">
        <v>2.5</v>
      </c>
      <c r="U848">
        <v>0</v>
      </c>
    </row>
    <row r="849" spans="1:21" x14ac:dyDescent="0.25">
      <c r="A849">
        <v>9519514</v>
      </c>
      <c r="B849" t="s">
        <v>15</v>
      </c>
      <c r="C849" s="1">
        <v>42947</v>
      </c>
      <c r="D849" s="2">
        <f>YEAR(C849)</f>
        <v>2017</v>
      </c>
      <c r="E849">
        <v>503000</v>
      </c>
      <c r="F849" t="s">
        <v>85</v>
      </c>
      <c r="G849">
        <v>1976</v>
      </c>
      <c r="H849">
        <v>10039</v>
      </c>
      <c r="I849" t="s">
        <v>29</v>
      </c>
      <c r="J849">
        <v>76</v>
      </c>
      <c r="K849">
        <v>60077</v>
      </c>
      <c r="L849">
        <v>3096</v>
      </c>
      <c r="M849">
        <v>9</v>
      </c>
      <c r="N849">
        <v>2</v>
      </c>
      <c r="O849">
        <v>1</v>
      </c>
      <c r="P849" t="s">
        <v>18</v>
      </c>
      <c r="Q849">
        <v>4</v>
      </c>
      <c r="R849">
        <v>0</v>
      </c>
      <c r="S849" t="s">
        <v>21</v>
      </c>
      <c r="T849">
        <v>2</v>
      </c>
      <c r="U849">
        <v>0</v>
      </c>
    </row>
    <row r="850" spans="1:21" x14ac:dyDescent="0.25">
      <c r="A850">
        <v>9280347</v>
      </c>
      <c r="B850" t="s">
        <v>15</v>
      </c>
      <c r="C850" s="1">
        <v>42853</v>
      </c>
      <c r="D850" s="2">
        <f>YEAR(C850)</f>
        <v>2017</v>
      </c>
      <c r="E850">
        <v>360000</v>
      </c>
      <c r="F850" t="s">
        <v>85</v>
      </c>
      <c r="G850">
        <v>1976</v>
      </c>
      <c r="H850">
        <v>10019</v>
      </c>
      <c r="I850" t="s">
        <v>29</v>
      </c>
      <c r="J850">
        <v>76</v>
      </c>
      <c r="K850">
        <v>60077</v>
      </c>
      <c r="L850">
        <v>2612</v>
      </c>
      <c r="M850">
        <v>7</v>
      </c>
      <c r="N850">
        <v>2</v>
      </c>
      <c r="O850">
        <v>1</v>
      </c>
      <c r="P850" t="s">
        <v>18</v>
      </c>
      <c r="Q850">
        <v>3</v>
      </c>
      <c r="R850">
        <v>0</v>
      </c>
      <c r="S850" t="s">
        <v>21</v>
      </c>
      <c r="T850">
        <v>2</v>
      </c>
      <c r="U850">
        <v>0</v>
      </c>
    </row>
    <row r="851" spans="1:21" x14ac:dyDescent="0.25">
      <c r="A851">
        <v>9404663</v>
      </c>
      <c r="B851" t="s">
        <v>15</v>
      </c>
      <c r="C851" s="1">
        <v>42873</v>
      </c>
      <c r="D851" s="2">
        <f>YEAR(C851)</f>
        <v>2017</v>
      </c>
      <c r="E851">
        <v>622500</v>
      </c>
      <c r="F851" t="s">
        <v>85</v>
      </c>
      <c r="G851">
        <v>1976</v>
      </c>
      <c r="H851">
        <v>1921</v>
      </c>
      <c r="I851" t="s">
        <v>367</v>
      </c>
      <c r="J851">
        <v>62</v>
      </c>
      <c r="K851">
        <v>60062</v>
      </c>
      <c r="L851">
        <v>3461</v>
      </c>
      <c r="M851">
        <v>12</v>
      </c>
      <c r="N851">
        <v>2</v>
      </c>
      <c r="O851">
        <v>1</v>
      </c>
      <c r="P851" t="s">
        <v>18</v>
      </c>
      <c r="Q851">
        <v>4</v>
      </c>
      <c r="R851">
        <v>0</v>
      </c>
      <c r="S851" t="s">
        <v>21</v>
      </c>
      <c r="T851">
        <v>2.5</v>
      </c>
      <c r="U851">
        <v>0</v>
      </c>
    </row>
    <row r="852" spans="1:21" x14ac:dyDescent="0.25">
      <c r="A852">
        <v>9863598</v>
      </c>
      <c r="B852" t="s">
        <v>15</v>
      </c>
      <c r="C852" s="1">
        <v>43333</v>
      </c>
      <c r="D852" s="2">
        <f>YEAR(C852)</f>
        <v>2018</v>
      </c>
      <c r="E852">
        <v>650000</v>
      </c>
      <c r="F852" t="s">
        <v>85</v>
      </c>
      <c r="G852">
        <v>1976</v>
      </c>
      <c r="H852">
        <v>2449</v>
      </c>
      <c r="I852" t="s">
        <v>367</v>
      </c>
      <c r="J852">
        <v>62</v>
      </c>
      <c r="K852">
        <v>60062</v>
      </c>
      <c r="L852">
        <v>3231</v>
      </c>
      <c r="M852">
        <v>11</v>
      </c>
      <c r="N852">
        <v>2</v>
      </c>
      <c r="O852">
        <v>1</v>
      </c>
      <c r="P852" t="s">
        <v>18</v>
      </c>
      <c r="Q852">
        <v>4</v>
      </c>
      <c r="R852">
        <v>1</v>
      </c>
      <c r="S852" t="s">
        <v>21</v>
      </c>
      <c r="T852">
        <v>4</v>
      </c>
      <c r="U852">
        <v>0</v>
      </c>
    </row>
    <row r="853" spans="1:21" x14ac:dyDescent="0.25">
      <c r="A853">
        <v>10021123</v>
      </c>
      <c r="B853" t="s">
        <v>15</v>
      </c>
      <c r="C853" s="1">
        <v>43454</v>
      </c>
      <c r="D853" s="2">
        <f>YEAR(C853)</f>
        <v>2018</v>
      </c>
      <c r="E853">
        <v>730000</v>
      </c>
      <c r="F853" t="s">
        <v>85</v>
      </c>
      <c r="G853">
        <v>1976</v>
      </c>
      <c r="H853">
        <v>1644</v>
      </c>
      <c r="I853" t="s">
        <v>99</v>
      </c>
      <c r="J853">
        <v>62</v>
      </c>
      <c r="K853">
        <v>60062</v>
      </c>
      <c r="L853">
        <v>3050</v>
      </c>
      <c r="M853">
        <v>11</v>
      </c>
      <c r="N853">
        <v>3</v>
      </c>
      <c r="O853">
        <v>1</v>
      </c>
      <c r="P853" t="s">
        <v>18</v>
      </c>
      <c r="Q853">
        <v>4</v>
      </c>
      <c r="R853">
        <v>0</v>
      </c>
      <c r="S853" t="s">
        <v>21</v>
      </c>
      <c r="T853">
        <v>2</v>
      </c>
      <c r="U853">
        <v>0</v>
      </c>
    </row>
    <row r="854" spans="1:21" x14ac:dyDescent="0.25">
      <c r="A854">
        <v>10069285</v>
      </c>
      <c r="B854" t="s">
        <v>15</v>
      </c>
      <c r="C854" s="1">
        <v>43434</v>
      </c>
      <c r="D854" s="2">
        <f>YEAR(C854)</f>
        <v>2018</v>
      </c>
      <c r="E854">
        <v>544000</v>
      </c>
      <c r="F854" t="s">
        <v>85</v>
      </c>
      <c r="G854">
        <v>1976</v>
      </c>
      <c r="H854">
        <v>3061</v>
      </c>
      <c r="I854" t="s">
        <v>368</v>
      </c>
      <c r="J854">
        <v>62</v>
      </c>
      <c r="K854">
        <v>60062</v>
      </c>
      <c r="L854">
        <v>2788</v>
      </c>
      <c r="M854">
        <v>9</v>
      </c>
      <c r="N854">
        <v>2</v>
      </c>
      <c r="O854">
        <v>1</v>
      </c>
      <c r="P854" t="s">
        <v>18</v>
      </c>
      <c r="Q854">
        <v>4</v>
      </c>
      <c r="R854">
        <v>0</v>
      </c>
      <c r="S854" t="s">
        <v>21</v>
      </c>
      <c r="T854">
        <v>2.5</v>
      </c>
      <c r="U854">
        <v>0</v>
      </c>
    </row>
    <row r="855" spans="1:21" x14ac:dyDescent="0.25">
      <c r="A855">
        <v>9523974</v>
      </c>
      <c r="B855" t="s">
        <v>15</v>
      </c>
      <c r="C855" s="1">
        <v>42923</v>
      </c>
      <c r="D855" s="2">
        <f>YEAR(C855)</f>
        <v>2017</v>
      </c>
      <c r="E855">
        <v>413000</v>
      </c>
      <c r="F855" t="s">
        <v>85</v>
      </c>
      <c r="G855">
        <v>1976</v>
      </c>
      <c r="H855">
        <v>1435</v>
      </c>
      <c r="I855" t="s">
        <v>369</v>
      </c>
      <c r="J855">
        <v>62</v>
      </c>
      <c r="K855">
        <v>60062</v>
      </c>
      <c r="L855">
        <v>2713</v>
      </c>
      <c r="M855">
        <v>10</v>
      </c>
      <c r="N855">
        <v>2</v>
      </c>
      <c r="O855">
        <v>1</v>
      </c>
      <c r="P855" t="s">
        <v>18</v>
      </c>
      <c r="Q855">
        <v>3</v>
      </c>
      <c r="R855">
        <v>0</v>
      </c>
      <c r="S855" t="s">
        <v>21</v>
      </c>
      <c r="T855">
        <v>2</v>
      </c>
      <c r="U855">
        <v>0</v>
      </c>
    </row>
    <row r="856" spans="1:21" x14ac:dyDescent="0.25">
      <c r="A856">
        <v>10052606</v>
      </c>
      <c r="B856" t="s">
        <v>15</v>
      </c>
      <c r="C856" s="1">
        <v>43402</v>
      </c>
      <c r="D856" s="2">
        <f>YEAR(C856)</f>
        <v>2018</v>
      </c>
      <c r="E856">
        <v>547500</v>
      </c>
      <c r="F856" t="s">
        <v>85</v>
      </c>
      <c r="G856">
        <v>1976</v>
      </c>
      <c r="H856">
        <v>1636</v>
      </c>
      <c r="I856" t="s">
        <v>99</v>
      </c>
      <c r="J856">
        <v>62</v>
      </c>
      <c r="K856">
        <v>60062</v>
      </c>
      <c r="L856">
        <v>2695</v>
      </c>
      <c r="M856">
        <v>8</v>
      </c>
      <c r="N856">
        <v>2</v>
      </c>
      <c r="O856">
        <v>1</v>
      </c>
      <c r="P856" t="s">
        <v>18</v>
      </c>
      <c r="Q856">
        <v>4</v>
      </c>
      <c r="R856">
        <v>0</v>
      </c>
      <c r="S856" t="s">
        <v>21</v>
      </c>
      <c r="T856">
        <v>4</v>
      </c>
      <c r="U856">
        <v>0</v>
      </c>
    </row>
    <row r="857" spans="1:21" x14ac:dyDescent="0.25">
      <c r="A857">
        <v>9508782</v>
      </c>
      <c r="B857" t="s">
        <v>15</v>
      </c>
      <c r="C857" s="1">
        <v>42838</v>
      </c>
      <c r="D857" s="2">
        <f>YEAR(C857)</f>
        <v>2017</v>
      </c>
      <c r="E857">
        <v>518000</v>
      </c>
      <c r="F857" t="s">
        <v>85</v>
      </c>
      <c r="G857">
        <v>1976</v>
      </c>
      <c r="H857">
        <v>1906</v>
      </c>
      <c r="I857" t="s">
        <v>144</v>
      </c>
      <c r="J857">
        <v>62</v>
      </c>
      <c r="K857">
        <v>60062</v>
      </c>
      <c r="L857">
        <v>2668</v>
      </c>
      <c r="M857">
        <v>8</v>
      </c>
      <c r="N857">
        <v>2</v>
      </c>
      <c r="O857">
        <v>1</v>
      </c>
      <c r="P857" t="s">
        <v>18</v>
      </c>
      <c r="Q857">
        <v>4</v>
      </c>
      <c r="R857">
        <v>0</v>
      </c>
      <c r="S857" t="s">
        <v>21</v>
      </c>
      <c r="T857">
        <v>2</v>
      </c>
      <c r="U857">
        <v>0</v>
      </c>
    </row>
    <row r="858" spans="1:21" x14ac:dyDescent="0.25">
      <c r="A858">
        <v>9902747</v>
      </c>
      <c r="B858" t="s">
        <v>15</v>
      </c>
      <c r="C858" s="1">
        <v>43228</v>
      </c>
      <c r="D858" s="2">
        <f>YEAR(C858)</f>
        <v>2018</v>
      </c>
      <c r="E858">
        <v>330000</v>
      </c>
      <c r="F858" t="s">
        <v>85</v>
      </c>
      <c r="G858">
        <v>1976</v>
      </c>
      <c r="H858">
        <v>2550</v>
      </c>
      <c r="I858" t="s">
        <v>370</v>
      </c>
      <c r="J858">
        <v>62</v>
      </c>
      <c r="K858">
        <v>60062</v>
      </c>
      <c r="L858">
        <v>2600</v>
      </c>
      <c r="M858">
        <v>8</v>
      </c>
      <c r="N858">
        <v>2</v>
      </c>
      <c r="O858">
        <v>1</v>
      </c>
      <c r="P858" t="s">
        <v>18</v>
      </c>
      <c r="Q858">
        <v>3</v>
      </c>
      <c r="R858">
        <v>0</v>
      </c>
      <c r="S858" t="s">
        <v>21</v>
      </c>
      <c r="T858">
        <v>2</v>
      </c>
      <c r="U858">
        <v>0</v>
      </c>
    </row>
    <row r="859" spans="1:21" x14ac:dyDescent="0.25">
      <c r="A859">
        <v>9476144</v>
      </c>
      <c r="B859" t="s">
        <v>15</v>
      </c>
      <c r="C859" s="1">
        <v>42990</v>
      </c>
      <c r="D859" s="2">
        <f>YEAR(C859)</f>
        <v>2017</v>
      </c>
      <c r="E859">
        <v>460000</v>
      </c>
      <c r="F859" t="s">
        <v>85</v>
      </c>
      <c r="G859">
        <v>1976</v>
      </c>
      <c r="H859">
        <v>2809</v>
      </c>
      <c r="I859" t="s">
        <v>371</v>
      </c>
      <c r="J859">
        <v>62</v>
      </c>
      <c r="K859">
        <v>60062</v>
      </c>
      <c r="L859">
        <v>2572</v>
      </c>
      <c r="M859">
        <v>9</v>
      </c>
      <c r="N859">
        <v>2</v>
      </c>
      <c r="O859">
        <v>1</v>
      </c>
      <c r="P859" t="s">
        <v>18</v>
      </c>
      <c r="Q859">
        <v>4</v>
      </c>
      <c r="R859">
        <v>0</v>
      </c>
      <c r="S859" t="s">
        <v>21</v>
      </c>
      <c r="T859">
        <v>2</v>
      </c>
      <c r="U859">
        <v>0</v>
      </c>
    </row>
    <row r="860" spans="1:21" x14ac:dyDescent="0.25">
      <c r="A860">
        <v>9936775</v>
      </c>
      <c r="B860" t="s">
        <v>15</v>
      </c>
      <c r="C860" s="1">
        <v>43308</v>
      </c>
      <c r="D860" s="2">
        <f>YEAR(C860)</f>
        <v>2018</v>
      </c>
      <c r="E860">
        <v>650000</v>
      </c>
      <c r="F860" t="s">
        <v>85</v>
      </c>
      <c r="G860">
        <v>1976</v>
      </c>
      <c r="H860">
        <v>2450</v>
      </c>
      <c r="I860" t="s">
        <v>372</v>
      </c>
      <c r="J860">
        <v>62</v>
      </c>
      <c r="K860">
        <v>60062</v>
      </c>
      <c r="L860">
        <v>2566</v>
      </c>
      <c r="M860">
        <v>8</v>
      </c>
      <c r="N860">
        <v>2</v>
      </c>
      <c r="O860">
        <v>1</v>
      </c>
      <c r="P860" t="s">
        <v>18</v>
      </c>
      <c r="Q860">
        <v>4</v>
      </c>
      <c r="R860">
        <v>0</v>
      </c>
      <c r="S860" t="s">
        <v>21</v>
      </c>
      <c r="T860">
        <v>2</v>
      </c>
      <c r="U860">
        <v>0</v>
      </c>
    </row>
    <row r="861" spans="1:21" x14ac:dyDescent="0.25">
      <c r="A861">
        <v>9962181</v>
      </c>
      <c r="B861" t="s">
        <v>15</v>
      </c>
      <c r="C861" s="1">
        <v>43342</v>
      </c>
      <c r="D861" s="2">
        <f>YEAR(C861)</f>
        <v>2018</v>
      </c>
      <c r="E861">
        <v>565000</v>
      </c>
      <c r="F861" t="s">
        <v>85</v>
      </c>
      <c r="G861">
        <v>1976</v>
      </c>
      <c r="H861">
        <v>2825</v>
      </c>
      <c r="I861" t="s">
        <v>112</v>
      </c>
      <c r="J861">
        <v>62</v>
      </c>
      <c r="K861">
        <v>60062</v>
      </c>
      <c r="L861">
        <v>2483</v>
      </c>
      <c r="M861">
        <v>9</v>
      </c>
      <c r="N861">
        <v>2</v>
      </c>
      <c r="O861">
        <v>1</v>
      </c>
      <c r="P861" t="s">
        <v>18</v>
      </c>
      <c r="Q861">
        <v>4</v>
      </c>
      <c r="R861">
        <v>0</v>
      </c>
      <c r="S861" t="s">
        <v>21</v>
      </c>
      <c r="T861">
        <v>2.5</v>
      </c>
      <c r="U861">
        <v>0</v>
      </c>
    </row>
    <row r="862" spans="1:21" x14ac:dyDescent="0.25">
      <c r="A862">
        <v>9591878</v>
      </c>
      <c r="B862" t="s">
        <v>15</v>
      </c>
      <c r="C862" s="1">
        <v>42880</v>
      </c>
      <c r="D862" s="2">
        <f>YEAR(C862)</f>
        <v>2017</v>
      </c>
      <c r="E862">
        <v>529900</v>
      </c>
      <c r="F862" t="s">
        <v>85</v>
      </c>
      <c r="G862">
        <v>1976</v>
      </c>
      <c r="H862">
        <v>9</v>
      </c>
      <c r="I862" t="s">
        <v>373</v>
      </c>
      <c r="J862">
        <v>62</v>
      </c>
      <c r="K862">
        <v>60062</v>
      </c>
      <c r="L862">
        <v>1823</v>
      </c>
      <c r="M862">
        <v>7</v>
      </c>
      <c r="N862">
        <v>2</v>
      </c>
      <c r="O862">
        <v>0</v>
      </c>
      <c r="P862" t="s">
        <v>18</v>
      </c>
      <c r="Q862">
        <v>2</v>
      </c>
      <c r="R862">
        <v>0</v>
      </c>
      <c r="S862" t="s">
        <v>21</v>
      </c>
      <c r="T862">
        <v>2</v>
      </c>
      <c r="U862">
        <v>0</v>
      </c>
    </row>
    <row r="863" spans="1:21" x14ac:dyDescent="0.25">
      <c r="A863">
        <v>10012850</v>
      </c>
      <c r="B863" t="s">
        <v>15</v>
      </c>
      <c r="C863" s="1">
        <v>43326</v>
      </c>
      <c r="D863" s="2">
        <f>YEAR(C863)</f>
        <v>2018</v>
      </c>
      <c r="E863">
        <v>310000</v>
      </c>
      <c r="F863" t="s">
        <v>85</v>
      </c>
      <c r="G863">
        <v>1976</v>
      </c>
      <c r="H863">
        <v>13</v>
      </c>
      <c r="I863" t="s">
        <v>374</v>
      </c>
      <c r="J863">
        <v>62</v>
      </c>
      <c r="K863">
        <v>60062</v>
      </c>
      <c r="L863">
        <v>1642</v>
      </c>
      <c r="M863">
        <v>6</v>
      </c>
      <c r="N863">
        <v>2</v>
      </c>
      <c r="O863">
        <v>0</v>
      </c>
      <c r="P863" t="s">
        <v>18</v>
      </c>
      <c r="Q863">
        <v>2</v>
      </c>
      <c r="R863">
        <v>0</v>
      </c>
      <c r="S863" t="s">
        <v>21</v>
      </c>
      <c r="T863">
        <v>2</v>
      </c>
      <c r="U863">
        <v>0</v>
      </c>
    </row>
    <row r="864" spans="1:21" x14ac:dyDescent="0.25">
      <c r="A864">
        <v>9623470</v>
      </c>
      <c r="B864" t="s">
        <v>15</v>
      </c>
      <c r="C864" s="1">
        <v>42955</v>
      </c>
      <c r="D864" s="2">
        <f>YEAR(C864)</f>
        <v>2017</v>
      </c>
      <c r="E864">
        <v>435000</v>
      </c>
      <c r="F864" t="s">
        <v>85</v>
      </c>
      <c r="G864">
        <v>1976</v>
      </c>
      <c r="H864">
        <v>2</v>
      </c>
      <c r="I864" t="s">
        <v>375</v>
      </c>
      <c r="J864">
        <v>62</v>
      </c>
      <c r="K864">
        <v>60062</v>
      </c>
      <c r="L864">
        <v>1525</v>
      </c>
      <c r="M864">
        <v>7</v>
      </c>
      <c r="N864">
        <v>2</v>
      </c>
      <c r="O864">
        <v>0</v>
      </c>
      <c r="P864" t="s">
        <v>18</v>
      </c>
      <c r="Q864">
        <v>2</v>
      </c>
      <c r="R864">
        <v>0</v>
      </c>
      <c r="S864" t="s">
        <v>21</v>
      </c>
      <c r="T864">
        <v>2</v>
      </c>
      <c r="U864">
        <v>0</v>
      </c>
    </row>
    <row r="865" spans="1:21" x14ac:dyDescent="0.25">
      <c r="A865">
        <v>9872230</v>
      </c>
      <c r="B865" t="s">
        <v>15</v>
      </c>
      <c r="C865" s="1">
        <v>43272</v>
      </c>
      <c r="D865" s="2">
        <f>YEAR(C865)</f>
        <v>2018</v>
      </c>
      <c r="E865">
        <v>1285000</v>
      </c>
      <c r="F865" t="s">
        <v>85</v>
      </c>
      <c r="G865">
        <v>1977</v>
      </c>
      <c r="H865">
        <v>9</v>
      </c>
      <c r="I865" t="s">
        <v>270</v>
      </c>
      <c r="J865">
        <v>62</v>
      </c>
      <c r="K865">
        <v>60062</v>
      </c>
      <c r="L865">
        <v>4785</v>
      </c>
      <c r="M865">
        <v>10</v>
      </c>
      <c r="N865">
        <v>3</v>
      </c>
      <c r="O865">
        <v>1</v>
      </c>
      <c r="P865" t="s">
        <v>18</v>
      </c>
      <c r="Q865">
        <v>3</v>
      </c>
      <c r="R865">
        <v>0</v>
      </c>
      <c r="S865" t="s">
        <v>21</v>
      </c>
      <c r="T865">
        <v>3</v>
      </c>
      <c r="U865">
        <v>0</v>
      </c>
    </row>
    <row r="866" spans="1:21" x14ac:dyDescent="0.25">
      <c r="A866">
        <v>9611103</v>
      </c>
      <c r="B866" t="s">
        <v>15</v>
      </c>
      <c r="C866" s="1">
        <v>42885</v>
      </c>
      <c r="D866" s="2">
        <f>YEAR(C866)</f>
        <v>2017</v>
      </c>
      <c r="E866">
        <v>800000</v>
      </c>
      <c r="F866" t="s">
        <v>85</v>
      </c>
      <c r="G866">
        <v>1977</v>
      </c>
      <c r="H866">
        <v>2755</v>
      </c>
      <c r="I866" t="s">
        <v>377</v>
      </c>
      <c r="J866">
        <v>62</v>
      </c>
      <c r="K866">
        <v>60062</v>
      </c>
      <c r="L866">
        <v>3422</v>
      </c>
      <c r="M866">
        <v>10</v>
      </c>
      <c r="N866">
        <v>3</v>
      </c>
      <c r="O866">
        <v>1</v>
      </c>
      <c r="P866" t="s">
        <v>18</v>
      </c>
      <c r="Q866">
        <v>4</v>
      </c>
      <c r="R866">
        <v>0</v>
      </c>
      <c r="S866" t="s">
        <v>21</v>
      </c>
      <c r="T866">
        <v>2</v>
      </c>
      <c r="U866">
        <v>0</v>
      </c>
    </row>
    <row r="867" spans="1:21" x14ac:dyDescent="0.25">
      <c r="A867">
        <v>9506516</v>
      </c>
      <c r="B867" t="s">
        <v>15</v>
      </c>
      <c r="C867" s="1">
        <v>42898</v>
      </c>
      <c r="D867" s="2">
        <f>YEAR(C867)</f>
        <v>2017</v>
      </c>
      <c r="E867">
        <v>592000</v>
      </c>
      <c r="F867" t="s">
        <v>85</v>
      </c>
      <c r="G867">
        <v>1977</v>
      </c>
      <c r="H867">
        <v>2843</v>
      </c>
      <c r="I867" t="s">
        <v>371</v>
      </c>
      <c r="J867">
        <v>62</v>
      </c>
      <c r="K867">
        <v>60062</v>
      </c>
      <c r="L867">
        <v>2904</v>
      </c>
      <c r="M867">
        <v>10</v>
      </c>
      <c r="N867">
        <v>3</v>
      </c>
      <c r="O867">
        <v>1</v>
      </c>
      <c r="P867" t="s">
        <v>18</v>
      </c>
      <c r="Q867">
        <v>5</v>
      </c>
      <c r="R867">
        <v>0</v>
      </c>
      <c r="S867" t="s">
        <v>21</v>
      </c>
      <c r="T867">
        <v>2</v>
      </c>
      <c r="U867">
        <v>0</v>
      </c>
    </row>
    <row r="868" spans="1:21" x14ac:dyDescent="0.25">
      <c r="A868">
        <v>9891406</v>
      </c>
      <c r="B868" t="s">
        <v>15</v>
      </c>
      <c r="C868" s="1">
        <v>43222</v>
      </c>
      <c r="D868" s="2">
        <f>YEAR(C868)</f>
        <v>2018</v>
      </c>
      <c r="E868">
        <v>390000</v>
      </c>
      <c r="F868" t="s">
        <v>85</v>
      </c>
      <c r="G868">
        <v>1977</v>
      </c>
      <c r="H868">
        <v>3118</v>
      </c>
      <c r="I868" t="s">
        <v>326</v>
      </c>
      <c r="J868">
        <v>62</v>
      </c>
      <c r="K868">
        <v>60062</v>
      </c>
      <c r="L868">
        <v>2800</v>
      </c>
      <c r="M868">
        <v>7</v>
      </c>
      <c r="N868">
        <v>2</v>
      </c>
      <c r="O868">
        <v>1</v>
      </c>
      <c r="P868" t="s">
        <v>18</v>
      </c>
      <c r="Q868">
        <v>2</v>
      </c>
      <c r="R868">
        <v>0</v>
      </c>
      <c r="S868" t="s">
        <v>21</v>
      </c>
      <c r="T868">
        <v>2</v>
      </c>
      <c r="U868">
        <v>0</v>
      </c>
    </row>
    <row r="869" spans="1:21" x14ac:dyDescent="0.25">
      <c r="A869">
        <v>9874599</v>
      </c>
      <c r="B869" t="s">
        <v>15</v>
      </c>
      <c r="C869" s="1">
        <v>43244</v>
      </c>
      <c r="D869" s="2">
        <f>YEAR(C869)</f>
        <v>2018</v>
      </c>
      <c r="E869">
        <v>435000</v>
      </c>
      <c r="F869" t="s">
        <v>85</v>
      </c>
      <c r="G869">
        <v>1977</v>
      </c>
      <c r="H869">
        <v>1955</v>
      </c>
      <c r="I869" t="s">
        <v>378</v>
      </c>
      <c r="J869">
        <v>62</v>
      </c>
      <c r="K869">
        <v>60062</v>
      </c>
      <c r="L869">
        <v>2688</v>
      </c>
      <c r="M869">
        <v>8</v>
      </c>
      <c r="N869">
        <v>2</v>
      </c>
      <c r="O869">
        <v>1</v>
      </c>
      <c r="P869" t="s">
        <v>18</v>
      </c>
      <c r="Q869">
        <v>4</v>
      </c>
      <c r="R869">
        <v>0</v>
      </c>
      <c r="S869" t="s">
        <v>21</v>
      </c>
      <c r="T869">
        <v>2</v>
      </c>
      <c r="U869">
        <v>0</v>
      </c>
    </row>
    <row r="870" spans="1:21" x14ac:dyDescent="0.25">
      <c r="A870">
        <v>9631744</v>
      </c>
      <c r="B870" t="s">
        <v>15</v>
      </c>
      <c r="C870" s="1">
        <v>43045</v>
      </c>
      <c r="D870" s="2">
        <f>YEAR(C870)</f>
        <v>2017</v>
      </c>
      <c r="E870">
        <v>410000</v>
      </c>
      <c r="F870" t="s">
        <v>85</v>
      </c>
      <c r="G870">
        <v>1977</v>
      </c>
      <c r="H870">
        <v>1955</v>
      </c>
      <c r="I870" t="s">
        <v>378</v>
      </c>
      <c r="J870">
        <v>62</v>
      </c>
      <c r="K870">
        <v>60062</v>
      </c>
      <c r="L870">
        <v>2678</v>
      </c>
      <c r="M870">
        <v>8</v>
      </c>
      <c r="N870">
        <v>2</v>
      </c>
      <c r="O870">
        <v>1</v>
      </c>
      <c r="P870" t="s">
        <v>18</v>
      </c>
      <c r="Q870">
        <v>4</v>
      </c>
      <c r="R870">
        <v>0</v>
      </c>
      <c r="S870" t="s">
        <v>21</v>
      </c>
      <c r="T870">
        <v>2</v>
      </c>
      <c r="U870">
        <v>0</v>
      </c>
    </row>
    <row r="871" spans="1:21" x14ac:dyDescent="0.25">
      <c r="A871">
        <v>9953536</v>
      </c>
      <c r="B871" t="s">
        <v>15</v>
      </c>
      <c r="C871" s="1">
        <v>43292</v>
      </c>
      <c r="D871" s="2">
        <f>YEAR(C871)</f>
        <v>2018</v>
      </c>
      <c r="E871">
        <v>565000</v>
      </c>
      <c r="F871" t="s">
        <v>85</v>
      </c>
      <c r="G871">
        <v>1977</v>
      </c>
      <c r="H871">
        <v>2520</v>
      </c>
      <c r="I871" t="s">
        <v>379</v>
      </c>
      <c r="J871">
        <v>62</v>
      </c>
      <c r="K871">
        <v>60062</v>
      </c>
      <c r="L871">
        <v>2517</v>
      </c>
      <c r="M871">
        <v>8</v>
      </c>
      <c r="N871">
        <v>2</v>
      </c>
      <c r="O871">
        <v>1</v>
      </c>
      <c r="P871" t="s">
        <v>18</v>
      </c>
      <c r="Q871">
        <v>3</v>
      </c>
      <c r="R871">
        <v>0</v>
      </c>
      <c r="S871" t="s">
        <v>21</v>
      </c>
      <c r="T871">
        <v>2</v>
      </c>
      <c r="U871">
        <v>0</v>
      </c>
    </row>
    <row r="872" spans="1:21" x14ac:dyDescent="0.25">
      <c r="A872">
        <v>9804480</v>
      </c>
      <c r="B872" t="s">
        <v>15</v>
      </c>
      <c r="C872" s="1">
        <v>43175</v>
      </c>
      <c r="D872" s="2">
        <f>YEAR(C872)</f>
        <v>2018</v>
      </c>
      <c r="E872">
        <v>390000</v>
      </c>
      <c r="F872" t="s">
        <v>85</v>
      </c>
      <c r="G872">
        <v>1977</v>
      </c>
      <c r="H872">
        <v>2246</v>
      </c>
      <c r="I872" t="s">
        <v>380</v>
      </c>
      <c r="J872">
        <v>62</v>
      </c>
      <c r="K872">
        <v>60062</v>
      </c>
      <c r="L872">
        <v>2400</v>
      </c>
      <c r="M872">
        <v>7</v>
      </c>
      <c r="N872">
        <v>2</v>
      </c>
      <c r="O872">
        <v>0</v>
      </c>
      <c r="P872" t="s">
        <v>18</v>
      </c>
      <c r="Q872">
        <v>2</v>
      </c>
      <c r="R872">
        <v>0</v>
      </c>
      <c r="S872" t="s">
        <v>21</v>
      </c>
      <c r="T872">
        <v>2</v>
      </c>
      <c r="U872">
        <v>0</v>
      </c>
    </row>
    <row r="873" spans="1:21" x14ac:dyDescent="0.25">
      <c r="A873">
        <v>9950439</v>
      </c>
      <c r="B873" t="s">
        <v>15</v>
      </c>
      <c r="C873" s="1">
        <v>43313</v>
      </c>
      <c r="D873" s="2">
        <f>YEAR(C873)</f>
        <v>2018</v>
      </c>
      <c r="E873">
        <v>445000</v>
      </c>
      <c r="F873" t="s">
        <v>85</v>
      </c>
      <c r="G873">
        <v>1977</v>
      </c>
      <c r="H873">
        <v>2420</v>
      </c>
      <c r="I873" t="s">
        <v>381</v>
      </c>
      <c r="J873">
        <v>62</v>
      </c>
      <c r="K873">
        <v>60062</v>
      </c>
      <c r="L873">
        <v>2400</v>
      </c>
      <c r="M873">
        <v>8</v>
      </c>
      <c r="N873">
        <v>2</v>
      </c>
      <c r="O873">
        <v>0</v>
      </c>
      <c r="P873" t="s">
        <v>18</v>
      </c>
      <c r="Q873">
        <v>2</v>
      </c>
      <c r="R873">
        <v>0</v>
      </c>
      <c r="S873" t="s">
        <v>21</v>
      </c>
      <c r="T873">
        <v>2</v>
      </c>
      <c r="U873">
        <v>0</v>
      </c>
    </row>
    <row r="874" spans="1:21" x14ac:dyDescent="0.25">
      <c r="A874">
        <v>9913875</v>
      </c>
      <c r="B874" t="s">
        <v>15</v>
      </c>
      <c r="C874" s="1">
        <v>43242</v>
      </c>
      <c r="D874" s="2">
        <f>YEAR(C874)</f>
        <v>2018</v>
      </c>
      <c r="E874">
        <v>405000</v>
      </c>
      <c r="F874" t="s">
        <v>85</v>
      </c>
      <c r="G874">
        <v>1977</v>
      </c>
      <c r="H874">
        <v>2400</v>
      </c>
      <c r="I874" t="s">
        <v>370</v>
      </c>
      <c r="J874">
        <v>62</v>
      </c>
      <c r="K874">
        <v>60062</v>
      </c>
      <c r="L874">
        <v>2400</v>
      </c>
      <c r="M874">
        <v>9</v>
      </c>
      <c r="N874">
        <v>2</v>
      </c>
      <c r="O874">
        <v>1</v>
      </c>
      <c r="P874" t="s">
        <v>18</v>
      </c>
      <c r="Q874">
        <v>4</v>
      </c>
      <c r="R874">
        <v>0</v>
      </c>
      <c r="S874" t="s">
        <v>21</v>
      </c>
      <c r="T874">
        <v>2</v>
      </c>
      <c r="U874">
        <v>0</v>
      </c>
    </row>
    <row r="875" spans="1:21" x14ac:dyDescent="0.25">
      <c r="A875">
        <v>9796381</v>
      </c>
      <c r="B875" t="s">
        <v>15</v>
      </c>
      <c r="C875" s="1">
        <v>43090</v>
      </c>
      <c r="D875" s="2">
        <f>YEAR(C875)</f>
        <v>2017</v>
      </c>
      <c r="E875">
        <v>369525</v>
      </c>
      <c r="F875" t="s">
        <v>85</v>
      </c>
      <c r="G875">
        <v>1977</v>
      </c>
      <c r="H875">
        <v>2438</v>
      </c>
      <c r="I875" t="s">
        <v>381</v>
      </c>
      <c r="J875">
        <v>62</v>
      </c>
      <c r="K875">
        <v>60062</v>
      </c>
      <c r="L875">
        <v>2364</v>
      </c>
      <c r="M875">
        <v>6</v>
      </c>
      <c r="N875">
        <v>2</v>
      </c>
      <c r="O875">
        <v>0</v>
      </c>
      <c r="P875" t="s">
        <v>18</v>
      </c>
      <c r="Q875">
        <v>2</v>
      </c>
      <c r="R875">
        <v>0</v>
      </c>
      <c r="S875" t="s">
        <v>21</v>
      </c>
      <c r="T875">
        <v>2</v>
      </c>
      <c r="U875">
        <v>0</v>
      </c>
    </row>
    <row r="876" spans="1:21" x14ac:dyDescent="0.25">
      <c r="A876">
        <v>9948494</v>
      </c>
      <c r="B876" t="s">
        <v>15</v>
      </c>
      <c r="C876" s="1">
        <v>43301</v>
      </c>
      <c r="D876" s="2">
        <f>YEAR(C876)</f>
        <v>2018</v>
      </c>
      <c r="E876">
        <v>445000</v>
      </c>
      <c r="F876" t="s">
        <v>85</v>
      </c>
      <c r="G876">
        <v>1977</v>
      </c>
      <c r="H876">
        <v>2232</v>
      </c>
      <c r="I876" t="s">
        <v>380</v>
      </c>
      <c r="J876">
        <v>62</v>
      </c>
      <c r="K876">
        <v>60062</v>
      </c>
      <c r="L876">
        <v>2364</v>
      </c>
      <c r="M876">
        <v>6</v>
      </c>
      <c r="N876">
        <v>2</v>
      </c>
      <c r="O876">
        <v>0</v>
      </c>
      <c r="P876" t="s">
        <v>18</v>
      </c>
      <c r="Q876">
        <v>2</v>
      </c>
      <c r="R876">
        <v>0</v>
      </c>
      <c r="S876" t="s">
        <v>21</v>
      </c>
      <c r="T876">
        <v>2</v>
      </c>
      <c r="U876">
        <v>0</v>
      </c>
    </row>
    <row r="877" spans="1:21" x14ac:dyDescent="0.25">
      <c r="A877">
        <v>10031845</v>
      </c>
      <c r="B877" t="s">
        <v>15</v>
      </c>
      <c r="C877" s="1">
        <v>43368</v>
      </c>
      <c r="D877" s="2">
        <f>YEAR(C877)</f>
        <v>2018</v>
      </c>
      <c r="E877">
        <v>479000</v>
      </c>
      <c r="F877" t="s">
        <v>85</v>
      </c>
      <c r="G877">
        <v>1977</v>
      </c>
      <c r="H877">
        <v>2305</v>
      </c>
      <c r="I877" t="s">
        <v>267</v>
      </c>
      <c r="J877">
        <v>62</v>
      </c>
      <c r="K877">
        <v>60062</v>
      </c>
      <c r="L877">
        <v>2364</v>
      </c>
      <c r="M877">
        <v>6</v>
      </c>
      <c r="N877">
        <v>2</v>
      </c>
      <c r="O877">
        <v>0</v>
      </c>
      <c r="P877" t="s">
        <v>18</v>
      </c>
      <c r="Q877">
        <v>2</v>
      </c>
      <c r="R877">
        <v>0</v>
      </c>
      <c r="S877" t="s">
        <v>21</v>
      </c>
      <c r="T877">
        <v>2</v>
      </c>
      <c r="U877">
        <v>0</v>
      </c>
    </row>
    <row r="878" spans="1:21" x14ac:dyDescent="0.25">
      <c r="A878">
        <v>10040800</v>
      </c>
      <c r="B878" t="s">
        <v>15</v>
      </c>
      <c r="C878" s="1">
        <v>43369</v>
      </c>
      <c r="D878" s="2">
        <f>YEAR(C878)</f>
        <v>2018</v>
      </c>
      <c r="E878">
        <v>485000</v>
      </c>
      <c r="F878" t="s">
        <v>85</v>
      </c>
      <c r="G878">
        <v>1977</v>
      </c>
      <c r="H878">
        <v>2337</v>
      </c>
      <c r="I878" t="s">
        <v>267</v>
      </c>
      <c r="J878">
        <v>62</v>
      </c>
      <c r="K878">
        <v>60062</v>
      </c>
      <c r="L878">
        <v>2360</v>
      </c>
      <c r="M878">
        <v>6</v>
      </c>
      <c r="N878">
        <v>2</v>
      </c>
      <c r="O878">
        <v>0</v>
      </c>
      <c r="P878" t="s">
        <v>18</v>
      </c>
      <c r="Q878">
        <v>2</v>
      </c>
      <c r="R878">
        <v>0</v>
      </c>
      <c r="S878" t="s">
        <v>21</v>
      </c>
      <c r="T878">
        <v>2</v>
      </c>
      <c r="U878">
        <v>0</v>
      </c>
    </row>
    <row r="879" spans="1:21" x14ac:dyDescent="0.25">
      <c r="A879">
        <v>9502963</v>
      </c>
      <c r="B879" t="s">
        <v>15</v>
      </c>
      <c r="C879" s="1">
        <v>42830</v>
      </c>
      <c r="D879" s="2">
        <f>YEAR(C879)</f>
        <v>2017</v>
      </c>
      <c r="E879">
        <v>540000</v>
      </c>
      <c r="F879" t="s">
        <v>85</v>
      </c>
      <c r="G879">
        <v>1977</v>
      </c>
      <c r="H879">
        <v>10</v>
      </c>
      <c r="I879" t="s">
        <v>382</v>
      </c>
      <c r="J879">
        <v>62</v>
      </c>
      <c r="K879">
        <v>60062</v>
      </c>
      <c r="L879">
        <v>2232</v>
      </c>
      <c r="M879">
        <v>10</v>
      </c>
      <c r="N879">
        <v>2</v>
      </c>
      <c r="O879">
        <v>1</v>
      </c>
      <c r="P879" t="s">
        <v>18</v>
      </c>
      <c r="Q879">
        <v>4</v>
      </c>
      <c r="R879">
        <v>0</v>
      </c>
      <c r="S879" t="s">
        <v>21</v>
      </c>
      <c r="T879">
        <v>2</v>
      </c>
      <c r="U879">
        <v>0</v>
      </c>
    </row>
    <row r="880" spans="1:21" x14ac:dyDescent="0.25">
      <c r="A880">
        <v>10015857</v>
      </c>
      <c r="B880" t="s">
        <v>15</v>
      </c>
      <c r="C880" s="1">
        <v>43403</v>
      </c>
      <c r="D880" s="2">
        <f>YEAR(C880)</f>
        <v>2018</v>
      </c>
      <c r="E880">
        <v>425000</v>
      </c>
      <c r="F880" t="s">
        <v>85</v>
      </c>
      <c r="G880">
        <v>1977</v>
      </c>
      <c r="H880">
        <v>2379</v>
      </c>
      <c r="I880" t="s">
        <v>383</v>
      </c>
      <c r="J880">
        <v>62</v>
      </c>
      <c r="K880">
        <v>60062</v>
      </c>
      <c r="L880">
        <v>2200</v>
      </c>
      <c r="M880">
        <v>7</v>
      </c>
      <c r="N880">
        <v>2</v>
      </c>
      <c r="O880">
        <v>0</v>
      </c>
      <c r="P880" t="s">
        <v>18</v>
      </c>
      <c r="Q880">
        <v>2</v>
      </c>
      <c r="R880">
        <v>0</v>
      </c>
      <c r="S880" t="s">
        <v>21</v>
      </c>
      <c r="T880">
        <v>2</v>
      </c>
      <c r="U880">
        <v>0</v>
      </c>
    </row>
    <row r="881" spans="1:21" x14ac:dyDescent="0.25">
      <c r="A881">
        <v>9563794</v>
      </c>
      <c r="B881" t="s">
        <v>15</v>
      </c>
      <c r="C881" s="1">
        <v>42930</v>
      </c>
      <c r="D881" s="2">
        <f>YEAR(C881)</f>
        <v>2017</v>
      </c>
      <c r="E881">
        <v>389000</v>
      </c>
      <c r="F881" t="s">
        <v>85</v>
      </c>
      <c r="G881">
        <v>1977</v>
      </c>
      <c r="H881">
        <v>2411</v>
      </c>
      <c r="I881" t="s">
        <v>384</v>
      </c>
      <c r="J881">
        <v>62</v>
      </c>
      <c r="K881">
        <v>60062</v>
      </c>
      <c r="L881">
        <v>1977</v>
      </c>
      <c r="M881">
        <v>6</v>
      </c>
      <c r="N881">
        <v>2</v>
      </c>
      <c r="O881">
        <v>0</v>
      </c>
      <c r="P881" t="s">
        <v>18</v>
      </c>
      <c r="Q881">
        <v>2</v>
      </c>
      <c r="R881">
        <v>0</v>
      </c>
      <c r="S881" t="s">
        <v>21</v>
      </c>
      <c r="T881">
        <v>2</v>
      </c>
      <c r="U881">
        <v>0</v>
      </c>
    </row>
    <row r="882" spans="1:21" x14ac:dyDescent="0.25">
      <c r="A882">
        <v>9844631</v>
      </c>
      <c r="B882" t="s">
        <v>15</v>
      </c>
      <c r="C882" s="1">
        <v>43374</v>
      </c>
      <c r="D882" s="2">
        <f>YEAR(C882)</f>
        <v>2018</v>
      </c>
      <c r="E882">
        <v>358000</v>
      </c>
      <c r="F882" t="s">
        <v>85</v>
      </c>
      <c r="G882">
        <v>1977</v>
      </c>
      <c r="H882">
        <v>12</v>
      </c>
      <c r="I882" t="s">
        <v>374</v>
      </c>
      <c r="J882">
        <v>62</v>
      </c>
      <c r="K882">
        <v>60062</v>
      </c>
      <c r="L882">
        <v>1865</v>
      </c>
      <c r="M882">
        <v>6</v>
      </c>
      <c r="N882">
        <v>2</v>
      </c>
      <c r="O882">
        <v>0</v>
      </c>
      <c r="P882" t="s">
        <v>18</v>
      </c>
      <c r="Q882">
        <v>3</v>
      </c>
      <c r="R882">
        <v>0</v>
      </c>
      <c r="S882" t="s">
        <v>21</v>
      </c>
      <c r="T882">
        <v>2</v>
      </c>
      <c r="U882">
        <v>0</v>
      </c>
    </row>
    <row r="883" spans="1:21" x14ac:dyDescent="0.25">
      <c r="A883">
        <v>9921054</v>
      </c>
      <c r="B883" t="s">
        <v>15</v>
      </c>
      <c r="C883" s="1">
        <v>43238</v>
      </c>
      <c r="D883" s="2">
        <f>YEAR(C883)</f>
        <v>2018</v>
      </c>
      <c r="E883">
        <v>415000</v>
      </c>
      <c r="F883" t="s">
        <v>85</v>
      </c>
      <c r="G883">
        <v>1977</v>
      </c>
      <c r="H883">
        <v>2530</v>
      </c>
      <c r="I883" t="s">
        <v>343</v>
      </c>
      <c r="J883">
        <v>62</v>
      </c>
      <c r="K883">
        <v>60062</v>
      </c>
      <c r="L883">
        <v>1847</v>
      </c>
      <c r="M883">
        <v>8</v>
      </c>
      <c r="N883">
        <v>2</v>
      </c>
      <c r="O883">
        <v>0</v>
      </c>
      <c r="P883" t="s">
        <v>18</v>
      </c>
      <c r="Q883">
        <v>2</v>
      </c>
      <c r="R883">
        <v>0</v>
      </c>
      <c r="S883" t="s">
        <v>21</v>
      </c>
      <c r="T883">
        <v>2</v>
      </c>
      <c r="U883">
        <v>0</v>
      </c>
    </row>
    <row r="884" spans="1:21" x14ac:dyDescent="0.25">
      <c r="A884">
        <v>9703369</v>
      </c>
      <c r="B884" t="s">
        <v>15</v>
      </c>
      <c r="C884" s="1">
        <v>43059</v>
      </c>
      <c r="D884" s="2">
        <f>YEAR(C884)</f>
        <v>2017</v>
      </c>
      <c r="E884">
        <v>365000</v>
      </c>
      <c r="F884" t="s">
        <v>85</v>
      </c>
      <c r="G884">
        <v>1977</v>
      </c>
      <c r="H884">
        <v>4</v>
      </c>
      <c r="I884" t="s">
        <v>382</v>
      </c>
      <c r="J884">
        <v>62</v>
      </c>
      <c r="K884">
        <v>60062</v>
      </c>
      <c r="L884">
        <v>1833</v>
      </c>
      <c r="M884">
        <v>7</v>
      </c>
      <c r="N884">
        <v>2</v>
      </c>
      <c r="O884">
        <v>1</v>
      </c>
      <c r="P884" t="s">
        <v>18</v>
      </c>
      <c r="Q884">
        <v>3</v>
      </c>
      <c r="R884">
        <v>0</v>
      </c>
      <c r="S884" t="s">
        <v>21</v>
      </c>
      <c r="T884">
        <v>2</v>
      </c>
      <c r="U884">
        <v>0</v>
      </c>
    </row>
    <row r="885" spans="1:21" x14ac:dyDescent="0.25">
      <c r="A885">
        <v>9992352</v>
      </c>
      <c r="B885" t="s">
        <v>15</v>
      </c>
      <c r="C885" s="1">
        <v>43384</v>
      </c>
      <c r="D885" s="2">
        <f>YEAR(C885)</f>
        <v>2018</v>
      </c>
      <c r="E885">
        <v>360000</v>
      </c>
      <c r="F885" t="s">
        <v>85</v>
      </c>
      <c r="G885">
        <v>1977</v>
      </c>
      <c r="H885">
        <v>4</v>
      </c>
      <c r="I885" t="s">
        <v>385</v>
      </c>
      <c r="J885">
        <v>62</v>
      </c>
      <c r="K885">
        <v>60062</v>
      </c>
      <c r="L885">
        <v>1804</v>
      </c>
      <c r="M885">
        <v>8</v>
      </c>
      <c r="N885">
        <v>2</v>
      </c>
      <c r="O885">
        <v>1</v>
      </c>
      <c r="P885" t="s">
        <v>18</v>
      </c>
      <c r="Q885">
        <v>3</v>
      </c>
      <c r="R885">
        <v>0</v>
      </c>
      <c r="S885" t="s">
        <v>21</v>
      </c>
      <c r="T885">
        <v>2</v>
      </c>
      <c r="U885">
        <v>0</v>
      </c>
    </row>
    <row r="886" spans="1:21" x14ac:dyDescent="0.25">
      <c r="A886">
        <v>9909134</v>
      </c>
      <c r="B886" t="s">
        <v>15</v>
      </c>
      <c r="C886" s="1">
        <v>43515</v>
      </c>
      <c r="D886" s="2">
        <f>YEAR(C886)</f>
        <v>2019</v>
      </c>
      <c r="E886">
        <v>620000</v>
      </c>
      <c r="F886" t="s">
        <v>85</v>
      </c>
      <c r="G886">
        <v>1978</v>
      </c>
      <c r="H886">
        <v>3750</v>
      </c>
      <c r="I886" t="s">
        <v>154</v>
      </c>
      <c r="J886">
        <v>76</v>
      </c>
      <c r="K886">
        <v>60076</v>
      </c>
      <c r="L886">
        <v>4300</v>
      </c>
      <c r="M886">
        <v>12</v>
      </c>
      <c r="N886">
        <v>3</v>
      </c>
      <c r="O886">
        <v>0</v>
      </c>
      <c r="P886" t="s">
        <v>18</v>
      </c>
      <c r="Q886">
        <v>5</v>
      </c>
      <c r="R886">
        <v>0</v>
      </c>
      <c r="S886" t="s">
        <v>21</v>
      </c>
      <c r="T886">
        <v>2.5</v>
      </c>
      <c r="U886">
        <v>0</v>
      </c>
    </row>
    <row r="887" spans="1:21" x14ac:dyDescent="0.25">
      <c r="A887">
        <v>10111975</v>
      </c>
      <c r="B887" t="s">
        <v>15</v>
      </c>
      <c r="C887" s="1">
        <v>43495</v>
      </c>
      <c r="D887" s="2">
        <f>YEAR(C887)</f>
        <v>2019</v>
      </c>
      <c r="E887">
        <v>420000</v>
      </c>
      <c r="F887" t="s">
        <v>85</v>
      </c>
      <c r="G887">
        <v>1978</v>
      </c>
      <c r="H887">
        <v>10027</v>
      </c>
      <c r="I887" t="s">
        <v>386</v>
      </c>
      <c r="J887">
        <v>76</v>
      </c>
      <c r="K887">
        <v>60077</v>
      </c>
      <c r="L887">
        <v>2793</v>
      </c>
      <c r="M887">
        <v>10</v>
      </c>
      <c r="N887">
        <v>3</v>
      </c>
      <c r="O887">
        <v>1</v>
      </c>
      <c r="P887" t="s">
        <v>18</v>
      </c>
      <c r="Q887">
        <v>4</v>
      </c>
      <c r="R887">
        <v>1</v>
      </c>
      <c r="S887" t="s">
        <v>21</v>
      </c>
      <c r="T887">
        <v>2</v>
      </c>
      <c r="U887">
        <v>0</v>
      </c>
    </row>
    <row r="888" spans="1:21" x14ac:dyDescent="0.25">
      <c r="A888">
        <v>10150995</v>
      </c>
      <c r="B888" t="s">
        <v>15</v>
      </c>
      <c r="C888" s="1">
        <v>43480</v>
      </c>
      <c r="D888" s="2">
        <f>YEAR(C888)</f>
        <v>2019</v>
      </c>
      <c r="E888">
        <v>445000</v>
      </c>
      <c r="F888" t="s">
        <v>85</v>
      </c>
      <c r="G888">
        <v>1978</v>
      </c>
      <c r="H888">
        <v>2526</v>
      </c>
      <c r="I888" t="s">
        <v>387</v>
      </c>
      <c r="J888">
        <v>62</v>
      </c>
      <c r="K888">
        <v>60062</v>
      </c>
      <c r="L888">
        <v>3441</v>
      </c>
      <c r="M888">
        <v>10</v>
      </c>
      <c r="N888">
        <v>2</v>
      </c>
      <c r="O888">
        <v>1</v>
      </c>
      <c r="P888" t="s">
        <v>18</v>
      </c>
      <c r="Q888">
        <v>4</v>
      </c>
      <c r="R888">
        <v>0</v>
      </c>
      <c r="S888" t="s">
        <v>21</v>
      </c>
      <c r="T888">
        <v>2</v>
      </c>
      <c r="U888">
        <v>0</v>
      </c>
    </row>
    <row r="889" spans="1:21" x14ac:dyDescent="0.25">
      <c r="A889">
        <v>9869885</v>
      </c>
      <c r="B889" t="s">
        <v>15</v>
      </c>
      <c r="C889" s="1">
        <v>43266</v>
      </c>
      <c r="D889" s="2">
        <f>YEAR(C889)</f>
        <v>2018</v>
      </c>
      <c r="E889">
        <v>615000</v>
      </c>
      <c r="F889" t="s">
        <v>85</v>
      </c>
      <c r="G889">
        <v>1978</v>
      </c>
      <c r="H889">
        <v>1517</v>
      </c>
      <c r="I889" t="s">
        <v>378</v>
      </c>
      <c r="J889">
        <v>62</v>
      </c>
      <c r="K889">
        <v>60062</v>
      </c>
      <c r="L889">
        <v>3360</v>
      </c>
      <c r="M889">
        <v>10</v>
      </c>
      <c r="N889">
        <v>3</v>
      </c>
      <c r="O889">
        <v>0</v>
      </c>
      <c r="P889" t="s">
        <v>18</v>
      </c>
      <c r="Q889">
        <v>5</v>
      </c>
      <c r="R889">
        <v>0</v>
      </c>
      <c r="S889" t="s">
        <v>21</v>
      </c>
      <c r="T889">
        <v>2</v>
      </c>
      <c r="U889">
        <v>0</v>
      </c>
    </row>
    <row r="890" spans="1:21" x14ac:dyDescent="0.25">
      <c r="A890">
        <v>9568070</v>
      </c>
      <c r="B890" t="s">
        <v>15</v>
      </c>
      <c r="C890" s="1">
        <v>42948</v>
      </c>
      <c r="D890" s="2">
        <f>YEAR(C890)</f>
        <v>2017</v>
      </c>
      <c r="E890">
        <v>650000</v>
      </c>
      <c r="F890" t="s">
        <v>85</v>
      </c>
      <c r="G890">
        <v>1978</v>
      </c>
      <c r="H890">
        <v>2435</v>
      </c>
      <c r="I890" t="s">
        <v>388</v>
      </c>
      <c r="J890">
        <v>62</v>
      </c>
      <c r="K890">
        <v>60062</v>
      </c>
      <c r="L890">
        <v>3226</v>
      </c>
      <c r="M890">
        <v>12</v>
      </c>
      <c r="N890">
        <v>2</v>
      </c>
      <c r="O890">
        <v>1</v>
      </c>
      <c r="P890" t="s">
        <v>18</v>
      </c>
      <c r="Q890">
        <v>5</v>
      </c>
      <c r="R890">
        <v>0</v>
      </c>
      <c r="S890" t="s">
        <v>22</v>
      </c>
      <c r="T890">
        <v>2</v>
      </c>
      <c r="U890">
        <v>0</v>
      </c>
    </row>
    <row r="891" spans="1:21" x14ac:dyDescent="0.25">
      <c r="A891">
        <v>10152056</v>
      </c>
      <c r="B891" t="s">
        <v>15</v>
      </c>
      <c r="C891" s="1">
        <v>43511</v>
      </c>
      <c r="D891" s="2">
        <f>YEAR(C891)</f>
        <v>2019</v>
      </c>
      <c r="E891">
        <v>555000</v>
      </c>
      <c r="F891" t="s">
        <v>85</v>
      </c>
      <c r="G891">
        <v>1978</v>
      </c>
      <c r="H891">
        <v>4138</v>
      </c>
      <c r="I891" t="s">
        <v>389</v>
      </c>
      <c r="J891">
        <v>62</v>
      </c>
      <c r="K891">
        <v>60062</v>
      </c>
      <c r="L891">
        <v>2713</v>
      </c>
      <c r="M891">
        <v>9</v>
      </c>
      <c r="N891">
        <v>2</v>
      </c>
      <c r="O891">
        <v>1</v>
      </c>
      <c r="P891" t="s">
        <v>18</v>
      </c>
      <c r="Q891">
        <v>4</v>
      </c>
      <c r="R891">
        <v>0</v>
      </c>
      <c r="S891" t="s">
        <v>21</v>
      </c>
      <c r="T891">
        <v>2</v>
      </c>
      <c r="U891">
        <v>0</v>
      </c>
    </row>
    <row r="892" spans="1:21" x14ac:dyDescent="0.25">
      <c r="A892">
        <v>9641826</v>
      </c>
      <c r="B892" t="s">
        <v>15</v>
      </c>
      <c r="C892" s="1">
        <v>42937</v>
      </c>
      <c r="D892" s="2">
        <f>YEAR(C892)</f>
        <v>2017</v>
      </c>
      <c r="E892">
        <v>642000</v>
      </c>
      <c r="F892" t="s">
        <v>85</v>
      </c>
      <c r="G892">
        <v>1978</v>
      </c>
      <c r="H892">
        <v>2415</v>
      </c>
      <c r="I892" t="s">
        <v>388</v>
      </c>
      <c r="J892">
        <v>62</v>
      </c>
      <c r="K892">
        <v>60062</v>
      </c>
      <c r="L892">
        <v>2639</v>
      </c>
      <c r="M892">
        <v>9</v>
      </c>
      <c r="N892">
        <v>2</v>
      </c>
      <c r="O892">
        <v>1</v>
      </c>
      <c r="P892" t="s">
        <v>18</v>
      </c>
      <c r="Q892">
        <v>4</v>
      </c>
      <c r="R892">
        <v>0</v>
      </c>
      <c r="S892" t="s">
        <v>21</v>
      </c>
      <c r="T892">
        <v>2</v>
      </c>
      <c r="U892">
        <v>0</v>
      </c>
    </row>
    <row r="893" spans="1:21" x14ac:dyDescent="0.25">
      <c r="A893">
        <v>9937074</v>
      </c>
      <c r="B893" t="s">
        <v>15</v>
      </c>
      <c r="C893" s="1">
        <v>43280</v>
      </c>
      <c r="D893" s="2">
        <f>YEAR(C893)</f>
        <v>2018</v>
      </c>
      <c r="E893">
        <v>372000</v>
      </c>
      <c r="F893" t="s">
        <v>85</v>
      </c>
      <c r="G893">
        <v>1978</v>
      </c>
      <c r="H893">
        <v>13</v>
      </c>
      <c r="I893" t="s">
        <v>390</v>
      </c>
      <c r="J893">
        <v>62</v>
      </c>
      <c r="K893">
        <v>60062</v>
      </c>
      <c r="L893">
        <v>1789</v>
      </c>
      <c r="M893">
        <v>7</v>
      </c>
      <c r="N893">
        <v>2</v>
      </c>
      <c r="O893">
        <v>1</v>
      </c>
      <c r="P893" t="s">
        <v>18</v>
      </c>
      <c r="Q893">
        <v>3</v>
      </c>
      <c r="R893">
        <v>0</v>
      </c>
      <c r="S893" t="s">
        <v>21</v>
      </c>
      <c r="T893">
        <v>2</v>
      </c>
      <c r="U893">
        <v>0</v>
      </c>
    </row>
    <row r="894" spans="1:21" x14ac:dyDescent="0.25">
      <c r="A894">
        <v>9741477</v>
      </c>
      <c r="B894" t="s">
        <v>15</v>
      </c>
      <c r="C894" s="1">
        <v>43024</v>
      </c>
      <c r="D894" s="2">
        <f>YEAR(C894)</f>
        <v>2017</v>
      </c>
      <c r="E894">
        <v>330000</v>
      </c>
      <c r="F894" t="s">
        <v>85</v>
      </c>
      <c r="G894">
        <v>1978</v>
      </c>
      <c r="H894">
        <v>12</v>
      </c>
      <c r="I894" t="s">
        <v>391</v>
      </c>
      <c r="J894">
        <v>62</v>
      </c>
      <c r="K894">
        <v>60062</v>
      </c>
      <c r="L894">
        <v>1775</v>
      </c>
      <c r="M894">
        <v>6</v>
      </c>
      <c r="N894">
        <v>2</v>
      </c>
      <c r="O894">
        <v>0</v>
      </c>
      <c r="P894" t="s">
        <v>18</v>
      </c>
      <c r="Q894">
        <v>2</v>
      </c>
      <c r="R894">
        <v>0</v>
      </c>
      <c r="S894" t="s">
        <v>21</v>
      </c>
      <c r="T894">
        <v>2</v>
      </c>
      <c r="U894">
        <v>0</v>
      </c>
    </row>
    <row r="895" spans="1:21" x14ac:dyDescent="0.25">
      <c r="A895">
        <v>9836911</v>
      </c>
      <c r="B895" t="s">
        <v>15</v>
      </c>
      <c r="C895" s="1">
        <v>43173</v>
      </c>
      <c r="D895" s="2">
        <f>YEAR(C895)</f>
        <v>2018</v>
      </c>
      <c r="E895">
        <v>586250</v>
      </c>
      <c r="F895" t="s">
        <v>85</v>
      </c>
      <c r="G895">
        <v>1979</v>
      </c>
      <c r="H895">
        <v>4230</v>
      </c>
      <c r="I895" t="s">
        <v>392</v>
      </c>
      <c r="J895">
        <v>62</v>
      </c>
      <c r="K895">
        <v>60062</v>
      </c>
      <c r="L895">
        <v>2854</v>
      </c>
      <c r="M895">
        <v>13</v>
      </c>
      <c r="N895">
        <v>2</v>
      </c>
      <c r="O895">
        <v>1</v>
      </c>
      <c r="P895" t="s">
        <v>18</v>
      </c>
      <c r="Q895">
        <v>4</v>
      </c>
      <c r="R895">
        <v>1</v>
      </c>
      <c r="S895" t="s">
        <v>21</v>
      </c>
      <c r="T895">
        <v>2</v>
      </c>
      <c r="U895">
        <v>0</v>
      </c>
    </row>
    <row r="896" spans="1:21" x14ac:dyDescent="0.25">
      <c r="A896">
        <v>9732187</v>
      </c>
      <c r="B896" t="s">
        <v>15</v>
      </c>
      <c r="C896" s="1">
        <v>43081</v>
      </c>
      <c r="D896" s="2">
        <f>YEAR(C896)</f>
        <v>2017</v>
      </c>
      <c r="E896">
        <v>425000</v>
      </c>
      <c r="F896" t="s">
        <v>85</v>
      </c>
      <c r="G896">
        <v>1979</v>
      </c>
      <c r="H896">
        <v>3901</v>
      </c>
      <c r="I896" t="s">
        <v>87</v>
      </c>
      <c r="J896">
        <v>62</v>
      </c>
      <c r="K896">
        <v>60062</v>
      </c>
      <c r="L896">
        <v>2817</v>
      </c>
      <c r="M896">
        <v>8</v>
      </c>
      <c r="N896">
        <v>3</v>
      </c>
      <c r="O896">
        <v>0</v>
      </c>
      <c r="P896" t="s">
        <v>18</v>
      </c>
      <c r="Q896">
        <v>3</v>
      </c>
      <c r="R896">
        <v>0</v>
      </c>
      <c r="S896" t="s">
        <v>22</v>
      </c>
      <c r="T896">
        <v>2.5</v>
      </c>
      <c r="U896">
        <v>0</v>
      </c>
    </row>
    <row r="897" spans="1:21" x14ac:dyDescent="0.25">
      <c r="A897">
        <v>9513370</v>
      </c>
      <c r="B897" t="s">
        <v>15</v>
      </c>
      <c r="C897" s="1">
        <v>42885</v>
      </c>
      <c r="D897" s="2">
        <f>YEAR(C897)</f>
        <v>2017</v>
      </c>
      <c r="E897">
        <v>600000</v>
      </c>
      <c r="F897" t="s">
        <v>85</v>
      </c>
      <c r="G897">
        <v>1979</v>
      </c>
      <c r="H897">
        <v>1649</v>
      </c>
      <c r="I897" t="s">
        <v>393</v>
      </c>
      <c r="J897">
        <v>62</v>
      </c>
      <c r="K897">
        <v>60062</v>
      </c>
      <c r="L897">
        <v>2697</v>
      </c>
      <c r="M897">
        <v>10</v>
      </c>
      <c r="N897">
        <v>2</v>
      </c>
      <c r="O897">
        <v>1</v>
      </c>
      <c r="P897" t="s">
        <v>18</v>
      </c>
      <c r="Q897">
        <v>4</v>
      </c>
      <c r="R897">
        <v>0</v>
      </c>
      <c r="S897" t="s">
        <v>21</v>
      </c>
      <c r="T897">
        <v>2</v>
      </c>
      <c r="U897">
        <v>0</v>
      </c>
    </row>
    <row r="898" spans="1:21" x14ac:dyDescent="0.25">
      <c r="A898">
        <v>9619058</v>
      </c>
      <c r="B898" t="s">
        <v>15</v>
      </c>
      <c r="C898" s="1">
        <v>42941</v>
      </c>
      <c r="D898" s="2">
        <f>YEAR(C898)</f>
        <v>2017</v>
      </c>
      <c r="E898">
        <v>437000</v>
      </c>
      <c r="F898" t="s">
        <v>85</v>
      </c>
      <c r="G898">
        <v>1979</v>
      </c>
      <c r="H898">
        <v>3131</v>
      </c>
      <c r="I898" t="s">
        <v>394</v>
      </c>
      <c r="J898">
        <v>62</v>
      </c>
      <c r="K898">
        <v>60062</v>
      </c>
      <c r="L898">
        <v>2520</v>
      </c>
      <c r="M898">
        <v>10</v>
      </c>
      <c r="N898">
        <v>2</v>
      </c>
      <c r="O898">
        <v>1</v>
      </c>
      <c r="P898" t="s">
        <v>18</v>
      </c>
      <c r="Q898">
        <v>4</v>
      </c>
      <c r="R898">
        <v>1</v>
      </c>
      <c r="S898" t="s">
        <v>21</v>
      </c>
      <c r="T898">
        <v>2</v>
      </c>
      <c r="U898">
        <v>0</v>
      </c>
    </row>
    <row r="899" spans="1:21" x14ac:dyDescent="0.25">
      <c r="A899">
        <v>9676815</v>
      </c>
      <c r="B899" t="s">
        <v>15</v>
      </c>
      <c r="C899" s="1">
        <v>43010</v>
      </c>
      <c r="D899" s="2">
        <f>YEAR(C899)</f>
        <v>2017</v>
      </c>
      <c r="E899">
        <v>535000</v>
      </c>
      <c r="F899" t="s">
        <v>85</v>
      </c>
      <c r="G899">
        <v>1979</v>
      </c>
      <c r="H899">
        <v>2816</v>
      </c>
      <c r="I899" t="s">
        <v>190</v>
      </c>
      <c r="J899">
        <v>62</v>
      </c>
      <c r="K899">
        <v>60062</v>
      </c>
      <c r="L899">
        <v>2389</v>
      </c>
      <c r="M899">
        <v>9</v>
      </c>
      <c r="N899">
        <v>2</v>
      </c>
      <c r="O899">
        <v>1</v>
      </c>
      <c r="P899" t="s">
        <v>18</v>
      </c>
      <c r="Q899">
        <v>4</v>
      </c>
      <c r="R899">
        <v>0</v>
      </c>
      <c r="S899" t="s">
        <v>21</v>
      </c>
      <c r="T899">
        <v>2</v>
      </c>
      <c r="U899">
        <v>0</v>
      </c>
    </row>
    <row r="900" spans="1:21" x14ac:dyDescent="0.25">
      <c r="A900">
        <v>9614998</v>
      </c>
      <c r="B900" t="s">
        <v>15</v>
      </c>
      <c r="C900" s="1">
        <v>43000</v>
      </c>
      <c r="D900" s="2">
        <f>YEAR(C900)</f>
        <v>2017</v>
      </c>
      <c r="E900">
        <v>457000</v>
      </c>
      <c r="F900" t="s">
        <v>85</v>
      </c>
      <c r="G900">
        <v>1979</v>
      </c>
      <c r="H900">
        <v>210</v>
      </c>
      <c r="I900" t="s">
        <v>395</v>
      </c>
      <c r="J900">
        <v>62</v>
      </c>
      <c r="K900">
        <v>60062</v>
      </c>
      <c r="L900">
        <v>2343</v>
      </c>
      <c r="M900">
        <v>9</v>
      </c>
      <c r="N900">
        <v>2</v>
      </c>
      <c r="O900">
        <v>1</v>
      </c>
      <c r="P900" t="s">
        <v>18</v>
      </c>
      <c r="Q900">
        <v>4</v>
      </c>
      <c r="R900">
        <v>0</v>
      </c>
      <c r="S900" t="s">
        <v>21</v>
      </c>
      <c r="T900">
        <v>2</v>
      </c>
      <c r="U900">
        <v>0</v>
      </c>
    </row>
    <row r="901" spans="1:21" x14ac:dyDescent="0.25">
      <c r="A901">
        <v>9655442</v>
      </c>
      <c r="B901" t="s">
        <v>15</v>
      </c>
      <c r="C901" s="1">
        <v>43014</v>
      </c>
      <c r="D901" s="2">
        <f>YEAR(C901)</f>
        <v>2017</v>
      </c>
      <c r="E901">
        <v>430000</v>
      </c>
      <c r="F901" t="s">
        <v>85</v>
      </c>
      <c r="G901">
        <v>1979</v>
      </c>
      <c r="H901">
        <v>2865</v>
      </c>
      <c r="I901" t="s">
        <v>396</v>
      </c>
      <c r="J901">
        <v>62</v>
      </c>
      <c r="K901">
        <v>60062</v>
      </c>
      <c r="L901">
        <v>1863</v>
      </c>
      <c r="M901">
        <v>8</v>
      </c>
      <c r="N901">
        <v>2</v>
      </c>
      <c r="O901">
        <v>1</v>
      </c>
      <c r="P901" t="s">
        <v>18</v>
      </c>
      <c r="Q901">
        <v>3</v>
      </c>
      <c r="R901">
        <v>1</v>
      </c>
      <c r="S901" t="s">
        <v>21</v>
      </c>
      <c r="T901">
        <v>2</v>
      </c>
      <c r="U901">
        <v>0</v>
      </c>
    </row>
    <row r="902" spans="1:21" x14ac:dyDescent="0.25">
      <c r="A902">
        <v>9756035</v>
      </c>
      <c r="B902" t="s">
        <v>15</v>
      </c>
      <c r="C902" s="1">
        <v>43031</v>
      </c>
      <c r="D902" s="2">
        <f>YEAR(C902)</f>
        <v>2017</v>
      </c>
      <c r="E902">
        <v>556750</v>
      </c>
      <c r="F902" t="s">
        <v>85</v>
      </c>
      <c r="G902">
        <v>1980</v>
      </c>
      <c r="H902">
        <v>3730</v>
      </c>
      <c r="I902" t="s">
        <v>397</v>
      </c>
      <c r="J902">
        <v>62</v>
      </c>
      <c r="K902">
        <v>60062</v>
      </c>
      <c r="L902">
        <v>4378</v>
      </c>
      <c r="M902">
        <v>9</v>
      </c>
      <c r="N902">
        <v>5</v>
      </c>
      <c r="O902">
        <v>1</v>
      </c>
      <c r="P902" t="s">
        <v>18</v>
      </c>
      <c r="Q902">
        <v>5</v>
      </c>
      <c r="R902">
        <v>0</v>
      </c>
      <c r="S902" t="s">
        <v>21</v>
      </c>
      <c r="T902">
        <v>2</v>
      </c>
      <c r="U902">
        <v>0</v>
      </c>
    </row>
    <row r="903" spans="1:21" x14ac:dyDescent="0.25">
      <c r="A903">
        <v>9510858</v>
      </c>
      <c r="B903" t="s">
        <v>15</v>
      </c>
      <c r="C903" s="1">
        <v>42877</v>
      </c>
      <c r="D903" s="2">
        <f>YEAR(C903)</f>
        <v>2017</v>
      </c>
      <c r="E903">
        <v>750000</v>
      </c>
      <c r="F903" t="s">
        <v>85</v>
      </c>
      <c r="G903">
        <v>1980</v>
      </c>
      <c r="H903">
        <v>2030</v>
      </c>
      <c r="I903" t="s">
        <v>398</v>
      </c>
      <c r="J903">
        <v>62</v>
      </c>
      <c r="K903">
        <v>60062</v>
      </c>
      <c r="L903">
        <v>4010</v>
      </c>
      <c r="M903">
        <v>9</v>
      </c>
      <c r="N903">
        <v>2</v>
      </c>
      <c r="O903">
        <v>0</v>
      </c>
      <c r="P903" t="s">
        <v>18</v>
      </c>
      <c r="Q903">
        <v>5</v>
      </c>
      <c r="R903">
        <v>0</v>
      </c>
      <c r="S903" t="s">
        <v>21</v>
      </c>
      <c r="T903">
        <v>2</v>
      </c>
      <c r="U903">
        <v>0</v>
      </c>
    </row>
    <row r="904" spans="1:21" x14ac:dyDescent="0.25">
      <c r="A904">
        <v>9514610</v>
      </c>
      <c r="B904" t="s">
        <v>15</v>
      </c>
      <c r="C904" s="1">
        <v>42957</v>
      </c>
      <c r="D904" s="2">
        <f>YEAR(C904)</f>
        <v>2017</v>
      </c>
      <c r="E904">
        <v>465000</v>
      </c>
      <c r="F904" t="s">
        <v>85</v>
      </c>
      <c r="G904">
        <v>1980</v>
      </c>
      <c r="H904">
        <v>4205</v>
      </c>
      <c r="I904" t="s">
        <v>399</v>
      </c>
      <c r="J904">
        <v>62</v>
      </c>
      <c r="K904">
        <v>60062</v>
      </c>
      <c r="L904">
        <v>3694</v>
      </c>
      <c r="M904">
        <v>8</v>
      </c>
      <c r="N904">
        <v>2</v>
      </c>
      <c r="O904">
        <v>1</v>
      </c>
      <c r="P904" t="s">
        <v>18</v>
      </c>
      <c r="Q904">
        <v>4</v>
      </c>
      <c r="R904">
        <v>0</v>
      </c>
      <c r="S904" t="s">
        <v>21</v>
      </c>
      <c r="T904">
        <v>2</v>
      </c>
      <c r="U904">
        <v>0</v>
      </c>
    </row>
    <row r="905" spans="1:21" x14ac:dyDescent="0.25">
      <c r="A905">
        <v>9605426</v>
      </c>
      <c r="B905" t="s">
        <v>15</v>
      </c>
      <c r="C905" s="1">
        <v>43006</v>
      </c>
      <c r="D905" s="2">
        <f>YEAR(C905)</f>
        <v>2017</v>
      </c>
      <c r="E905">
        <v>717500</v>
      </c>
      <c r="F905" t="s">
        <v>85</v>
      </c>
      <c r="G905">
        <v>1980</v>
      </c>
      <c r="H905">
        <v>2830</v>
      </c>
      <c r="I905" t="s">
        <v>112</v>
      </c>
      <c r="J905">
        <v>62</v>
      </c>
      <c r="K905">
        <v>60062</v>
      </c>
      <c r="L905">
        <v>3367</v>
      </c>
      <c r="M905">
        <v>11</v>
      </c>
      <c r="N905">
        <v>3</v>
      </c>
      <c r="O905">
        <v>1</v>
      </c>
      <c r="P905" t="s">
        <v>18</v>
      </c>
      <c r="Q905">
        <v>5</v>
      </c>
      <c r="R905">
        <v>0</v>
      </c>
      <c r="S905" t="s">
        <v>21</v>
      </c>
      <c r="T905">
        <v>3</v>
      </c>
      <c r="U905">
        <v>0</v>
      </c>
    </row>
    <row r="906" spans="1:21" x14ac:dyDescent="0.25">
      <c r="A906">
        <v>9646084</v>
      </c>
      <c r="B906" t="s">
        <v>15</v>
      </c>
      <c r="C906" s="1">
        <v>42979</v>
      </c>
      <c r="D906" s="2">
        <f>YEAR(C906)</f>
        <v>2017</v>
      </c>
      <c r="E906">
        <v>755000</v>
      </c>
      <c r="F906" t="s">
        <v>85</v>
      </c>
      <c r="G906">
        <v>1980</v>
      </c>
      <c r="H906">
        <v>2904</v>
      </c>
      <c r="I906" t="s">
        <v>190</v>
      </c>
      <c r="J906">
        <v>62</v>
      </c>
      <c r="K906">
        <v>60062</v>
      </c>
      <c r="L906">
        <v>3295</v>
      </c>
      <c r="M906">
        <v>11</v>
      </c>
      <c r="N906">
        <v>3</v>
      </c>
      <c r="O906">
        <v>1</v>
      </c>
      <c r="P906" t="s">
        <v>18</v>
      </c>
      <c r="Q906">
        <v>5</v>
      </c>
      <c r="R906">
        <v>0</v>
      </c>
      <c r="S906" t="s">
        <v>21</v>
      </c>
      <c r="T906">
        <v>2</v>
      </c>
      <c r="U906">
        <v>0</v>
      </c>
    </row>
    <row r="907" spans="1:21" x14ac:dyDescent="0.25">
      <c r="A907">
        <v>9863436</v>
      </c>
      <c r="B907" t="s">
        <v>15</v>
      </c>
      <c r="C907" s="1">
        <v>43348</v>
      </c>
      <c r="D907" s="2">
        <f>YEAR(C907)</f>
        <v>2018</v>
      </c>
      <c r="E907">
        <v>600000</v>
      </c>
      <c r="F907" t="s">
        <v>85</v>
      </c>
      <c r="G907">
        <v>1980</v>
      </c>
      <c r="H907">
        <v>4308</v>
      </c>
      <c r="I907" t="s">
        <v>399</v>
      </c>
      <c r="J907">
        <v>62</v>
      </c>
      <c r="K907">
        <v>60062</v>
      </c>
      <c r="L907">
        <v>2936</v>
      </c>
      <c r="M907">
        <v>9</v>
      </c>
      <c r="N907">
        <v>2</v>
      </c>
      <c r="O907">
        <v>1</v>
      </c>
      <c r="P907" t="s">
        <v>18</v>
      </c>
      <c r="Q907">
        <v>4</v>
      </c>
      <c r="R907">
        <v>0</v>
      </c>
      <c r="S907" t="s">
        <v>21</v>
      </c>
      <c r="T907">
        <v>2.5</v>
      </c>
      <c r="U907">
        <v>0</v>
      </c>
    </row>
    <row r="908" spans="1:21" x14ac:dyDescent="0.25">
      <c r="A908">
        <v>9977118</v>
      </c>
      <c r="B908" t="s">
        <v>15</v>
      </c>
      <c r="C908" s="1">
        <v>43322</v>
      </c>
      <c r="D908" s="2">
        <f>YEAR(C908)</f>
        <v>2018</v>
      </c>
      <c r="E908">
        <v>610000</v>
      </c>
      <c r="F908" t="s">
        <v>85</v>
      </c>
      <c r="G908">
        <v>1980</v>
      </c>
      <c r="H908">
        <v>2901</v>
      </c>
      <c r="I908" t="s">
        <v>400</v>
      </c>
      <c r="J908">
        <v>62</v>
      </c>
      <c r="K908">
        <v>60062</v>
      </c>
      <c r="L908">
        <v>2920</v>
      </c>
      <c r="M908">
        <v>10</v>
      </c>
      <c r="N908">
        <v>2</v>
      </c>
      <c r="O908">
        <v>1</v>
      </c>
      <c r="P908" t="s">
        <v>18</v>
      </c>
      <c r="Q908">
        <v>4</v>
      </c>
      <c r="R908">
        <v>0</v>
      </c>
      <c r="S908" t="s">
        <v>21</v>
      </c>
      <c r="T908">
        <v>2.5</v>
      </c>
      <c r="U908">
        <v>0</v>
      </c>
    </row>
    <row r="909" spans="1:21" x14ac:dyDescent="0.25">
      <c r="A909">
        <v>9583193</v>
      </c>
      <c r="B909" t="s">
        <v>15</v>
      </c>
      <c r="C909" s="1">
        <v>42902</v>
      </c>
      <c r="D909" s="2">
        <f>YEAR(C909)</f>
        <v>2017</v>
      </c>
      <c r="E909">
        <v>632500</v>
      </c>
      <c r="F909" t="s">
        <v>85</v>
      </c>
      <c r="G909">
        <v>1980</v>
      </c>
      <c r="H909">
        <v>4131</v>
      </c>
      <c r="I909" t="s">
        <v>392</v>
      </c>
      <c r="J909">
        <v>62</v>
      </c>
      <c r="K909">
        <v>60062</v>
      </c>
      <c r="L909">
        <v>2802</v>
      </c>
      <c r="M909">
        <v>10</v>
      </c>
      <c r="N909">
        <v>2</v>
      </c>
      <c r="O909">
        <v>1</v>
      </c>
      <c r="P909" t="s">
        <v>18</v>
      </c>
      <c r="Q909">
        <v>4</v>
      </c>
      <c r="R909">
        <v>0</v>
      </c>
      <c r="S909" t="s">
        <v>21</v>
      </c>
      <c r="T909">
        <v>2</v>
      </c>
      <c r="U909">
        <v>0</v>
      </c>
    </row>
    <row r="910" spans="1:21" x14ac:dyDescent="0.25">
      <c r="A910">
        <v>9959623</v>
      </c>
      <c r="B910" t="s">
        <v>15</v>
      </c>
      <c r="C910" s="1">
        <v>43327</v>
      </c>
      <c r="D910" s="2">
        <f>YEAR(C910)</f>
        <v>2018</v>
      </c>
      <c r="E910">
        <v>570000</v>
      </c>
      <c r="F910" t="s">
        <v>85</v>
      </c>
      <c r="G910">
        <v>1980</v>
      </c>
      <c r="H910">
        <v>235</v>
      </c>
      <c r="I910" t="s">
        <v>401</v>
      </c>
      <c r="J910">
        <v>62</v>
      </c>
      <c r="K910">
        <v>60062</v>
      </c>
      <c r="L910">
        <v>2773</v>
      </c>
      <c r="M910">
        <v>9</v>
      </c>
      <c r="N910">
        <v>2</v>
      </c>
      <c r="O910">
        <v>1</v>
      </c>
      <c r="P910" t="s">
        <v>18</v>
      </c>
      <c r="Q910">
        <v>4</v>
      </c>
      <c r="R910">
        <v>0</v>
      </c>
      <c r="S910" t="s">
        <v>21</v>
      </c>
      <c r="T910">
        <v>2</v>
      </c>
      <c r="U910">
        <v>0</v>
      </c>
    </row>
    <row r="911" spans="1:21" x14ac:dyDescent="0.25">
      <c r="A911">
        <v>9626447</v>
      </c>
      <c r="B911" t="s">
        <v>15</v>
      </c>
      <c r="C911" s="1">
        <v>43213</v>
      </c>
      <c r="D911" s="2">
        <f>YEAR(C911)</f>
        <v>2018</v>
      </c>
      <c r="E911">
        <v>700000</v>
      </c>
      <c r="F911" t="s">
        <v>85</v>
      </c>
      <c r="G911">
        <v>1980</v>
      </c>
      <c r="H911">
        <v>4141</v>
      </c>
      <c r="I911" t="s">
        <v>310</v>
      </c>
      <c r="J911">
        <v>62</v>
      </c>
      <c r="K911">
        <v>60062</v>
      </c>
      <c r="L911">
        <v>2713</v>
      </c>
      <c r="M911">
        <v>12</v>
      </c>
      <c r="N911">
        <v>2</v>
      </c>
      <c r="O911">
        <v>1</v>
      </c>
      <c r="P911" t="s">
        <v>18</v>
      </c>
      <c r="Q911">
        <v>4</v>
      </c>
      <c r="R911">
        <v>0</v>
      </c>
      <c r="S911" t="s">
        <v>21</v>
      </c>
      <c r="T911">
        <v>2.5</v>
      </c>
      <c r="U911">
        <v>0</v>
      </c>
    </row>
    <row r="912" spans="1:21" x14ac:dyDescent="0.25">
      <c r="A912">
        <v>9574420</v>
      </c>
      <c r="B912" t="s">
        <v>15</v>
      </c>
      <c r="C912" s="1">
        <v>42944</v>
      </c>
      <c r="D912" s="2">
        <f>YEAR(C912)</f>
        <v>2017</v>
      </c>
      <c r="E912">
        <v>469980</v>
      </c>
      <c r="F912" t="s">
        <v>85</v>
      </c>
      <c r="G912">
        <v>1980</v>
      </c>
      <c r="H912">
        <v>2615</v>
      </c>
      <c r="I912" t="s">
        <v>402</v>
      </c>
      <c r="J912">
        <v>62</v>
      </c>
      <c r="K912">
        <v>60062</v>
      </c>
      <c r="L912">
        <v>2476</v>
      </c>
      <c r="M912">
        <v>8</v>
      </c>
      <c r="N912">
        <v>2</v>
      </c>
      <c r="O912">
        <v>1</v>
      </c>
      <c r="P912" t="s">
        <v>18</v>
      </c>
      <c r="Q912">
        <v>4</v>
      </c>
      <c r="R912">
        <v>0</v>
      </c>
      <c r="S912" t="s">
        <v>21</v>
      </c>
      <c r="T912">
        <v>2</v>
      </c>
      <c r="U912">
        <v>0</v>
      </c>
    </row>
    <row r="913" spans="1:21" x14ac:dyDescent="0.25">
      <c r="A913">
        <v>9397082</v>
      </c>
      <c r="B913" t="s">
        <v>15</v>
      </c>
      <c r="C913" s="1">
        <v>43083</v>
      </c>
      <c r="D913" s="2">
        <f>YEAR(C913)</f>
        <v>2017</v>
      </c>
      <c r="E913">
        <v>449500</v>
      </c>
      <c r="F913" t="s">
        <v>85</v>
      </c>
      <c r="G913">
        <v>1980</v>
      </c>
      <c r="H913">
        <v>2817</v>
      </c>
      <c r="I913" t="s">
        <v>190</v>
      </c>
      <c r="J913">
        <v>62</v>
      </c>
      <c r="K913">
        <v>60062</v>
      </c>
      <c r="L913">
        <v>2430</v>
      </c>
      <c r="M913">
        <v>8</v>
      </c>
      <c r="N913">
        <v>2</v>
      </c>
      <c r="O913">
        <v>1</v>
      </c>
      <c r="P913" t="s">
        <v>18</v>
      </c>
      <c r="Q913">
        <v>4</v>
      </c>
      <c r="R913">
        <v>0</v>
      </c>
      <c r="S913" t="s">
        <v>21</v>
      </c>
      <c r="T913">
        <v>2</v>
      </c>
      <c r="U913">
        <v>0</v>
      </c>
    </row>
    <row r="914" spans="1:21" x14ac:dyDescent="0.25">
      <c r="A914">
        <v>10157251</v>
      </c>
      <c r="B914" t="s">
        <v>15</v>
      </c>
      <c r="C914" s="1">
        <v>43510</v>
      </c>
      <c r="D914" s="2">
        <f>YEAR(C914)</f>
        <v>2019</v>
      </c>
      <c r="E914">
        <v>362000</v>
      </c>
      <c r="F914" t="s">
        <v>85</v>
      </c>
      <c r="G914">
        <v>1980</v>
      </c>
      <c r="H914">
        <v>302</v>
      </c>
      <c r="I914" t="s">
        <v>403</v>
      </c>
      <c r="J914">
        <v>62</v>
      </c>
      <c r="K914">
        <v>60062</v>
      </c>
      <c r="L914">
        <v>2302</v>
      </c>
      <c r="M914">
        <v>6</v>
      </c>
      <c r="N914">
        <v>2</v>
      </c>
      <c r="O914">
        <v>0</v>
      </c>
      <c r="P914" t="s">
        <v>18</v>
      </c>
      <c r="Q914">
        <v>2</v>
      </c>
      <c r="R914">
        <v>0</v>
      </c>
      <c r="S914" t="s">
        <v>21</v>
      </c>
      <c r="T914">
        <v>2</v>
      </c>
      <c r="U914">
        <v>0</v>
      </c>
    </row>
    <row r="915" spans="1:21" x14ac:dyDescent="0.25">
      <c r="A915">
        <v>9595029</v>
      </c>
      <c r="B915" t="s">
        <v>15</v>
      </c>
      <c r="C915" s="1">
        <v>42929</v>
      </c>
      <c r="D915" s="2">
        <f>YEAR(C915)</f>
        <v>2017</v>
      </c>
      <c r="E915">
        <v>465880</v>
      </c>
      <c r="F915" t="s">
        <v>85</v>
      </c>
      <c r="G915">
        <v>1980</v>
      </c>
      <c r="H915">
        <v>301</v>
      </c>
      <c r="I915" t="s">
        <v>404</v>
      </c>
      <c r="J915">
        <v>62</v>
      </c>
      <c r="K915">
        <v>60062</v>
      </c>
      <c r="L915">
        <v>2302</v>
      </c>
      <c r="M915">
        <v>6</v>
      </c>
      <c r="N915">
        <v>2</v>
      </c>
      <c r="O915">
        <v>0</v>
      </c>
      <c r="P915" t="s">
        <v>18</v>
      </c>
      <c r="Q915">
        <v>2</v>
      </c>
      <c r="R915">
        <v>0</v>
      </c>
      <c r="S915" t="s">
        <v>21</v>
      </c>
      <c r="T915">
        <v>2</v>
      </c>
      <c r="U915">
        <v>0</v>
      </c>
    </row>
    <row r="916" spans="1:21" x14ac:dyDescent="0.25">
      <c r="A916">
        <v>9858922</v>
      </c>
      <c r="B916" t="s">
        <v>15</v>
      </c>
      <c r="C916" s="1">
        <v>43241</v>
      </c>
      <c r="D916" s="2">
        <f>YEAR(C916)</f>
        <v>2018</v>
      </c>
      <c r="E916">
        <v>501000</v>
      </c>
      <c r="F916" t="s">
        <v>85</v>
      </c>
      <c r="G916">
        <v>1980</v>
      </c>
      <c r="H916">
        <v>3470</v>
      </c>
      <c r="I916" t="s">
        <v>405</v>
      </c>
      <c r="J916">
        <v>62</v>
      </c>
      <c r="K916">
        <v>60062</v>
      </c>
      <c r="L916">
        <v>2132</v>
      </c>
      <c r="M916">
        <v>9</v>
      </c>
      <c r="N916">
        <v>2</v>
      </c>
      <c r="O916">
        <v>1</v>
      </c>
      <c r="P916" t="s">
        <v>18</v>
      </c>
      <c r="Q916">
        <v>4</v>
      </c>
      <c r="R916">
        <v>0</v>
      </c>
      <c r="S916" t="s">
        <v>21</v>
      </c>
      <c r="T916">
        <v>2</v>
      </c>
      <c r="U916">
        <v>0</v>
      </c>
    </row>
    <row r="917" spans="1:21" x14ac:dyDescent="0.25">
      <c r="A917">
        <v>9810015</v>
      </c>
      <c r="B917" t="s">
        <v>15</v>
      </c>
      <c r="C917" s="1">
        <v>43164</v>
      </c>
      <c r="D917" s="2">
        <f>YEAR(C917)</f>
        <v>2018</v>
      </c>
      <c r="E917">
        <v>545000</v>
      </c>
      <c r="F917" t="s">
        <v>85</v>
      </c>
      <c r="G917">
        <v>1980</v>
      </c>
      <c r="H917">
        <v>12</v>
      </c>
      <c r="I917" t="s">
        <v>406</v>
      </c>
      <c r="J917">
        <v>62</v>
      </c>
      <c r="K917">
        <v>60062</v>
      </c>
      <c r="L917">
        <v>1775</v>
      </c>
      <c r="M917">
        <v>6</v>
      </c>
      <c r="N917">
        <v>2</v>
      </c>
      <c r="O917">
        <v>0</v>
      </c>
      <c r="P917" t="s">
        <v>18</v>
      </c>
      <c r="Q917">
        <v>2</v>
      </c>
      <c r="R917">
        <v>0</v>
      </c>
      <c r="S917" t="s">
        <v>21</v>
      </c>
      <c r="T917">
        <v>2</v>
      </c>
      <c r="U917">
        <v>0</v>
      </c>
    </row>
    <row r="918" spans="1:21" x14ac:dyDescent="0.25">
      <c r="A918">
        <v>9940718</v>
      </c>
      <c r="B918" t="s">
        <v>15</v>
      </c>
      <c r="C918" s="1">
        <v>43259</v>
      </c>
      <c r="D918" s="2">
        <f>YEAR(C918)</f>
        <v>2018</v>
      </c>
      <c r="E918">
        <v>770000</v>
      </c>
      <c r="F918" t="s">
        <v>85</v>
      </c>
      <c r="G918">
        <v>1981</v>
      </c>
      <c r="H918">
        <v>3130</v>
      </c>
      <c r="I918" t="s">
        <v>326</v>
      </c>
      <c r="J918">
        <v>62</v>
      </c>
      <c r="K918">
        <v>60062</v>
      </c>
      <c r="L918">
        <v>3049</v>
      </c>
      <c r="M918">
        <v>10</v>
      </c>
      <c r="N918">
        <v>3</v>
      </c>
      <c r="O918">
        <v>0</v>
      </c>
      <c r="P918" t="s">
        <v>18</v>
      </c>
      <c r="Q918">
        <v>4</v>
      </c>
      <c r="R918">
        <v>0</v>
      </c>
      <c r="S918" t="s">
        <v>21</v>
      </c>
      <c r="T918">
        <v>2</v>
      </c>
      <c r="U918">
        <v>0</v>
      </c>
    </row>
    <row r="919" spans="1:21" x14ac:dyDescent="0.25">
      <c r="A919">
        <v>9686489</v>
      </c>
      <c r="B919" t="s">
        <v>15</v>
      </c>
      <c r="C919" s="1">
        <v>42972</v>
      </c>
      <c r="D919" s="2">
        <f>YEAR(C919)</f>
        <v>2017</v>
      </c>
      <c r="E919">
        <v>400000</v>
      </c>
      <c r="F919" t="s">
        <v>85</v>
      </c>
      <c r="G919">
        <v>1981</v>
      </c>
      <c r="H919">
        <v>3130</v>
      </c>
      <c r="I919" t="s">
        <v>326</v>
      </c>
      <c r="J919">
        <v>62</v>
      </c>
      <c r="K919">
        <v>60062</v>
      </c>
      <c r="L919">
        <v>3025</v>
      </c>
      <c r="M919">
        <v>7</v>
      </c>
      <c r="N919">
        <v>2</v>
      </c>
      <c r="O919">
        <v>1</v>
      </c>
      <c r="P919" t="s">
        <v>18</v>
      </c>
      <c r="Q919">
        <v>3</v>
      </c>
      <c r="R919">
        <v>0</v>
      </c>
      <c r="S919" t="s">
        <v>21</v>
      </c>
      <c r="T919">
        <v>2</v>
      </c>
      <c r="U919">
        <v>0</v>
      </c>
    </row>
    <row r="920" spans="1:21" x14ac:dyDescent="0.25">
      <c r="A920">
        <v>10078247</v>
      </c>
      <c r="B920" t="s">
        <v>15</v>
      </c>
      <c r="C920" s="1">
        <v>43490</v>
      </c>
      <c r="D920" s="2">
        <f>YEAR(C920)</f>
        <v>2019</v>
      </c>
      <c r="E920">
        <v>446250</v>
      </c>
      <c r="F920" t="s">
        <v>85</v>
      </c>
      <c r="G920">
        <v>1981</v>
      </c>
      <c r="H920">
        <v>856</v>
      </c>
      <c r="I920" t="s">
        <v>407</v>
      </c>
      <c r="J920">
        <v>62</v>
      </c>
      <c r="K920">
        <v>60062</v>
      </c>
      <c r="L920">
        <v>2682</v>
      </c>
      <c r="M920">
        <v>8</v>
      </c>
      <c r="N920">
        <v>2</v>
      </c>
      <c r="O920">
        <v>1</v>
      </c>
      <c r="P920" t="s">
        <v>18</v>
      </c>
      <c r="Q920">
        <v>4</v>
      </c>
      <c r="R920">
        <v>0</v>
      </c>
      <c r="S920" t="s">
        <v>21</v>
      </c>
      <c r="T920">
        <v>2</v>
      </c>
      <c r="U920">
        <v>0</v>
      </c>
    </row>
    <row r="921" spans="1:21" x14ac:dyDescent="0.25">
      <c r="A921">
        <v>9840667</v>
      </c>
      <c r="B921" t="s">
        <v>15</v>
      </c>
      <c r="C921" s="1">
        <v>43262</v>
      </c>
      <c r="D921" s="2">
        <f>YEAR(C921)</f>
        <v>2018</v>
      </c>
      <c r="E921">
        <v>568000</v>
      </c>
      <c r="F921" t="s">
        <v>85</v>
      </c>
      <c r="G921">
        <v>1981</v>
      </c>
      <c r="H921">
        <v>4115</v>
      </c>
      <c r="I921" t="s">
        <v>408</v>
      </c>
      <c r="J921">
        <v>62</v>
      </c>
      <c r="K921">
        <v>60062</v>
      </c>
      <c r="L921">
        <v>2530</v>
      </c>
      <c r="M921">
        <v>10</v>
      </c>
      <c r="N921">
        <v>2</v>
      </c>
      <c r="O921">
        <v>1</v>
      </c>
      <c r="P921" t="s">
        <v>18</v>
      </c>
      <c r="Q921">
        <v>4</v>
      </c>
      <c r="R921">
        <v>0</v>
      </c>
      <c r="S921" t="s">
        <v>21</v>
      </c>
      <c r="T921">
        <v>2</v>
      </c>
      <c r="U921">
        <v>0</v>
      </c>
    </row>
    <row r="922" spans="1:21" x14ac:dyDescent="0.25">
      <c r="A922">
        <v>9338011</v>
      </c>
      <c r="B922" t="s">
        <v>15</v>
      </c>
      <c r="C922" s="1">
        <v>42934</v>
      </c>
      <c r="D922" s="2">
        <f>YEAR(C922)</f>
        <v>2017</v>
      </c>
      <c r="E922">
        <v>499850</v>
      </c>
      <c r="F922" t="s">
        <v>85</v>
      </c>
      <c r="G922">
        <v>1981</v>
      </c>
      <c r="H922">
        <v>4119</v>
      </c>
      <c r="I922" t="s">
        <v>408</v>
      </c>
      <c r="J922">
        <v>62</v>
      </c>
      <c r="K922">
        <v>60062</v>
      </c>
      <c r="L922">
        <v>2419</v>
      </c>
      <c r="M922">
        <v>8</v>
      </c>
      <c r="N922">
        <v>2</v>
      </c>
      <c r="O922">
        <v>1</v>
      </c>
      <c r="P922" t="s">
        <v>18</v>
      </c>
      <c r="Q922">
        <v>4</v>
      </c>
      <c r="R922">
        <v>0</v>
      </c>
      <c r="S922" t="s">
        <v>21</v>
      </c>
      <c r="T922">
        <v>2</v>
      </c>
      <c r="U922">
        <v>0</v>
      </c>
    </row>
    <row r="923" spans="1:21" x14ac:dyDescent="0.25">
      <c r="A923">
        <v>9618730</v>
      </c>
      <c r="B923" t="s">
        <v>15</v>
      </c>
      <c r="C923" s="1">
        <v>42926</v>
      </c>
      <c r="D923" s="2">
        <f>YEAR(C923)</f>
        <v>2017</v>
      </c>
      <c r="E923">
        <v>640000</v>
      </c>
      <c r="F923" t="s">
        <v>85</v>
      </c>
      <c r="G923">
        <v>1982</v>
      </c>
      <c r="H923">
        <v>3045</v>
      </c>
      <c r="I923" t="s">
        <v>112</v>
      </c>
      <c r="J923">
        <v>62</v>
      </c>
      <c r="K923">
        <v>60062</v>
      </c>
      <c r="L923">
        <v>3787</v>
      </c>
      <c r="M923">
        <v>11</v>
      </c>
      <c r="N923">
        <v>4</v>
      </c>
      <c r="O923">
        <v>1</v>
      </c>
      <c r="P923" t="s">
        <v>18</v>
      </c>
      <c r="Q923">
        <v>4</v>
      </c>
      <c r="R923">
        <v>0</v>
      </c>
      <c r="S923" t="s">
        <v>21</v>
      </c>
      <c r="T923">
        <v>2</v>
      </c>
      <c r="U923">
        <v>0</v>
      </c>
    </row>
    <row r="924" spans="1:21" x14ac:dyDescent="0.25">
      <c r="A924">
        <v>9509472</v>
      </c>
      <c r="B924" t="s">
        <v>15</v>
      </c>
      <c r="C924" s="1">
        <v>42856</v>
      </c>
      <c r="D924" s="2">
        <f>YEAR(C924)</f>
        <v>2017</v>
      </c>
      <c r="E924">
        <v>800000</v>
      </c>
      <c r="F924" t="s">
        <v>85</v>
      </c>
      <c r="G924">
        <v>1982</v>
      </c>
      <c r="H924">
        <v>4355</v>
      </c>
      <c r="I924" t="s">
        <v>409</v>
      </c>
      <c r="J924">
        <v>62</v>
      </c>
      <c r="K924">
        <v>60062</v>
      </c>
      <c r="L924">
        <v>3164</v>
      </c>
      <c r="M924">
        <v>10</v>
      </c>
      <c r="N924">
        <v>2</v>
      </c>
      <c r="O924">
        <v>1</v>
      </c>
      <c r="P924" t="s">
        <v>18</v>
      </c>
      <c r="Q924">
        <v>5</v>
      </c>
      <c r="R924">
        <v>0</v>
      </c>
      <c r="S924" t="s">
        <v>21</v>
      </c>
      <c r="T924">
        <v>2.5</v>
      </c>
      <c r="U924">
        <v>0</v>
      </c>
    </row>
    <row r="925" spans="1:21" x14ac:dyDescent="0.25">
      <c r="A925">
        <v>9409416</v>
      </c>
      <c r="B925" t="s">
        <v>15</v>
      </c>
      <c r="C925" s="1">
        <v>42860</v>
      </c>
      <c r="D925" s="2">
        <f>YEAR(C925)</f>
        <v>2017</v>
      </c>
      <c r="E925">
        <v>465000</v>
      </c>
      <c r="F925" t="s">
        <v>85</v>
      </c>
      <c r="G925">
        <v>1982</v>
      </c>
      <c r="H925">
        <v>4245</v>
      </c>
      <c r="I925" t="s">
        <v>399</v>
      </c>
      <c r="J925">
        <v>62</v>
      </c>
      <c r="K925">
        <v>60062</v>
      </c>
      <c r="L925">
        <v>2789</v>
      </c>
      <c r="M925">
        <v>11</v>
      </c>
      <c r="N925">
        <v>2</v>
      </c>
      <c r="O925">
        <v>1</v>
      </c>
      <c r="P925" t="s">
        <v>18</v>
      </c>
      <c r="Q925">
        <v>5</v>
      </c>
      <c r="R925">
        <v>1</v>
      </c>
      <c r="S925" t="s">
        <v>21</v>
      </c>
      <c r="T925">
        <v>2</v>
      </c>
      <c r="U925">
        <v>0</v>
      </c>
    </row>
    <row r="926" spans="1:21" x14ac:dyDescent="0.25">
      <c r="A926">
        <v>9756939</v>
      </c>
      <c r="B926" t="s">
        <v>15</v>
      </c>
      <c r="C926" s="1">
        <v>43056</v>
      </c>
      <c r="D926" s="2">
        <f>YEAR(C926)</f>
        <v>2017</v>
      </c>
      <c r="E926">
        <v>476000</v>
      </c>
      <c r="F926" t="s">
        <v>85</v>
      </c>
      <c r="G926">
        <v>1982</v>
      </c>
      <c r="H926">
        <v>4033</v>
      </c>
      <c r="I926" t="s">
        <v>409</v>
      </c>
      <c r="J926">
        <v>62</v>
      </c>
      <c r="K926">
        <v>60062</v>
      </c>
      <c r="L926">
        <v>2126</v>
      </c>
      <c r="M926">
        <v>10</v>
      </c>
      <c r="N926">
        <v>2</v>
      </c>
      <c r="O926">
        <v>1</v>
      </c>
      <c r="P926" t="s">
        <v>18</v>
      </c>
      <c r="Q926">
        <v>4</v>
      </c>
      <c r="R926">
        <v>0</v>
      </c>
      <c r="S926" t="s">
        <v>21</v>
      </c>
      <c r="T926">
        <v>2</v>
      </c>
      <c r="U926">
        <v>0</v>
      </c>
    </row>
    <row r="927" spans="1:21" x14ac:dyDescent="0.25">
      <c r="A927">
        <v>9847362</v>
      </c>
      <c r="B927" t="s">
        <v>15</v>
      </c>
      <c r="C927" s="1">
        <v>43167</v>
      </c>
      <c r="D927" s="2">
        <f>YEAR(C927)</f>
        <v>2018</v>
      </c>
      <c r="E927">
        <v>350000</v>
      </c>
      <c r="F927" t="s">
        <v>85</v>
      </c>
      <c r="G927">
        <v>1982</v>
      </c>
      <c r="H927">
        <v>4504</v>
      </c>
      <c r="I927" t="s">
        <v>409</v>
      </c>
      <c r="J927">
        <v>62</v>
      </c>
      <c r="K927">
        <v>60062</v>
      </c>
      <c r="L927">
        <v>1943</v>
      </c>
      <c r="M927">
        <v>8</v>
      </c>
      <c r="N927">
        <v>2</v>
      </c>
      <c r="O927">
        <v>0</v>
      </c>
      <c r="P927" t="s">
        <v>18</v>
      </c>
      <c r="Q927">
        <v>2</v>
      </c>
      <c r="R927">
        <v>0</v>
      </c>
      <c r="S927" t="s">
        <v>21</v>
      </c>
      <c r="T927">
        <v>2</v>
      </c>
      <c r="U927">
        <v>0</v>
      </c>
    </row>
    <row r="928" spans="1:21" x14ac:dyDescent="0.25">
      <c r="A928">
        <v>9826352</v>
      </c>
      <c r="B928" t="s">
        <v>15</v>
      </c>
      <c r="C928" s="1">
        <v>43230</v>
      </c>
      <c r="D928" s="2">
        <f>YEAR(C928)</f>
        <v>2018</v>
      </c>
      <c r="E928">
        <v>448000</v>
      </c>
      <c r="F928" t="s">
        <v>85</v>
      </c>
      <c r="G928">
        <v>1983</v>
      </c>
      <c r="H928">
        <v>330</v>
      </c>
      <c r="I928" t="s">
        <v>404</v>
      </c>
      <c r="J928">
        <v>62</v>
      </c>
      <c r="K928">
        <v>60062</v>
      </c>
      <c r="L928">
        <v>2775</v>
      </c>
      <c r="M928">
        <v>8</v>
      </c>
      <c r="N928">
        <v>2</v>
      </c>
      <c r="O928">
        <v>0</v>
      </c>
      <c r="P928" t="s">
        <v>18</v>
      </c>
      <c r="Q928">
        <v>3</v>
      </c>
      <c r="R928">
        <v>0</v>
      </c>
      <c r="S928" t="s">
        <v>21</v>
      </c>
      <c r="T928">
        <v>2</v>
      </c>
      <c r="U928">
        <v>0</v>
      </c>
    </row>
    <row r="929" spans="1:21" x14ac:dyDescent="0.25">
      <c r="A929">
        <v>9986768</v>
      </c>
      <c r="B929" t="s">
        <v>15</v>
      </c>
      <c r="C929" s="1">
        <v>43347</v>
      </c>
      <c r="D929" s="2">
        <f>YEAR(C929)</f>
        <v>2018</v>
      </c>
      <c r="E929">
        <v>455000</v>
      </c>
      <c r="F929" t="s">
        <v>85</v>
      </c>
      <c r="G929">
        <v>1983</v>
      </c>
      <c r="H929">
        <v>339</v>
      </c>
      <c r="I929" t="s">
        <v>404</v>
      </c>
      <c r="J929">
        <v>62</v>
      </c>
      <c r="K929">
        <v>60062</v>
      </c>
      <c r="L929">
        <v>2305</v>
      </c>
      <c r="M929">
        <v>6</v>
      </c>
      <c r="N929">
        <v>2</v>
      </c>
      <c r="O929">
        <v>1</v>
      </c>
      <c r="P929" t="s">
        <v>18</v>
      </c>
      <c r="Q929">
        <v>3</v>
      </c>
      <c r="R929">
        <v>0</v>
      </c>
      <c r="S929" t="s">
        <v>21</v>
      </c>
      <c r="T929">
        <v>2</v>
      </c>
      <c r="U929">
        <v>0</v>
      </c>
    </row>
    <row r="930" spans="1:21" x14ac:dyDescent="0.25">
      <c r="A930">
        <v>9600087</v>
      </c>
      <c r="B930" t="s">
        <v>15</v>
      </c>
      <c r="C930" s="1">
        <v>42864</v>
      </c>
      <c r="D930" s="2">
        <f>YEAR(C930)</f>
        <v>2017</v>
      </c>
      <c r="E930">
        <v>520000</v>
      </c>
      <c r="F930" t="s">
        <v>85</v>
      </c>
      <c r="G930">
        <v>1983</v>
      </c>
      <c r="H930">
        <v>4507</v>
      </c>
      <c r="I930" t="s">
        <v>409</v>
      </c>
      <c r="J930">
        <v>62</v>
      </c>
      <c r="K930">
        <v>60062</v>
      </c>
      <c r="L930">
        <v>1700</v>
      </c>
      <c r="M930">
        <v>6</v>
      </c>
      <c r="N930">
        <v>3</v>
      </c>
      <c r="O930">
        <v>0</v>
      </c>
      <c r="P930" t="s">
        <v>18</v>
      </c>
      <c r="Q930">
        <v>3</v>
      </c>
      <c r="R930">
        <v>0</v>
      </c>
      <c r="S930" t="s">
        <v>21</v>
      </c>
      <c r="T930">
        <v>2</v>
      </c>
      <c r="U930">
        <v>0</v>
      </c>
    </row>
    <row r="931" spans="1:21" x14ac:dyDescent="0.25">
      <c r="A931">
        <v>9652389</v>
      </c>
      <c r="B931" t="s">
        <v>15</v>
      </c>
      <c r="C931" s="1">
        <v>42978</v>
      </c>
      <c r="D931" s="2">
        <f>YEAR(C931)</f>
        <v>2017</v>
      </c>
      <c r="E931">
        <v>695000</v>
      </c>
      <c r="F931" t="s">
        <v>85</v>
      </c>
      <c r="G931">
        <v>1984</v>
      </c>
      <c r="H931">
        <v>955</v>
      </c>
      <c r="I931" t="s">
        <v>410</v>
      </c>
      <c r="J931">
        <v>62</v>
      </c>
      <c r="K931">
        <v>60062</v>
      </c>
      <c r="L931">
        <v>4800</v>
      </c>
      <c r="M931">
        <v>12</v>
      </c>
      <c r="N931">
        <v>4</v>
      </c>
      <c r="O931">
        <v>1</v>
      </c>
      <c r="P931" t="s">
        <v>18</v>
      </c>
      <c r="Q931">
        <v>5</v>
      </c>
      <c r="R931">
        <v>0</v>
      </c>
      <c r="S931" t="s">
        <v>21</v>
      </c>
      <c r="T931">
        <v>2</v>
      </c>
      <c r="U931">
        <v>0</v>
      </c>
    </row>
    <row r="932" spans="1:21" x14ac:dyDescent="0.25">
      <c r="A932">
        <v>9513390</v>
      </c>
      <c r="B932" t="s">
        <v>15</v>
      </c>
      <c r="C932" s="1">
        <v>42913</v>
      </c>
      <c r="D932" s="2">
        <f>YEAR(C932)</f>
        <v>2017</v>
      </c>
      <c r="E932">
        <v>825900</v>
      </c>
      <c r="F932" t="s">
        <v>85</v>
      </c>
      <c r="G932">
        <v>1984</v>
      </c>
      <c r="H932">
        <v>915</v>
      </c>
      <c r="I932" t="s">
        <v>410</v>
      </c>
      <c r="J932">
        <v>62</v>
      </c>
      <c r="K932">
        <v>60062</v>
      </c>
      <c r="L932">
        <v>3826</v>
      </c>
      <c r="M932">
        <v>11</v>
      </c>
      <c r="N932">
        <v>3</v>
      </c>
      <c r="O932">
        <v>1</v>
      </c>
      <c r="P932" t="s">
        <v>18</v>
      </c>
      <c r="Q932">
        <v>4</v>
      </c>
      <c r="R932">
        <v>0</v>
      </c>
      <c r="S932" t="s">
        <v>21</v>
      </c>
      <c r="T932">
        <v>2</v>
      </c>
      <c r="U932">
        <v>0</v>
      </c>
    </row>
    <row r="933" spans="1:21" x14ac:dyDescent="0.25">
      <c r="A933">
        <v>9754712</v>
      </c>
      <c r="B933" t="s">
        <v>15</v>
      </c>
      <c r="C933" s="1">
        <v>43084</v>
      </c>
      <c r="D933" s="2">
        <f>YEAR(C933)</f>
        <v>2017</v>
      </c>
      <c r="E933">
        <v>720000</v>
      </c>
      <c r="F933" t="s">
        <v>85</v>
      </c>
      <c r="G933">
        <v>1984</v>
      </c>
      <c r="H933">
        <v>3630</v>
      </c>
      <c r="I933" t="s">
        <v>397</v>
      </c>
      <c r="J933">
        <v>62</v>
      </c>
      <c r="K933">
        <v>60062</v>
      </c>
      <c r="L933">
        <v>3526</v>
      </c>
      <c r="M933">
        <v>10</v>
      </c>
      <c r="N933">
        <v>2</v>
      </c>
      <c r="O933">
        <v>1</v>
      </c>
      <c r="P933" t="s">
        <v>18</v>
      </c>
      <c r="Q933">
        <v>5</v>
      </c>
      <c r="R933">
        <v>0</v>
      </c>
      <c r="S933" t="s">
        <v>21</v>
      </c>
      <c r="T933">
        <v>2</v>
      </c>
      <c r="U933">
        <v>0</v>
      </c>
    </row>
    <row r="934" spans="1:21" x14ac:dyDescent="0.25">
      <c r="A934">
        <v>9652382</v>
      </c>
      <c r="B934" t="s">
        <v>15</v>
      </c>
      <c r="C934" s="1">
        <v>43056</v>
      </c>
      <c r="D934" s="2">
        <f>YEAR(C934)</f>
        <v>2017</v>
      </c>
      <c r="E934">
        <v>690000</v>
      </c>
      <c r="F934" t="s">
        <v>85</v>
      </c>
      <c r="G934">
        <v>1984</v>
      </c>
      <c r="H934">
        <v>3747</v>
      </c>
      <c r="I934" t="s">
        <v>397</v>
      </c>
      <c r="J934">
        <v>62</v>
      </c>
      <c r="K934">
        <v>60062</v>
      </c>
      <c r="L934">
        <v>3510</v>
      </c>
      <c r="M934">
        <v>10</v>
      </c>
      <c r="N934">
        <v>2</v>
      </c>
      <c r="O934">
        <v>1</v>
      </c>
      <c r="P934" t="s">
        <v>18</v>
      </c>
      <c r="Q934">
        <v>5</v>
      </c>
      <c r="R934">
        <v>0</v>
      </c>
      <c r="S934" t="s">
        <v>21</v>
      </c>
      <c r="T934">
        <v>2</v>
      </c>
      <c r="U934">
        <v>0</v>
      </c>
    </row>
    <row r="935" spans="1:21" x14ac:dyDescent="0.25">
      <c r="A935">
        <v>10132680</v>
      </c>
      <c r="B935" t="s">
        <v>15</v>
      </c>
      <c r="C935" s="1">
        <v>43510</v>
      </c>
      <c r="D935" s="2">
        <f>YEAR(C935)</f>
        <v>2019</v>
      </c>
      <c r="E935">
        <v>604500</v>
      </c>
      <c r="F935" t="s">
        <v>85</v>
      </c>
      <c r="G935">
        <v>1984</v>
      </c>
      <c r="H935">
        <v>3916</v>
      </c>
      <c r="I935" t="s">
        <v>411</v>
      </c>
      <c r="J935">
        <v>62</v>
      </c>
      <c r="K935">
        <v>60062</v>
      </c>
      <c r="L935">
        <v>3412</v>
      </c>
      <c r="M935">
        <v>9</v>
      </c>
      <c r="N935">
        <v>2</v>
      </c>
      <c r="O935">
        <v>1</v>
      </c>
      <c r="P935" t="s">
        <v>18</v>
      </c>
      <c r="Q935">
        <v>4</v>
      </c>
      <c r="R935">
        <v>0</v>
      </c>
      <c r="S935" t="s">
        <v>21</v>
      </c>
      <c r="T935">
        <v>3</v>
      </c>
      <c r="U935">
        <v>0</v>
      </c>
    </row>
    <row r="936" spans="1:21" x14ac:dyDescent="0.25">
      <c r="A936">
        <v>10159337</v>
      </c>
      <c r="B936" t="s">
        <v>15</v>
      </c>
      <c r="C936" s="1">
        <v>43497</v>
      </c>
      <c r="D936" s="2">
        <f>YEAR(C936)</f>
        <v>2019</v>
      </c>
      <c r="E936">
        <v>515000</v>
      </c>
      <c r="F936" t="s">
        <v>85</v>
      </c>
      <c r="G936">
        <v>1984</v>
      </c>
      <c r="H936">
        <v>4125</v>
      </c>
      <c r="I936" t="s">
        <v>408</v>
      </c>
      <c r="J936">
        <v>62</v>
      </c>
      <c r="K936">
        <v>60062</v>
      </c>
      <c r="L936">
        <v>2800</v>
      </c>
      <c r="M936">
        <v>10</v>
      </c>
      <c r="N936">
        <v>2</v>
      </c>
      <c r="O936">
        <v>1</v>
      </c>
      <c r="P936" t="s">
        <v>18</v>
      </c>
      <c r="Q936">
        <v>4</v>
      </c>
      <c r="R936">
        <v>0</v>
      </c>
      <c r="S936" t="s">
        <v>21</v>
      </c>
      <c r="T936">
        <v>2.5</v>
      </c>
      <c r="U936">
        <v>0</v>
      </c>
    </row>
    <row r="937" spans="1:21" x14ac:dyDescent="0.25">
      <c r="A937">
        <v>9856702</v>
      </c>
      <c r="B937" t="s">
        <v>15</v>
      </c>
      <c r="C937" s="1">
        <v>43213</v>
      </c>
      <c r="D937" s="2">
        <f>YEAR(C937)</f>
        <v>2018</v>
      </c>
      <c r="E937">
        <v>675000</v>
      </c>
      <c r="F937" t="s">
        <v>85</v>
      </c>
      <c r="G937">
        <v>1984</v>
      </c>
      <c r="H937">
        <v>1810</v>
      </c>
      <c r="I937" t="s">
        <v>69</v>
      </c>
      <c r="J937">
        <v>62</v>
      </c>
      <c r="K937">
        <v>60062</v>
      </c>
      <c r="L937">
        <v>2786</v>
      </c>
      <c r="M937">
        <v>9</v>
      </c>
      <c r="N937">
        <v>2</v>
      </c>
      <c r="O937">
        <v>1</v>
      </c>
      <c r="P937" t="s">
        <v>18</v>
      </c>
      <c r="Q937">
        <v>4</v>
      </c>
      <c r="R937">
        <v>0</v>
      </c>
      <c r="S937" t="s">
        <v>21</v>
      </c>
      <c r="T937">
        <v>2</v>
      </c>
      <c r="U937">
        <v>0</v>
      </c>
    </row>
    <row r="938" spans="1:21" x14ac:dyDescent="0.25">
      <c r="A938">
        <v>9625789</v>
      </c>
      <c r="B938" t="s">
        <v>15</v>
      </c>
      <c r="C938" s="1">
        <v>42968</v>
      </c>
      <c r="D938" s="2">
        <f>YEAR(C938)</f>
        <v>2017</v>
      </c>
      <c r="E938">
        <v>689000</v>
      </c>
      <c r="F938" t="s">
        <v>85</v>
      </c>
      <c r="G938">
        <v>1984</v>
      </c>
      <c r="H938">
        <v>2237</v>
      </c>
      <c r="I938" t="s">
        <v>172</v>
      </c>
      <c r="J938">
        <v>62</v>
      </c>
      <c r="K938">
        <v>60062</v>
      </c>
      <c r="L938">
        <v>2643</v>
      </c>
      <c r="M938">
        <v>8</v>
      </c>
      <c r="N938">
        <v>2</v>
      </c>
      <c r="O938">
        <v>1</v>
      </c>
      <c r="P938" t="s">
        <v>18</v>
      </c>
      <c r="Q938">
        <v>4</v>
      </c>
      <c r="R938">
        <v>0</v>
      </c>
      <c r="S938" t="s">
        <v>21</v>
      </c>
      <c r="T938">
        <v>2</v>
      </c>
      <c r="U938">
        <v>0</v>
      </c>
    </row>
    <row r="939" spans="1:21" x14ac:dyDescent="0.25">
      <c r="A939">
        <v>9615526</v>
      </c>
      <c r="B939" t="s">
        <v>15</v>
      </c>
      <c r="C939" s="1">
        <v>42900</v>
      </c>
      <c r="D939" s="2">
        <f>YEAR(C939)</f>
        <v>2017</v>
      </c>
      <c r="E939">
        <v>488000</v>
      </c>
      <c r="F939" t="s">
        <v>85</v>
      </c>
      <c r="G939">
        <v>1984</v>
      </c>
      <c r="H939">
        <v>205</v>
      </c>
      <c r="I939" t="s">
        <v>412</v>
      </c>
      <c r="J939">
        <v>62</v>
      </c>
      <c r="K939">
        <v>60062</v>
      </c>
      <c r="L939">
        <v>2433</v>
      </c>
      <c r="M939">
        <v>7</v>
      </c>
      <c r="N939">
        <v>2</v>
      </c>
      <c r="O939">
        <v>0</v>
      </c>
      <c r="P939" t="s">
        <v>18</v>
      </c>
      <c r="Q939">
        <v>3</v>
      </c>
      <c r="R939">
        <v>0</v>
      </c>
      <c r="S939" t="s">
        <v>21</v>
      </c>
      <c r="T939">
        <v>2</v>
      </c>
      <c r="U939">
        <v>0</v>
      </c>
    </row>
    <row r="940" spans="1:21" x14ac:dyDescent="0.25">
      <c r="A940">
        <v>9502068</v>
      </c>
      <c r="B940" t="s">
        <v>15</v>
      </c>
      <c r="C940" s="1">
        <v>42828</v>
      </c>
      <c r="D940" s="2">
        <f>YEAR(C940)</f>
        <v>2017</v>
      </c>
      <c r="E940">
        <v>355000</v>
      </c>
      <c r="F940" t="s">
        <v>85</v>
      </c>
      <c r="G940">
        <v>1984</v>
      </c>
      <c r="H940">
        <v>4560</v>
      </c>
      <c r="I940" t="s">
        <v>409</v>
      </c>
      <c r="J940">
        <v>62</v>
      </c>
      <c r="K940">
        <v>60062</v>
      </c>
      <c r="L940">
        <v>1906</v>
      </c>
      <c r="M940">
        <v>6</v>
      </c>
      <c r="N940">
        <v>2</v>
      </c>
      <c r="O940">
        <v>0</v>
      </c>
      <c r="P940" t="s">
        <v>18</v>
      </c>
      <c r="Q940">
        <v>3</v>
      </c>
      <c r="R940">
        <v>0</v>
      </c>
      <c r="S940" t="s">
        <v>21</v>
      </c>
      <c r="T940">
        <v>2</v>
      </c>
      <c r="U940">
        <v>0</v>
      </c>
    </row>
    <row r="941" spans="1:21" x14ac:dyDescent="0.25">
      <c r="A941">
        <v>9706308</v>
      </c>
      <c r="B941" t="s">
        <v>15</v>
      </c>
      <c r="C941" s="1">
        <v>43010</v>
      </c>
      <c r="D941" s="2">
        <f>YEAR(C941)</f>
        <v>2017</v>
      </c>
      <c r="E941">
        <v>340000</v>
      </c>
      <c r="F941" t="s">
        <v>85</v>
      </c>
      <c r="G941">
        <v>1984</v>
      </c>
      <c r="H941">
        <v>225</v>
      </c>
      <c r="I941" t="s">
        <v>412</v>
      </c>
      <c r="J941">
        <v>62</v>
      </c>
      <c r="K941">
        <v>60062</v>
      </c>
      <c r="L941">
        <v>1614</v>
      </c>
      <c r="M941">
        <v>5</v>
      </c>
      <c r="N941">
        <v>2</v>
      </c>
      <c r="O941">
        <v>0</v>
      </c>
      <c r="P941" t="s">
        <v>18</v>
      </c>
      <c r="Q941">
        <v>2</v>
      </c>
      <c r="R941">
        <v>0</v>
      </c>
      <c r="S941" t="s">
        <v>21</v>
      </c>
      <c r="T941">
        <v>2</v>
      </c>
      <c r="U941">
        <v>0</v>
      </c>
    </row>
    <row r="942" spans="1:21" x14ac:dyDescent="0.25">
      <c r="A942">
        <v>9941676</v>
      </c>
      <c r="B942" t="s">
        <v>15</v>
      </c>
      <c r="C942" s="1">
        <v>43404</v>
      </c>
      <c r="D942" s="2">
        <f>YEAR(C942)</f>
        <v>2018</v>
      </c>
      <c r="E942">
        <v>375000</v>
      </c>
      <c r="F942" t="s">
        <v>85</v>
      </c>
      <c r="G942">
        <v>1984</v>
      </c>
      <c r="H942">
        <v>4508</v>
      </c>
      <c r="I942" t="s">
        <v>409</v>
      </c>
      <c r="J942">
        <v>62</v>
      </c>
      <c r="K942">
        <v>60062</v>
      </c>
      <c r="L942">
        <v>1612</v>
      </c>
      <c r="M942">
        <v>6</v>
      </c>
      <c r="N942">
        <v>2</v>
      </c>
      <c r="O942">
        <v>0</v>
      </c>
      <c r="P942" t="s">
        <v>18</v>
      </c>
      <c r="Q942">
        <v>2</v>
      </c>
      <c r="R942">
        <v>0</v>
      </c>
      <c r="S942" t="s">
        <v>21</v>
      </c>
      <c r="T942">
        <v>2</v>
      </c>
      <c r="U942">
        <v>0</v>
      </c>
    </row>
    <row r="943" spans="1:21" x14ac:dyDescent="0.25">
      <c r="A943">
        <v>9798295</v>
      </c>
      <c r="B943" t="s">
        <v>15</v>
      </c>
      <c r="C943" s="1">
        <v>43097</v>
      </c>
      <c r="D943" s="2">
        <f>YEAR(C943)</f>
        <v>2017</v>
      </c>
      <c r="E943">
        <v>650000</v>
      </c>
      <c r="F943" t="s">
        <v>85</v>
      </c>
      <c r="G943">
        <v>1985</v>
      </c>
      <c r="H943">
        <v>3700</v>
      </c>
      <c r="I943" t="s">
        <v>127</v>
      </c>
      <c r="J943">
        <v>76</v>
      </c>
      <c r="K943">
        <v>60076</v>
      </c>
      <c r="L943">
        <v>3056</v>
      </c>
      <c r="M943">
        <v>10</v>
      </c>
      <c r="N943">
        <v>2</v>
      </c>
      <c r="O943">
        <v>1</v>
      </c>
      <c r="P943" t="s">
        <v>18</v>
      </c>
      <c r="Q943">
        <v>4</v>
      </c>
      <c r="R943">
        <v>0</v>
      </c>
      <c r="S943" t="s">
        <v>21</v>
      </c>
      <c r="T943">
        <v>2</v>
      </c>
      <c r="U943">
        <v>0</v>
      </c>
    </row>
    <row r="944" spans="1:21" x14ac:dyDescent="0.25">
      <c r="A944">
        <v>9614298</v>
      </c>
      <c r="B944" t="s">
        <v>15</v>
      </c>
      <c r="C944" s="1">
        <v>42941</v>
      </c>
      <c r="D944" s="2">
        <f>YEAR(C944)</f>
        <v>2017</v>
      </c>
      <c r="E944">
        <v>517000</v>
      </c>
      <c r="F944" t="s">
        <v>85</v>
      </c>
      <c r="G944">
        <v>1985</v>
      </c>
      <c r="H944">
        <v>5128</v>
      </c>
      <c r="I944" t="s">
        <v>117</v>
      </c>
      <c r="J944">
        <v>76</v>
      </c>
      <c r="K944">
        <v>60077</v>
      </c>
      <c r="L944">
        <v>2483</v>
      </c>
      <c r="M944">
        <v>8</v>
      </c>
      <c r="N944">
        <v>2</v>
      </c>
      <c r="O944">
        <v>1</v>
      </c>
      <c r="P944" t="s">
        <v>18</v>
      </c>
      <c r="Q944">
        <v>4</v>
      </c>
      <c r="R944">
        <v>0</v>
      </c>
      <c r="S944" t="s">
        <v>21</v>
      </c>
      <c r="T944">
        <v>2.1</v>
      </c>
      <c r="U944">
        <v>0</v>
      </c>
    </row>
    <row r="945" spans="1:21" x14ac:dyDescent="0.25">
      <c r="A945">
        <v>9482857</v>
      </c>
      <c r="B945" t="s">
        <v>15</v>
      </c>
      <c r="C945" s="1">
        <v>42816</v>
      </c>
      <c r="D945" s="2">
        <f>YEAR(C945)</f>
        <v>2017</v>
      </c>
      <c r="E945">
        <v>531000</v>
      </c>
      <c r="F945" t="s">
        <v>85</v>
      </c>
      <c r="G945">
        <v>1985</v>
      </c>
      <c r="H945">
        <v>3610</v>
      </c>
      <c r="I945" t="s">
        <v>414</v>
      </c>
      <c r="J945">
        <v>62</v>
      </c>
      <c r="K945">
        <v>60062</v>
      </c>
      <c r="L945">
        <v>3412</v>
      </c>
      <c r="M945">
        <v>9</v>
      </c>
      <c r="N945">
        <v>5</v>
      </c>
      <c r="O945">
        <v>0</v>
      </c>
      <c r="P945" t="s">
        <v>18</v>
      </c>
      <c r="Q945">
        <v>5</v>
      </c>
      <c r="R945">
        <v>0</v>
      </c>
      <c r="S945" t="s">
        <v>21</v>
      </c>
      <c r="T945">
        <v>2</v>
      </c>
      <c r="U945">
        <v>0</v>
      </c>
    </row>
    <row r="946" spans="1:21" x14ac:dyDescent="0.25">
      <c r="A946">
        <v>9817739</v>
      </c>
      <c r="B946" t="s">
        <v>15</v>
      </c>
      <c r="C946" s="1">
        <v>43133</v>
      </c>
      <c r="D946" s="2">
        <f>YEAR(C946)</f>
        <v>2018</v>
      </c>
      <c r="E946">
        <v>527500</v>
      </c>
      <c r="F946" t="s">
        <v>85</v>
      </c>
      <c r="G946">
        <v>1985</v>
      </c>
      <c r="H946">
        <v>2740</v>
      </c>
      <c r="I946" t="s">
        <v>378</v>
      </c>
      <c r="J946">
        <v>62</v>
      </c>
      <c r="K946">
        <v>60062</v>
      </c>
      <c r="L946">
        <v>2945</v>
      </c>
      <c r="M946">
        <v>10</v>
      </c>
      <c r="N946">
        <v>2</v>
      </c>
      <c r="O946">
        <v>1</v>
      </c>
      <c r="P946" t="s">
        <v>18</v>
      </c>
      <c r="Q946">
        <v>3</v>
      </c>
      <c r="R946">
        <v>0</v>
      </c>
      <c r="S946" t="s">
        <v>21</v>
      </c>
      <c r="T946">
        <v>2</v>
      </c>
      <c r="U946">
        <v>0</v>
      </c>
    </row>
    <row r="947" spans="1:21" x14ac:dyDescent="0.25">
      <c r="A947">
        <v>10040061</v>
      </c>
      <c r="B947" t="s">
        <v>15</v>
      </c>
      <c r="C947" s="1">
        <v>43399</v>
      </c>
      <c r="D947" s="2">
        <f>YEAR(C947)</f>
        <v>2018</v>
      </c>
      <c r="E947">
        <v>517500</v>
      </c>
      <c r="F947" t="s">
        <v>85</v>
      </c>
      <c r="G947">
        <v>1985</v>
      </c>
      <c r="H947">
        <v>2302</v>
      </c>
      <c r="I947" t="s">
        <v>347</v>
      </c>
      <c r="J947">
        <v>62</v>
      </c>
      <c r="K947">
        <v>60062</v>
      </c>
      <c r="L947">
        <v>2860</v>
      </c>
      <c r="M947">
        <v>10</v>
      </c>
      <c r="N947">
        <v>2</v>
      </c>
      <c r="O947">
        <v>1</v>
      </c>
      <c r="P947" t="s">
        <v>18</v>
      </c>
      <c r="Q947">
        <v>5</v>
      </c>
      <c r="R947">
        <v>0</v>
      </c>
      <c r="S947" t="s">
        <v>21</v>
      </c>
      <c r="T947">
        <v>2</v>
      </c>
      <c r="U947">
        <v>0</v>
      </c>
    </row>
    <row r="948" spans="1:21" x14ac:dyDescent="0.25">
      <c r="A948">
        <v>9564704</v>
      </c>
      <c r="B948" t="s">
        <v>15</v>
      </c>
      <c r="C948" s="1">
        <v>42846</v>
      </c>
      <c r="D948" s="2">
        <f>YEAR(C948)</f>
        <v>2017</v>
      </c>
      <c r="E948">
        <v>630500</v>
      </c>
      <c r="F948" t="s">
        <v>85</v>
      </c>
      <c r="G948">
        <v>1985</v>
      </c>
      <c r="H948">
        <v>3651</v>
      </c>
      <c r="I948" t="s">
        <v>414</v>
      </c>
      <c r="J948">
        <v>62</v>
      </c>
      <c r="K948">
        <v>60062</v>
      </c>
      <c r="L948">
        <v>2727</v>
      </c>
      <c r="M948">
        <v>7</v>
      </c>
      <c r="N948">
        <v>2</v>
      </c>
      <c r="O948">
        <v>1</v>
      </c>
      <c r="P948" t="s">
        <v>18</v>
      </c>
      <c r="Q948">
        <v>3</v>
      </c>
      <c r="R948">
        <v>0</v>
      </c>
      <c r="S948" t="s">
        <v>21</v>
      </c>
      <c r="T948">
        <v>2</v>
      </c>
      <c r="U948">
        <v>0</v>
      </c>
    </row>
    <row r="949" spans="1:21" x14ac:dyDescent="0.25">
      <c r="A949">
        <v>9856014</v>
      </c>
      <c r="B949" t="s">
        <v>15</v>
      </c>
      <c r="C949" s="1">
        <v>43202</v>
      </c>
      <c r="D949" s="2">
        <f>YEAR(C949)</f>
        <v>2018</v>
      </c>
      <c r="E949">
        <v>450000</v>
      </c>
      <c r="F949" t="s">
        <v>85</v>
      </c>
      <c r="G949">
        <v>1985</v>
      </c>
      <c r="H949">
        <v>141</v>
      </c>
      <c r="I949" t="s">
        <v>412</v>
      </c>
      <c r="J949">
        <v>62</v>
      </c>
      <c r="K949">
        <v>60062</v>
      </c>
      <c r="L949">
        <v>2468</v>
      </c>
      <c r="M949">
        <v>6</v>
      </c>
      <c r="N949">
        <v>2</v>
      </c>
      <c r="O949">
        <v>1</v>
      </c>
      <c r="P949" t="s">
        <v>18</v>
      </c>
      <c r="Q949">
        <v>3</v>
      </c>
      <c r="R949">
        <v>0</v>
      </c>
      <c r="S949" t="s">
        <v>21</v>
      </c>
      <c r="T949">
        <v>2</v>
      </c>
      <c r="U949">
        <v>0</v>
      </c>
    </row>
    <row r="950" spans="1:21" x14ac:dyDescent="0.25">
      <c r="A950">
        <v>9888766</v>
      </c>
      <c r="B950" t="s">
        <v>15</v>
      </c>
      <c r="C950" s="1">
        <v>43388</v>
      </c>
      <c r="D950" s="2">
        <f>YEAR(C950)</f>
        <v>2018</v>
      </c>
      <c r="E950">
        <v>389000</v>
      </c>
      <c r="F950" t="s">
        <v>85</v>
      </c>
      <c r="G950">
        <v>1985</v>
      </c>
      <c r="H950">
        <v>213</v>
      </c>
      <c r="I950" t="s">
        <v>415</v>
      </c>
      <c r="J950">
        <v>62</v>
      </c>
      <c r="K950">
        <v>60062</v>
      </c>
      <c r="L950">
        <v>1774</v>
      </c>
      <c r="M950">
        <v>7</v>
      </c>
      <c r="N950">
        <v>2</v>
      </c>
      <c r="O950">
        <v>0</v>
      </c>
      <c r="P950" t="s">
        <v>18</v>
      </c>
      <c r="Q950">
        <v>2</v>
      </c>
      <c r="R950">
        <v>0</v>
      </c>
      <c r="S950" t="s">
        <v>21</v>
      </c>
      <c r="T950">
        <v>2</v>
      </c>
      <c r="U950">
        <v>0</v>
      </c>
    </row>
    <row r="951" spans="1:21" x14ac:dyDescent="0.25">
      <c r="A951">
        <v>9988078</v>
      </c>
      <c r="B951" t="s">
        <v>15</v>
      </c>
      <c r="C951" s="1">
        <v>43314</v>
      </c>
      <c r="D951" s="2">
        <f>YEAR(C951)</f>
        <v>2018</v>
      </c>
      <c r="E951">
        <v>769000</v>
      </c>
      <c r="F951" t="s">
        <v>85</v>
      </c>
      <c r="G951">
        <v>1986</v>
      </c>
      <c r="H951">
        <v>1838</v>
      </c>
      <c r="I951" t="s">
        <v>91</v>
      </c>
      <c r="J951">
        <v>62</v>
      </c>
      <c r="K951">
        <v>60062</v>
      </c>
      <c r="L951">
        <v>4635</v>
      </c>
      <c r="M951">
        <v>10</v>
      </c>
      <c r="N951">
        <v>3</v>
      </c>
      <c r="O951">
        <v>1</v>
      </c>
      <c r="P951" t="s">
        <v>18</v>
      </c>
      <c r="Q951">
        <v>4</v>
      </c>
      <c r="R951">
        <v>0</v>
      </c>
      <c r="S951" t="s">
        <v>22</v>
      </c>
      <c r="T951">
        <v>2</v>
      </c>
      <c r="U951">
        <v>0</v>
      </c>
    </row>
    <row r="952" spans="1:21" x14ac:dyDescent="0.25">
      <c r="A952">
        <v>9746850</v>
      </c>
      <c r="B952" t="s">
        <v>15</v>
      </c>
      <c r="C952" s="1">
        <v>43112</v>
      </c>
      <c r="D952" s="2">
        <f>YEAR(C952)</f>
        <v>2018</v>
      </c>
      <c r="E952">
        <v>345000</v>
      </c>
      <c r="F952" t="s">
        <v>85</v>
      </c>
      <c r="G952">
        <v>1986</v>
      </c>
      <c r="H952">
        <v>3015</v>
      </c>
      <c r="I952" t="s">
        <v>112</v>
      </c>
      <c r="J952">
        <v>62</v>
      </c>
      <c r="K952">
        <v>60062</v>
      </c>
      <c r="L952">
        <v>3019</v>
      </c>
      <c r="M952">
        <v>8</v>
      </c>
      <c r="N952">
        <v>2</v>
      </c>
      <c r="O952">
        <v>0</v>
      </c>
      <c r="P952" t="s">
        <v>18</v>
      </c>
      <c r="Q952">
        <v>3</v>
      </c>
      <c r="R952">
        <v>0</v>
      </c>
      <c r="S952" t="s">
        <v>21</v>
      </c>
      <c r="T952">
        <v>2</v>
      </c>
      <c r="U952">
        <v>0</v>
      </c>
    </row>
    <row r="953" spans="1:21" x14ac:dyDescent="0.25">
      <c r="A953">
        <v>9995620</v>
      </c>
      <c r="B953" t="s">
        <v>15</v>
      </c>
      <c r="C953" s="1">
        <v>43307</v>
      </c>
      <c r="D953" s="2">
        <f>YEAR(C953)</f>
        <v>2018</v>
      </c>
      <c r="E953">
        <v>712500</v>
      </c>
      <c r="F953" t="s">
        <v>85</v>
      </c>
      <c r="G953">
        <v>1986</v>
      </c>
      <c r="H953">
        <v>3015</v>
      </c>
      <c r="I953" t="s">
        <v>112</v>
      </c>
      <c r="J953">
        <v>62</v>
      </c>
      <c r="K953">
        <v>60062</v>
      </c>
      <c r="L953">
        <v>3000</v>
      </c>
      <c r="M953">
        <v>9</v>
      </c>
      <c r="N953">
        <v>3</v>
      </c>
      <c r="O953">
        <v>0</v>
      </c>
      <c r="P953" t="s">
        <v>18</v>
      </c>
      <c r="Q953">
        <v>4</v>
      </c>
      <c r="R953">
        <v>0</v>
      </c>
      <c r="S953" t="s">
        <v>21</v>
      </c>
      <c r="T953">
        <v>2</v>
      </c>
      <c r="U953">
        <v>0</v>
      </c>
    </row>
    <row r="954" spans="1:21" x14ac:dyDescent="0.25">
      <c r="A954">
        <v>9673090</v>
      </c>
      <c r="B954" t="s">
        <v>15</v>
      </c>
      <c r="C954" s="1">
        <v>42957</v>
      </c>
      <c r="D954" s="2">
        <f>YEAR(C954)</f>
        <v>2017</v>
      </c>
      <c r="E954">
        <v>605000</v>
      </c>
      <c r="F954" t="s">
        <v>85</v>
      </c>
      <c r="G954">
        <v>1988</v>
      </c>
      <c r="H954">
        <v>1844</v>
      </c>
      <c r="I954" t="s">
        <v>69</v>
      </c>
      <c r="J954">
        <v>62</v>
      </c>
      <c r="K954">
        <v>60062</v>
      </c>
      <c r="L954">
        <v>2388</v>
      </c>
      <c r="M954">
        <v>11</v>
      </c>
      <c r="N954">
        <v>2</v>
      </c>
      <c r="O954">
        <v>1</v>
      </c>
      <c r="P954" t="s">
        <v>18</v>
      </c>
      <c r="Q954">
        <v>4</v>
      </c>
      <c r="R954">
        <v>0</v>
      </c>
      <c r="S954" t="s">
        <v>21</v>
      </c>
      <c r="T954">
        <v>2</v>
      </c>
      <c r="U954">
        <v>0</v>
      </c>
    </row>
    <row r="955" spans="1:21" x14ac:dyDescent="0.25">
      <c r="A955">
        <v>9984121</v>
      </c>
      <c r="B955" t="s">
        <v>15</v>
      </c>
      <c r="C955" s="1">
        <v>43500</v>
      </c>
      <c r="D955" s="2">
        <f>YEAR(C955)</f>
        <v>2019</v>
      </c>
      <c r="E955">
        <v>641250</v>
      </c>
      <c r="F955" t="s">
        <v>85</v>
      </c>
      <c r="G955">
        <v>1989</v>
      </c>
      <c r="H955">
        <v>2110</v>
      </c>
      <c r="I955" t="s">
        <v>262</v>
      </c>
      <c r="J955">
        <v>62</v>
      </c>
      <c r="K955">
        <v>60062</v>
      </c>
      <c r="L955">
        <v>8269</v>
      </c>
      <c r="M955">
        <v>10</v>
      </c>
      <c r="N955">
        <v>6</v>
      </c>
      <c r="O955">
        <v>2</v>
      </c>
      <c r="P955" t="s">
        <v>18</v>
      </c>
      <c r="Q955">
        <v>6</v>
      </c>
      <c r="R955">
        <v>0</v>
      </c>
      <c r="S955" t="s">
        <v>21</v>
      </c>
      <c r="T955">
        <v>3</v>
      </c>
      <c r="U955">
        <v>0</v>
      </c>
    </row>
    <row r="956" spans="1:21" x14ac:dyDescent="0.25">
      <c r="A956">
        <v>9654054</v>
      </c>
      <c r="B956" t="s">
        <v>15</v>
      </c>
      <c r="C956" s="1">
        <v>42947</v>
      </c>
      <c r="D956" s="2">
        <f>YEAR(C956)</f>
        <v>2017</v>
      </c>
      <c r="E956">
        <v>790000</v>
      </c>
      <c r="F956" t="s">
        <v>85</v>
      </c>
      <c r="G956">
        <v>1989</v>
      </c>
      <c r="H956">
        <v>1422</v>
      </c>
      <c r="I956" t="s">
        <v>416</v>
      </c>
      <c r="J956">
        <v>62</v>
      </c>
      <c r="K956">
        <v>60062</v>
      </c>
      <c r="L956">
        <v>4043</v>
      </c>
      <c r="M956">
        <v>10</v>
      </c>
      <c r="N956">
        <v>3</v>
      </c>
      <c r="O956">
        <v>1</v>
      </c>
      <c r="P956" t="s">
        <v>18</v>
      </c>
      <c r="Q956">
        <v>5</v>
      </c>
      <c r="R956">
        <v>0</v>
      </c>
      <c r="S956" t="s">
        <v>21</v>
      </c>
      <c r="T956">
        <v>3</v>
      </c>
      <c r="U956">
        <v>0</v>
      </c>
    </row>
    <row r="957" spans="1:21" x14ac:dyDescent="0.25">
      <c r="A957">
        <v>9820488</v>
      </c>
      <c r="B957" t="s">
        <v>15</v>
      </c>
      <c r="C957" s="1">
        <v>43221</v>
      </c>
      <c r="D957" s="2">
        <f>YEAR(C957)</f>
        <v>2018</v>
      </c>
      <c r="E957">
        <v>525000</v>
      </c>
      <c r="F957" t="s">
        <v>85</v>
      </c>
      <c r="G957">
        <v>1990</v>
      </c>
      <c r="H957">
        <v>765</v>
      </c>
      <c r="I957" t="s">
        <v>418</v>
      </c>
      <c r="J957">
        <v>62</v>
      </c>
      <c r="K957">
        <v>60062</v>
      </c>
      <c r="L957">
        <v>2717</v>
      </c>
      <c r="M957">
        <v>8</v>
      </c>
      <c r="N957">
        <v>2</v>
      </c>
      <c r="O957">
        <v>1</v>
      </c>
      <c r="P957" t="s">
        <v>18</v>
      </c>
      <c r="Q957">
        <v>3</v>
      </c>
      <c r="R957">
        <v>0</v>
      </c>
      <c r="S957" t="s">
        <v>21</v>
      </c>
      <c r="T957">
        <v>2</v>
      </c>
      <c r="U957">
        <v>0</v>
      </c>
    </row>
    <row r="958" spans="1:21" x14ac:dyDescent="0.25">
      <c r="A958">
        <v>9605249</v>
      </c>
      <c r="B958" t="s">
        <v>15</v>
      </c>
      <c r="C958" s="1">
        <v>42947</v>
      </c>
      <c r="D958" s="2">
        <f>YEAR(C958)</f>
        <v>2017</v>
      </c>
      <c r="E958">
        <v>820000</v>
      </c>
      <c r="F958" t="s">
        <v>85</v>
      </c>
      <c r="G958">
        <v>1991</v>
      </c>
      <c r="H958">
        <v>3716</v>
      </c>
      <c r="I958" t="s">
        <v>419</v>
      </c>
      <c r="J958">
        <v>62</v>
      </c>
      <c r="K958">
        <v>60062</v>
      </c>
      <c r="L958">
        <v>4930</v>
      </c>
      <c r="M958">
        <v>11</v>
      </c>
      <c r="N958">
        <v>4</v>
      </c>
      <c r="O958">
        <v>1</v>
      </c>
      <c r="P958" t="s">
        <v>18</v>
      </c>
      <c r="Q958">
        <v>5</v>
      </c>
      <c r="R958">
        <v>0</v>
      </c>
      <c r="S958" t="s">
        <v>21</v>
      </c>
      <c r="T958">
        <v>3</v>
      </c>
      <c r="U958">
        <v>0</v>
      </c>
    </row>
    <row r="959" spans="1:21" x14ac:dyDescent="0.25">
      <c r="A959">
        <v>9208009</v>
      </c>
      <c r="B959" t="s">
        <v>15</v>
      </c>
      <c r="C959" s="1">
        <v>42804</v>
      </c>
      <c r="D959" s="2">
        <f>YEAR(C959)</f>
        <v>2017</v>
      </c>
      <c r="E959">
        <v>940000</v>
      </c>
      <c r="F959" t="s">
        <v>85</v>
      </c>
      <c r="G959">
        <v>1991</v>
      </c>
      <c r="H959">
        <v>1300</v>
      </c>
      <c r="I959" t="s">
        <v>168</v>
      </c>
      <c r="J959">
        <v>62</v>
      </c>
      <c r="K959">
        <v>60062</v>
      </c>
      <c r="L959">
        <v>4842</v>
      </c>
      <c r="M959">
        <v>9</v>
      </c>
      <c r="N959">
        <v>3</v>
      </c>
      <c r="O959">
        <v>1</v>
      </c>
      <c r="P959" t="s">
        <v>18</v>
      </c>
      <c r="Q959">
        <v>5</v>
      </c>
      <c r="R959">
        <v>0</v>
      </c>
      <c r="S959" t="s">
        <v>21</v>
      </c>
      <c r="T959">
        <v>2</v>
      </c>
      <c r="U959">
        <v>0</v>
      </c>
    </row>
    <row r="960" spans="1:21" x14ac:dyDescent="0.25">
      <c r="A960">
        <v>9774622</v>
      </c>
      <c r="B960" t="s">
        <v>15</v>
      </c>
      <c r="C960" s="1">
        <v>43069</v>
      </c>
      <c r="D960" s="2">
        <f>YEAR(C960)</f>
        <v>2017</v>
      </c>
      <c r="E960">
        <v>900000</v>
      </c>
      <c r="F960" t="s">
        <v>85</v>
      </c>
      <c r="G960">
        <v>1993</v>
      </c>
      <c r="H960">
        <v>2885</v>
      </c>
      <c r="I960" t="s">
        <v>96</v>
      </c>
      <c r="J960">
        <v>62</v>
      </c>
      <c r="K960">
        <v>60062</v>
      </c>
      <c r="L960">
        <v>4923</v>
      </c>
      <c r="M960">
        <v>12</v>
      </c>
      <c r="N960">
        <v>3</v>
      </c>
      <c r="O960">
        <v>1</v>
      </c>
      <c r="P960" t="s">
        <v>18</v>
      </c>
      <c r="Q960">
        <v>5</v>
      </c>
      <c r="R960">
        <v>0</v>
      </c>
      <c r="S960" t="s">
        <v>21</v>
      </c>
      <c r="T960">
        <v>3</v>
      </c>
      <c r="U960">
        <v>0</v>
      </c>
    </row>
    <row r="961" spans="1:21" x14ac:dyDescent="0.25">
      <c r="A961">
        <v>9509430</v>
      </c>
      <c r="B961" t="s">
        <v>15</v>
      </c>
      <c r="C961" s="1">
        <v>42935</v>
      </c>
      <c r="D961" s="2">
        <f>YEAR(C961)</f>
        <v>2017</v>
      </c>
      <c r="E961">
        <v>609000</v>
      </c>
      <c r="F961" t="s">
        <v>85</v>
      </c>
      <c r="G961">
        <v>1994</v>
      </c>
      <c r="H961">
        <v>544</v>
      </c>
      <c r="I961" t="s">
        <v>213</v>
      </c>
      <c r="J961">
        <v>62</v>
      </c>
      <c r="K961">
        <v>60062</v>
      </c>
      <c r="L961">
        <v>4088</v>
      </c>
      <c r="M961">
        <v>12</v>
      </c>
      <c r="N961">
        <v>3</v>
      </c>
      <c r="O961">
        <v>1</v>
      </c>
      <c r="P961" t="s">
        <v>18</v>
      </c>
      <c r="Q961">
        <v>4</v>
      </c>
      <c r="R961">
        <v>0</v>
      </c>
      <c r="S961" t="s">
        <v>21</v>
      </c>
      <c r="T961">
        <v>3</v>
      </c>
      <c r="U961">
        <v>0</v>
      </c>
    </row>
    <row r="962" spans="1:21" x14ac:dyDescent="0.25">
      <c r="A962">
        <v>9746828</v>
      </c>
      <c r="B962" t="s">
        <v>15</v>
      </c>
      <c r="C962" s="1">
        <v>43077</v>
      </c>
      <c r="D962" s="2">
        <f>YEAR(C962)</f>
        <v>2017</v>
      </c>
      <c r="E962">
        <v>575000</v>
      </c>
      <c r="F962" t="s">
        <v>85</v>
      </c>
      <c r="G962">
        <v>1995</v>
      </c>
      <c r="H962">
        <v>2569</v>
      </c>
      <c r="I962" t="s">
        <v>422</v>
      </c>
      <c r="J962">
        <v>62</v>
      </c>
      <c r="K962">
        <v>60062</v>
      </c>
      <c r="L962">
        <v>2914</v>
      </c>
      <c r="M962">
        <v>10</v>
      </c>
      <c r="N962">
        <v>2</v>
      </c>
      <c r="O962">
        <v>1</v>
      </c>
      <c r="P962" t="s">
        <v>18</v>
      </c>
      <c r="Q962">
        <v>3</v>
      </c>
      <c r="R962">
        <v>0</v>
      </c>
      <c r="S962" t="s">
        <v>21</v>
      </c>
      <c r="T962">
        <v>2</v>
      </c>
      <c r="U962">
        <v>0</v>
      </c>
    </row>
    <row r="963" spans="1:21" x14ac:dyDescent="0.25">
      <c r="A963">
        <v>9593852</v>
      </c>
      <c r="B963" t="s">
        <v>15</v>
      </c>
      <c r="C963" s="1">
        <v>42915</v>
      </c>
      <c r="D963" s="2">
        <f>YEAR(C963)</f>
        <v>2017</v>
      </c>
      <c r="E963">
        <v>810000</v>
      </c>
      <c r="F963" t="s">
        <v>85</v>
      </c>
      <c r="G963">
        <v>1996</v>
      </c>
      <c r="H963">
        <v>2660</v>
      </c>
      <c r="I963" t="s">
        <v>172</v>
      </c>
      <c r="J963">
        <v>62</v>
      </c>
      <c r="K963">
        <v>60062</v>
      </c>
      <c r="L963">
        <v>4900</v>
      </c>
      <c r="M963">
        <v>10</v>
      </c>
      <c r="N963">
        <v>2</v>
      </c>
      <c r="O963">
        <v>1</v>
      </c>
      <c r="P963" t="s">
        <v>18</v>
      </c>
      <c r="Q963">
        <v>3</v>
      </c>
      <c r="R963">
        <v>0</v>
      </c>
      <c r="S963" t="s">
        <v>21</v>
      </c>
      <c r="T963">
        <v>2</v>
      </c>
      <c r="U963">
        <v>0</v>
      </c>
    </row>
    <row r="964" spans="1:21" x14ac:dyDescent="0.25">
      <c r="A964">
        <v>9367576</v>
      </c>
      <c r="B964" t="s">
        <v>15</v>
      </c>
      <c r="C964" s="1">
        <v>42873</v>
      </c>
      <c r="D964" s="2">
        <f>YEAR(C964)</f>
        <v>2017</v>
      </c>
      <c r="E964">
        <v>900000</v>
      </c>
      <c r="F964" t="s">
        <v>85</v>
      </c>
      <c r="G964">
        <v>1996</v>
      </c>
      <c r="H964">
        <v>2636</v>
      </c>
      <c r="I964" t="s">
        <v>172</v>
      </c>
      <c r="J964">
        <v>62</v>
      </c>
      <c r="K964">
        <v>60062</v>
      </c>
      <c r="L964">
        <v>3881</v>
      </c>
      <c r="M964">
        <v>11</v>
      </c>
      <c r="N964">
        <v>3</v>
      </c>
      <c r="O964">
        <v>1</v>
      </c>
      <c r="P964" t="s">
        <v>18</v>
      </c>
      <c r="Q964">
        <v>4</v>
      </c>
      <c r="R964">
        <v>0</v>
      </c>
      <c r="S964" t="s">
        <v>21</v>
      </c>
      <c r="T964">
        <v>3</v>
      </c>
      <c r="U964">
        <v>0</v>
      </c>
    </row>
    <row r="965" spans="1:21" x14ac:dyDescent="0.25">
      <c r="A965">
        <v>9892056</v>
      </c>
      <c r="B965" t="s">
        <v>15</v>
      </c>
      <c r="C965" s="1">
        <v>43214</v>
      </c>
      <c r="D965" s="2">
        <f>YEAR(C965)</f>
        <v>2018</v>
      </c>
      <c r="E965">
        <v>460200</v>
      </c>
      <c r="F965" t="s">
        <v>85</v>
      </c>
      <c r="G965">
        <v>1998</v>
      </c>
      <c r="H965">
        <v>9261</v>
      </c>
      <c r="I965" t="s">
        <v>152</v>
      </c>
      <c r="J965">
        <v>76</v>
      </c>
      <c r="K965">
        <v>60076</v>
      </c>
      <c r="L965">
        <v>4343</v>
      </c>
      <c r="M965">
        <v>9</v>
      </c>
      <c r="N965">
        <v>3</v>
      </c>
      <c r="O965">
        <v>0</v>
      </c>
      <c r="P965" t="s">
        <v>18</v>
      </c>
      <c r="Q965">
        <v>5</v>
      </c>
      <c r="R965">
        <v>0</v>
      </c>
      <c r="S965" t="s">
        <v>21</v>
      </c>
      <c r="T965">
        <v>2</v>
      </c>
      <c r="U965">
        <v>0</v>
      </c>
    </row>
    <row r="966" spans="1:21" x14ac:dyDescent="0.25">
      <c r="A966">
        <v>10062190</v>
      </c>
      <c r="B966" t="s">
        <v>15</v>
      </c>
      <c r="C966" s="1">
        <v>43369</v>
      </c>
      <c r="D966" s="2">
        <f>YEAR(C966)</f>
        <v>2018</v>
      </c>
      <c r="E966">
        <v>452000</v>
      </c>
      <c r="F966" t="s">
        <v>85</v>
      </c>
      <c r="G966">
        <v>1998</v>
      </c>
      <c r="H966">
        <v>5457</v>
      </c>
      <c r="I966" t="s">
        <v>269</v>
      </c>
      <c r="J966">
        <v>76</v>
      </c>
      <c r="K966">
        <v>60077</v>
      </c>
      <c r="L966">
        <v>2518</v>
      </c>
      <c r="M966">
        <v>9</v>
      </c>
      <c r="N966">
        <v>2</v>
      </c>
      <c r="O966">
        <v>1</v>
      </c>
      <c r="P966" t="s">
        <v>18</v>
      </c>
      <c r="Q966">
        <v>4</v>
      </c>
      <c r="R966">
        <v>0</v>
      </c>
      <c r="S966" t="s">
        <v>21</v>
      </c>
      <c r="T966">
        <v>2</v>
      </c>
      <c r="U966">
        <v>0</v>
      </c>
    </row>
    <row r="967" spans="1:21" x14ac:dyDescent="0.25">
      <c r="A967">
        <v>9672926</v>
      </c>
      <c r="B967" t="s">
        <v>15</v>
      </c>
      <c r="C967" s="1">
        <v>43034</v>
      </c>
      <c r="D967" s="2">
        <f>YEAR(C967)</f>
        <v>2017</v>
      </c>
      <c r="E967">
        <v>702500</v>
      </c>
      <c r="F967" t="s">
        <v>85</v>
      </c>
      <c r="G967">
        <v>1998</v>
      </c>
      <c r="H967">
        <v>2500</v>
      </c>
      <c r="I967" t="s">
        <v>423</v>
      </c>
      <c r="J967">
        <v>62</v>
      </c>
      <c r="K967">
        <v>60062</v>
      </c>
      <c r="L967">
        <v>3515</v>
      </c>
      <c r="M967">
        <v>10</v>
      </c>
      <c r="N967">
        <v>2</v>
      </c>
      <c r="O967">
        <v>1</v>
      </c>
      <c r="P967" t="s">
        <v>18</v>
      </c>
      <c r="Q967">
        <v>4</v>
      </c>
      <c r="R967">
        <v>0</v>
      </c>
      <c r="S967" t="s">
        <v>21</v>
      </c>
      <c r="T967">
        <v>3</v>
      </c>
      <c r="U967">
        <v>0</v>
      </c>
    </row>
    <row r="968" spans="1:21" x14ac:dyDescent="0.25">
      <c r="A968">
        <v>9980884</v>
      </c>
      <c r="B968" t="s">
        <v>15</v>
      </c>
      <c r="C968" s="1">
        <v>43388</v>
      </c>
      <c r="D968" s="2">
        <f>YEAR(C968)</f>
        <v>2018</v>
      </c>
      <c r="E968">
        <v>721000</v>
      </c>
      <c r="F968" t="s">
        <v>85</v>
      </c>
      <c r="G968">
        <v>1998</v>
      </c>
      <c r="H968">
        <v>2567</v>
      </c>
      <c r="I968" t="s">
        <v>424</v>
      </c>
      <c r="J968">
        <v>62</v>
      </c>
      <c r="K968">
        <v>60062</v>
      </c>
      <c r="L968">
        <v>3135</v>
      </c>
      <c r="M968">
        <v>9</v>
      </c>
      <c r="N968">
        <v>2</v>
      </c>
      <c r="O968">
        <v>1</v>
      </c>
      <c r="P968" t="s">
        <v>18</v>
      </c>
      <c r="Q968">
        <v>4</v>
      </c>
      <c r="R968">
        <v>0</v>
      </c>
      <c r="S968" t="s">
        <v>21</v>
      </c>
      <c r="T968">
        <v>3</v>
      </c>
      <c r="U968">
        <v>0</v>
      </c>
    </row>
    <row r="969" spans="1:21" x14ac:dyDescent="0.25">
      <c r="A969">
        <v>9654456</v>
      </c>
      <c r="B969" t="s">
        <v>15</v>
      </c>
      <c r="C969" s="1">
        <v>42958</v>
      </c>
      <c r="D969" s="2">
        <f>YEAR(C969)</f>
        <v>2017</v>
      </c>
      <c r="E969">
        <v>720000</v>
      </c>
      <c r="F969" t="s">
        <v>85</v>
      </c>
      <c r="G969">
        <v>1998</v>
      </c>
      <c r="H969">
        <v>2801</v>
      </c>
      <c r="I969" t="s">
        <v>271</v>
      </c>
      <c r="J969">
        <v>62</v>
      </c>
      <c r="K969">
        <v>60062</v>
      </c>
      <c r="L969">
        <v>2954</v>
      </c>
      <c r="M969">
        <v>11</v>
      </c>
      <c r="N969">
        <v>2</v>
      </c>
      <c r="O969">
        <v>1</v>
      </c>
      <c r="P969" t="s">
        <v>18</v>
      </c>
      <c r="Q969">
        <v>4</v>
      </c>
      <c r="R969">
        <v>0</v>
      </c>
      <c r="S969" t="s">
        <v>21</v>
      </c>
      <c r="T969">
        <v>3</v>
      </c>
      <c r="U969">
        <v>0</v>
      </c>
    </row>
    <row r="970" spans="1:21" x14ac:dyDescent="0.25">
      <c r="A970">
        <v>9644419</v>
      </c>
      <c r="B970" t="s">
        <v>15</v>
      </c>
      <c r="C970" s="1">
        <v>42955</v>
      </c>
      <c r="D970" s="2">
        <f>YEAR(C970)</f>
        <v>2017</v>
      </c>
      <c r="E970">
        <v>750000</v>
      </c>
      <c r="F970" t="s">
        <v>85</v>
      </c>
      <c r="G970">
        <v>1998</v>
      </c>
      <c r="H970">
        <v>2585</v>
      </c>
      <c r="I970" t="s">
        <v>425</v>
      </c>
      <c r="J970">
        <v>62</v>
      </c>
      <c r="K970">
        <v>60062</v>
      </c>
      <c r="L970">
        <v>2936</v>
      </c>
      <c r="M970">
        <v>11</v>
      </c>
      <c r="N970">
        <v>2</v>
      </c>
      <c r="O970">
        <v>1</v>
      </c>
      <c r="P970" t="s">
        <v>18</v>
      </c>
      <c r="Q970">
        <v>5</v>
      </c>
      <c r="R970">
        <v>0</v>
      </c>
      <c r="S970" t="s">
        <v>21</v>
      </c>
      <c r="T970">
        <v>2</v>
      </c>
      <c r="U970">
        <v>0</v>
      </c>
    </row>
    <row r="971" spans="1:21" x14ac:dyDescent="0.25">
      <c r="A971">
        <v>9997329</v>
      </c>
      <c r="B971" t="s">
        <v>15</v>
      </c>
      <c r="C971" s="1">
        <v>43308</v>
      </c>
      <c r="D971" s="2">
        <f>YEAR(C971)</f>
        <v>2018</v>
      </c>
      <c r="E971">
        <v>370000</v>
      </c>
      <c r="F971" t="s">
        <v>85</v>
      </c>
      <c r="G971">
        <v>1999</v>
      </c>
      <c r="H971">
        <v>5327</v>
      </c>
      <c r="I971" t="s">
        <v>55</v>
      </c>
      <c r="J971">
        <v>76</v>
      </c>
      <c r="K971">
        <v>60077</v>
      </c>
      <c r="L971">
        <v>2218</v>
      </c>
      <c r="M971">
        <v>10</v>
      </c>
      <c r="N971">
        <v>2</v>
      </c>
      <c r="O971">
        <v>1</v>
      </c>
      <c r="P971" t="s">
        <v>18</v>
      </c>
      <c r="Q971">
        <v>3</v>
      </c>
      <c r="R971">
        <v>0</v>
      </c>
      <c r="S971" t="s">
        <v>22</v>
      </c>
      <c r="T971">
        <v>2</v>
      </c>
      <c r="U971">
        <v>0</v>
      </c>
    </row>
    <row r="972" spans="1:21" x14ac:dyDescent="0.25">
      <c r="A972">
        <v>9653770</v>
      </c>
      <c r="B972" t="s">
        <v>15</v>
      </c>
      <c r="C972" s="1">
        <v>43007</v>
      </c>
      <c r="D972" s="2">
        <f>YEAR(C972)</f>
        <v>2017</v>
      </c>
      <c r="E972">
        <v>620000</v>
      </c>
      <c r="F972" t="s">
        <v>85</v>
      </c>
      <c r="G972">
        <v>1999</v>
      </c>
      <c r="H972">
        <v>1357</v>
      </c>
      <c r="I972" t="s">
        <v>159</v>
      </c>
      <c r="J972">
        <v>62</v>
      </c>
      <c r="K972">
        <v>60062</v>
      </c>
      <c r="L972">
        <v>2896</v>
      </c>
      <c r="M972">
        <v>9</v>
      </c>
      <c r="N972">
        <v>2</v>
      </c>
      <c r="O972">
        <v>1</v>
      </c>
      <c r="P972" t="s">
        <v>18</v>
      </c>
      <c r="Q972">
        <v>4</v>
      </c>
      <c r="R972">
        <v>0</v>
      </c>
      <c r="S972" t="s">
        <v>21</v>
      </c>
      <c r="T972">
        <v>2</v>
      </c>
      <c r="U972">
        <v>0</v>
      </c>
    </row>
    <row r="973" spans="1:21" x14ac:dyDescent="0.25">
      <c r="A973">
        <v>10121449</v>
      </c>
      <c r="B973" t="s">
        <v>15</v>
      </c>
      <c r="C973" s="1">
        <v>43446</v>
      </c>
      <c r="D973" s="2">
        <f>YEAR(C973)</f>
        <v>2018</v>
      </c>
      <c r="E973">
        <v>265000</v>
      </c>
      <c r="F973" t="s">
        <v>85</v>
      </c>
      <c r="G973">
        <v>2000</v>
      </c>
      <c r="H973">
        <v>7402</v>
      </c>
      <c r="I973" t="s">
        <v>69</v>
      </c>
      <c r="J973">
        <v>76</v>
      </c>
      <c r="K973">
        <v>60076</v>
      </c>
      <c r="L973">
        <v>1650</v>
      </c>
      <c r="M973">
        <v>5</v>
      </c>
      <c r="N973">
        <v>2</v>
      </c>
      <c r="O973">
        <v>0</v>
      </c>
      <c r="P973" t="s">
        <v>18</v>
      </c>
      <c r="Q973">
        <v>2</v>
      </c>
      <c r="R973">
        <v>0</v>
      </c>
      <c r="S973" t="s">
        <v>21</v>
      </c>
      <c r="T973">
        <v>1</v>
      </c>
      <c r="U973">
        <v>0</v>
      </c>
    </row>
    <row r="974" spans="1:21" x14ac:dyDescent="0.25">
      <c r="A974">
        <v>9335441</v>
      </c>
      <c r="B974" t="s">
        <v>15</v>
      </c>
      <c r="C974" s="1">
        <v>42870</v>
      </c>
      <c r="D974" s="2">
        <f>YEAR(C974)</f>
        <v>2017</v>
      </c>
      <c r="E974">
        <v>890000</v>
      </c>
      <c r="F974" t="s">
        <v>85</v>
      </c>
      <c r="G974">
        <v>2000</v>
      </c>
      <c r="H974">
        <v>3618</v>
      </c>
      <c r="I974" t="s">
        <v>87</v>
      </c>
      <c r="J974">
        <v>62</v>
      </c>
      <c r="K974">
        <v>60062</v>
      </c>
      <c r="L974">
        <v>6049</v>
      </c>
      <c r="M974">
        <v>12</v>
      </c>
      <c r="N974">
        <v>5</v>
      </c>
      <c r="O974">
        <v>1</v>
      </c>
      <c r="P974" t="s">
        <v>18</v>
      </c>
      <c r="Q974">
        <v>6</v>
      </c>
      <c r="R974">
        <v>0</v>
      </c>
      <c r="S974" t="s">
        <v>21</v>
      </c>
      <c r="T974">
        <v>3</v>
      </c>
      <c r="U974">
        <v>0</v>
      </c>
    </row>
    <row r="975" spans="1:21" x14ac:dyDescent="0.25">
      <c r="A975">
        <v>9478849</v>
      </c>
      <c r="B975" t="s">
        <v>15</v>
      </c>
      <c r="C975" s="1">
        <v>42900</v>
      </c>
      <c r="D975" s="2">
        <f>YEAR(C975)</f>
        <v>2017</v>
      </c>
      <c r="E975">
        <v>1080000</v>
      </c>
      <c r="F975" t="s">
        <v>85</v>
      </c>
      <c r="G975">
        <v>2000</v>
      </c>
      <c r="H975">
        <v>3904</v>
      </c>
      <c r="I975" t="s">
        <v>172</v>
      </c>
      <c r="J975">
        <v>62</v>
      </c>
      <c r="K975">
        <v>60062</v>
      </c>
      <c r="L975">
        <v>5200</v>
      </c>
      <c r="M975">
        <v>10</v>
      </c>
      <c r="N975">
        <v>4</v>
      </c>
      <c r="O975">
        <v>2</v>
      </c>
      <c r="P975" t="s">
        <v>18</v>
      </c>
      <c r="Q975">
        <v>5</v>
      </c>
      <c r="R975">
        <v>0</v>
      </c>
      <c r="S975" t="s">
        <v>21</v>
      </c>
      <c r="T975">
        <v>4</v>
      </c>
      <c r="U975">
        <v>0</v>
      </c>
    </row>
    <row r="976" spans="1:21" x14ac:dyDescent="0.25">
      <c r="A976">
        <v>9576642</v>
      </c>
      <c r="B976" t="s">
        <v>15</v>
      </c>
      <c r="C976" s="1">
        <v>42942</v>
      </c>
      <c r="D976" s="2">
        <f>YEAR(C976)</f>
        <v>2017</v>
      </c>
      <c r="E976">
        <v>867500</v>
      </c>
      <c r="F976" t="s">
        <v>85</v>
      </c>
      <c r="G976">
        <v>2001</v>
      </c>
      <c r="H976">
        <v>2056</v>
      </c>
      <c r="I976" t="s">
        <v>426</v>
      </c>
      <c r="J976">
        <v>62</v>
      </c>
      <c r="K976">
        <v>60062</v>
      </c>
      <c r="L976">
        <v>3200</v>
      </c>
      <c r="M976">
        <v>8</v>
      </c>
      <c r="N976">
        <v>3</v>
      </c>
      <c r="O976">
        <v>1</v>
      </c>
      <c r="P976" t="s">
        <v>18</v>
      </c>
      <c r="Q976">
        <v>3</v>
      </c>
      <c r="R976">
        <v>0</v>
      </c>
      <c r="S976" t="s">
        <v>21</v>
      </c>
      <c r="T976">
        <v>2</v>
      </c>
      <c r="U976">
        <v>0</v>
      </c>
    </row>
    <row r="977" spans="1:21" x14ac:dyDescent="0.25">
      <c r="A977">
        <v>9276374</v>
      </c>
      <c r="B977" t="s">
        <v>15</v>
      </c>
      <c r="C977" s="1">
        <v>42923</v>
      </c>
      <c r="D977" s="2">
        <f>YEAR(C977)</f>
        <v>2017</v>
      </c>
      <c r="E977">
        <v>730000</v>
      </c>
      <c r="F977" t="s">
        <v>85</v>
      </c>
      <c r="G977">
        <v>2001</v>
      </c>
      <c r="H977">
        <v>2436</v>
      </c>
      <c r="I977" t="s">
        <v>170</v>
      </c>
      <c r="J977">
        <v>62</v>
      </c>
      <c r="K977">
        <v>60062</v>
      </c>
      <c r="L977">
        <v>3053</v>
      </c>
      <c r="M977">
        <v>9</v>
      </c>
      <c r="N977">
        <v>3</v>
      </c>
      <c r="O977">
        <v>1</v>
      </c>
      <c r="P977" t="s">
        <v>18</v>
      </c>
      <c r="Q977">
        <v>4</v>
      </c>
      <c r="R977">
        <v>0</v>
      </c>
      <c r="S977" t="s">
        <v>21</v>
      </c>
      <c r="T977">
        <v>2</v>
      </c>
      <c r="U977">
        <v>0</v>
      </c>
    </row>
    <row r="978" spans="1:21" x14ac:dyDescent="0.25">
      <c r="A978">
        <v>9375287</v>
      </c>
      <c r="B978" t="s">
        <v>15</v>
      </c>
      <c r="C978" s="1">
        <v>43054</v>
      </c>
      <c r="D978" s="2">
        <f>YEAR(C978)</f>
        <v>2017</v>
      </c>
      <c r="E978">
        <v>787000</v>
      </c>
      <c r="F978" t="s">
        <v>85</v>
      </c>
      <c r="G978">
        <v>2001</v>
      </c>
      <c r="H978">
        <v>835</v>
      </c>
      <c r="I978" t="s">
        <v>427</v>
      </c>
      <c r="J978">
        <v>62</v>
      </c>
      <c r="K978">
        <v>60062</v>
      </c>
      <c r="L978">
        <v>3043</v>
      </c>
      <c r="M978">
        <v>7</v>
      </c>
      <c r="N978">
        <v>2</v>
      </c>
      <c r="O978">
        <v>1</v>
      </c>
      <c r="P978" t="s">
        <v>18</v>
      </c>
      <c r="Q978">
        <v>3</v>
      </c>
      <c r="R978">
        <v>0</v>
      </c>
      <c r="S978" t="s">
        <v>21</v>
      </c>
      <c r="T978">
        <v>2</v>
      </c>
      <c r="U978">
        <v>0</v>
      </c>
    </row>
    <row r="979" spans="1:21" x14ac:dyDescent="0.25">
      <c r="A979">
        <v>9994256</v>
      </c>
      <c r="B979" t="s">
        <v>15</v>
      </c>
      <c r="C979" s="1">
        <v>43374</v>
      </c>
      <c r="D979" s="2">
        <f>YEAR(C979)</f>
        <v>2018</v>
      </c>
      <c r="E979">
        <v>810000</v>
      </c>
      <c r="F979" t="s">
        <v>85</v>
      </c>
      <c r="G979">
        <v>2001</v>
      </c>
      <c r="H979">
        <v>865</v>
      </c>
      <c r="I979" t="s">
        <v>428</v>
      </c>
      <c r="J979">
        <v>62</v>
      </c>
      <c r="K979">
        <v>60062</v>
      </c>
      <c r="L979">
        <v>3043</v>
      </c>
      <c r="M979">
        <v>8</v>
      </c>
      <c r="N979">
        <v>2</v>
      </c>
      <c r="O979">
        <v>1</v>
      </c>
      <c r="P979" t="s">
        <v>18</v>
      </c>
      <c r="Q979">
        <v>3</v>
      </c>
      <c r="R979">
        <v>0</v>
      </c>
      <c r="S979" t="s">
        <v>21</v>
      </c>
      <c r="T979">
        <v>2</v>
      </c>
      <c r="U979">
        <v>0</v>
      </c>
    </row>
    <row r="980" spans="1:21" x14ac:dyDescent="0.25">
      <c r="A980">
        <v>9933565</v>
      </c>
      <c r="B980" t="s">
        <v>15</v>
      </c>
      <c r="C980" s="1">
        <v>43418</v>
      </c>
      <c r="D980" s="2">
        <f>YEAR(C980)</f>
        <v>2018</v>
      </c>
      <c r="E980">
        <v>825000</v>
      </c>
      <c r="F980" t="s">
        <v>85</v>
      </c>
      <c r="G980">
        <v>2001</v>
      </c>
      <c r="H980">
        <v>2041</v>
      </c>
      <c r="I980" t="s">
        <v>429</v>
      </c>
      <c r="J980">
        <v>62</v>
      </c>
      <c r="K980">
        <v>60062</v>
      </c>
      <c r="L980">
        <v>3043</v>
      </c>
      <c r="M980">
        <v>8</v>
      </c>
      <c r="N980">
        <v>2</v>
      </c>
      <c r="O980">
        <v>1</v>
      </c>
      <c r="P980" t="s">
        <v>18</v>
      </c>
      <c r="Q980">
        <v>3</v>
      </c>
      <c r="R980">
        <v>0</v>
      </c>
      <c r="S980" t="s">
        <v>21</v>
      </c>
      <c r="T980">
        <v>2</v>
      </c>
      <c r="U980">
        <v>0</v>
      </c>
    </row>
    <row r="981" spans="1:21" x14ac:dyDescent="0.25">
      <c r="A981">
        <v>10053639</v>
      </c>
      <c r="B981" t="s">
        <v>15</v>
      </c>
      <c r="C981" s="1">
        <v>43378</v>
      </c>
      <c r="D981" s="2">
        <f>YEAR(C981)</f>
        <v>2018</v>
      </c>
      <c r="E981">
        <v>911000</v>
      </c>
      <c r="F981" t="s">
        <v>85</v>
      </c>
      <c r="G981">
        <v>2002</v>
      </c>
      <c r="H981">
        <v>855</v>
      </c>
      <c r="I981" t="s">
        <v>193</v>
      </c>
      <c r="J981">
        <v>62</v>
      </c>
      <c r="K981">
        <v>60062</v>
      </c>
      <c r="L981">
        <v>3476</v>
      </c>
      <c r="M981">
        <v>12</v>
      </c>
      <c r="N981">
        <v>4</v>
      </c>
      <c r="O981">
        <v>0</v>
      </c>
      <c r="P981" t="s">
        <v>18</v>
      </c>
      <c r="Q981">
        <v>5</v>
      </c>
      <c r="R981">
        <v>0</v>
      </c>
      <c r="S981" t="s">
        <v>21</v>
      </c>
      <c r="T981">
        <v>3</v>
      </c>
      <c r="U981">
        <v>0</v>
      </c>
    </row>
    <row r="982" spans="1:21" x14ac:dyDescent="0.25">
      <c r="A982">
        <v>9881007</v>
      </c>
      <c r="B982" t="s">
        <v>15</v>
      </c>
      <c r="C982" s="1">
        <v>43294</v>
      </c>
      <c r="D982" s="2">
        <f>YEAR(C982)</f>
        <v>2018</v>
      </c>
      <c r="E982">
        <v>990000</v>
      </c>
      <c r="F982" t="s">
        <v>85</v>
      </c>
      <c r="G982">
        <v>2004</v>
      </c>
      <c r="H982">
        <v>2995</v>
      </c>
      <c r="I982" t="s">
        <v>430</v>
      </c>
      <c r="J982">
        <v>62</v>
      </c>
      <c r="K982">
        <v>60062</v>
      </c>
      <c r="L982">
        <v>6783</v>
      </c>
      <c r="M982">
        <v>11</v>
      </c>
      <c r="N982">
        <v>5</v>
      </c>
      <c r="O982">
        <v>1</v>
      </c>
      <c r="P982" t="s">
        <v>18</v>
      </c>
      <c r="Q982">
        <v>6</v>
      </c>
      <c r="R982">
        <v>0</v>
      </c>
      <c r="S982" t="s">
        <v>21</v>
      </c>
      <c r="T982">
        <v>3</v>
      </c>
      <c r="U982">
        <v>0</v>
      </c>
    </row>
    <row r="983" spans="1:21" x14ac:dyDescent="0.25">
      <c r="A983">
        <v>9736092</v>
      </c>
      <c r="B983" t="s">
        <v>15</v>
      </c>
      <c r="C983" s="1">
        <v>43182</v>
      </c>
      <c r="D983" s="2">
        <f>YEAR(C983)</f>
        <v>2018</v>
      </c>
      <c r="E983">
        <v>766500</v>
      </c>
      <c r="F983" t="s">
        <v>85</v>
      </c>
      <c r="G983">
        <v>2004</v>
      </c>
      <c r="H983">
        <v>3650</v>
      </c>
      <c r="I983" t="s">
        <v>263</v>
      </c>
      <c r="J983">
        <v>62</v>
      </c>
      <c r="K983">
        <v>60062</v>
      </c>
      <c r="L983">
        <v>6398</v>
      </c>
      <c r="M983">
        <v>13</v>
      </c>
      <c r="N983">
        <v>4</v>
      </c>
      <c r="O983">
        <v>1</v>
      </c>
      <c r="P983" t="s">
        <v>18</v>
      </c>
      <c r="Q983">
        <v>7</v>
      </c>
      <c r="R983">
        <v>0</v>
      </c>
      <c r="S983" t="s">
        <v>21</v>
      </c>
      <c r="T983">
        <v>3</v>
      </c>
      <c r="U983">
        <v>0</v>
      </c>
    </row>
    <row r="984" spans="1:21" x14ac:dyDescent="0.25">
      <c r="A984">
        <v>9565917</v>
      </c>
      <c r="B984" t="s">
        <v>15</v>
      </c>
      <c r="C984" s="1">
        <v>42872</v>
      </c>
      <c r="D984" s="2">
        <f>YEAR(C984)</f>
        <v>2017</v>
      </c>
      <c r="E984">
        <v>651018</v>
      </c>
      <c r="F984" t="s">
        <v>85</v>
      </c>
      <c r="G984">
        <v>2004</v>
      </c>
      <c r="H984">
        <v>566</v>
      </c>
      <c r="I984" t="s">
        <v>262</v>
      </c>
      <c r="J984">
        <v>62</v>
      </c>
      <c r="K984">
        <v>60062</v>
      </c>
      <c r="L984">
        <v>3586</v>
      </c>
      <c r="M984">
        <v>8</v>
      </c>
      <c r="N984">
        <v>3</v>
      </c>
      <c r="O984">
        <v>1</v>
      </c>
      <c r="P984" t="s">
        <v>18</v>
      </c>
      <c r="Q984">
        <v>4</v>
      </c>
      <c r="R984">
        <v>0</v>
      </c>
      <c r="S984" t="s">
        <v>21</v>
      </c>
      <c r="T984">
        <v>4</v>
      </c>
      <c r="U984">
        <v>0</v>
      </c>
    </row>
    <row r="985" spans="1:21" x14ac:dyDescent="0.25">
      <c r="A985">
        <v>9740932</v>
      </c>
      <c r="B985" t="s">
        <v>15</v>
      </c>
      <c r="C985" s="1">
        <v>43052</v>
      </c>
      <c r="D985" s="2">
        <f>YEAR(C985)</f>
        <v>2017</v>
      </c>
      <c r="E985">
        <v>535000</v>
      </c>
      <c r="F985" t="s">
        <v>85</v>
      </c>
      <c r="G985">
        <v>2005</v>
      </c>
      <c r="H985">
        <v>3833</v>
      </c>
      <c r="I985" t="s">
        <v>126</v>
      </c>
      <c r="J985">
        <v>76</v>
      </c>
      <c r="K985">
        <v>60076</v>
      </c>
      <c r="L985">
        <v>3020</v>
      </c>
      <c r="M985">
        <v>9</v>
      </c>
      <c r="N985">
        <v>2</v>
      </c>
      <c r="O985">
        <v>1</v>
      </c>
      <c r="P985" t="s">
        <v>18</v>
      </c>
      <c r="Q985">
        <v>4</v>
      </c>
      <c r="R985">
        <v>0</v>
      </c>
      <c r="S985" t="s">
        <v>22</v>
      </c>
      <c r="T985">
        <v>2</v>
      </c>
      <c r="U985">
        <v>0</v>
      </c>
    </row>
    <row r="986" spans="1:21" x14ac:dyDescent="0.25">
      <c r="A986">
        <v>9936897</v>
      </c>
      <c r="B986" t="s">
        <v>15</v>
      </c>
      <c r="C986" s="1">
        <v>43290</v>
      </c>
      <c r="D986" s="2">
        <f>YEAR(C986)</f>
        <v>2018</v>
      </c>
      <c r="E986">
        <v>685650</v>
      </c>
      <c r="F986" t="s">
        <v>85</v>
      </c>
      <c r="G986">
        <v>2005</v>
      </c>
      <c r="H986">
        <v>1059</v>
      </c>
      <c r="I986" t="s">
        <v>88</v>
      </c>
      <c r="J986">
        <v>62</v>
      </c>
      <c r="K986">
        <v>60062</v>
      </c>
      <c r="L986">
        <v>3783</v>
      </c>
      <c r="M986">
        <v>7</v>
      </c>
      <c r="N986">
        <v>4</v>
      </c>
      <c r="O986">
        <v>2</v>
      </c>
      <c r="P986" t="s">
        <v>18</v>
      </c>
      <c r="Q986">
        <v>5</v>
      </c>
      <c r="R986">
        <v>0</v>
      </c>
      <c r="S986" t="s">
        <v>21</v>
      </c>
      <c r="T986">
        <v>3</v>
      </c>
      <c r="U986">
        <v>0</v>
      </c>
    </row>
    <row r="987" spans="1:21" x14ac:dyDescent="0.25">
      <c r="A987">
        <v>9912729</v>
      </c>
      <c r="B987" t="s">
        <v>15</v>
      </c>
      <c r="C987" s="1">
        <v>43292</v>
      </c>
      <c r="D987" s="2">
        <f>YEAR(C987)</f>
        <v>2018</v>
      </c>
      <c r="E987">
        <v>698000</v>
      </c>
      <c r="F987" t="s">
        <v>85</v>
      </c>
      <c r="G987">
        <v>2005</v>
      </c>
      <c r="H987">
        <v>1027</v>
      </c>
      <c r="I987" t="s">
        <v>205</v>
      </c>
      <c r="J987">
        <v>62</v>
      </c>
      <c r="K987">
        <v>60062</v>
      </c>
      <c r="L987">
        <v>3492</v>
      </c>
      <c r="M987">
        <v>9</v>
      </c>
      <c r="N987">
        <v>3</v>
      </c>
      <c r="O987">
        <v>2</v>
      </c>
      <c r="P987" t="s">
        <v>18</v>
      </c>
      <c r="Q987">
        <v>5</v>
      </c>
      <c r="R987">
        <v>0</v>
      </c>
      <c r="S987" t="s">
        <v>21</v>
      </c>
      <c r="T987">
        <v>2</v>
      </c>
      <c r="U987">
        <v>0</v>
      </c>
    </row>
    <row r="988" spans="1:21" x14ac:dyDescent="0.25">
      <c r="A988">
        <v>9941310</v>
      </c>
      <c r="B988" t="s">
        <v>15</v>
      </c>
      <c r="C988" s="1">
        <v>43299</v>
      </c>
      <c r="D988" s="2">
        <f>YEAR(C988)</f>
        <v>2018</v>
      </c>
      <c r="E988">
        <v>720000</v>
      </c>
      <c r="F988" t="s">
        <v>85</v>
      </c>
      <c r="G988">
        <v>2006</v>
      </c>
      <c r="H988">
        <v>1495</v>
      </c>
      <c r="I988" t="s">
        <v>431</v>
      </c>
      <c r="J988">
        <v>62</v>
      </c>
      <c r="K988">
        <v>60062</v>
      </c>
      <c r="L988">
        <v>4000</v>
      </c>
      <c r="M988">
        <v>11</v>
      </c>
      <c r="N988">
        <v>4</v>
      </c>
      <c r="O988">
        <v>0</v>
      </c>
      <c r="P988" t="s">
        <v>18</v>
      </c>
      <c r="Q988">
        <v>5</v>
      </c>
      <c r="R988">
        <v>0</v>
      </c>
      <c r="S988" t="s">
        <v>21</v>
      </c>
      <c r="T988">
        <v>3</v>
      </c>
      <c r="U988">
        <v>0</v>
      </c>
    </row>
    <row r="989" spans="1:21" x14ac:dyDescent="0.25">
      <c r="A989">
        <v>10016768</v>
      </c>
      <c r="B989" t="s">
        <v>15</v>
      </c>
      <c r="C989" s="1">
        <v>43454</v>
      </c>
      <c r="D989" s="2">
        <f>YEAR(C989)</f>
        <v>2018</v>
      </c>
      <c r="E989">
        <v>940000</v>
      </c>
      <c r="F989" t="s">
        <v>85</v>
      </c>
      <c r="G989">
        <v>2007</v>
      </c>
      <c r="H989">
        <v>120</v>
      </c>
      <c r="I989" t="s">
        <v>432</v>
      </c>
      <c r="J989">
        <v>62</v>
      </c>
      <c r="K989">
        <v>60062</v>
      </c>
      <c r="L989">
        <v>7000</v>
      </c>
      <c r="M989">
        <v>13</v>
      </c>
      <c r="N989">
        <v>5</v>
      </c>
      <c r="O989">
        <v>1</v>
      </c>
      <c r="P989" t="s">
        <v>18</v>
      </c>
      <c r="Q989">
        <v>5</v>
      </c>
      <c r="R989">
        <v>0</v>
      </c>
      <c r="S989" t="s">
        <v>21</v>
      </c>
      <c r="T989">
        <v>3</v>
      </c>
      <c r="U989">
        <v>0</v>
      </c>
    </row>
    <row r="990" spans="1:21" x14ac:dyDescent="0.25">
      <c r="A990">
        <v>9996968</v>
      </c>
      <c r="B990" t="s">
        <v>15</v>
      </c>
      <c r="C990" s="1">
        <v>43339</v>
      </c>
      <c r="D990" s="2">
        <f>YEAR(C990)</f>
        <v>2018</v>
      </c>
      <c r="E990">
        <v>895000</v>
      </c>
      <c r="F990" t="s">
        <v>85</v>
      </c>
      <c r="G990">
        <v>2007</v>
      </c>
      <c r="H990">
        <v>1883</v>
      </c>
      <c r="I990" t="s">
        <v>433</v>
      </c>
      <c r="J990">
        <v>62</v>
      </c>
      <c r="K990">
        <v>60062</v>
      </c>
      <c r="L990">
        <v>3634</v>
      </c>
      <c r="M990">
        <v>9</v>
      </c>
      <c r="N990">
        <v>4</v>
      </c>
      <c r="O990">
        <v>1</v>
      </c>
      <c r="P990" t="s">
        <v>18</v>
      </c>
      <c r="Q990">
        <v>5</v>
      </c>
      <c r="R990">
        <v>0</v>
      </c>
      <c r="S990" t="s">
        <v>21</v>
      </c>
      <c r="T990">
        <v>3</v>
      </c>
      <c r="U990">
        <v>0</v>
      </c>
    </row>
    <row r="991" spans="1:21" x14ac:dyDescent="0.25">
      <c r="A991">
        <v>9809121</v>
      </c>
      <c r="B991" t="s">
        <v>15</v>
      </c>
      <c r="C991" s="1">
        <v>43313</v>
      </c>
      <c r="D991" s="2">
        <f>YEAR(C991)</f>
        <v>2018</v>
      </c>
      <c r="E991">
        <v>682500</v>
      </c>
      <c r="F991" t="s">
        <v>85</v>
      </c>
      <c r="G991">
        <v>2007</v>
      </c>
      <c r="H991">
        <v>319</v>
      </c>
      <c r="I991" t="s">
        <v>188</v>
      </c>
      <c r="J991">
        <v>62</v>
      </c>
      <c r="K991">
        <v>60062</v>
      </c>
      <c r="L991">
        <v>2800</v>
      </c>
      <c r="M991">
        <v>8</v>
      </c>
      <c r="N991">
        <v>2</v>
      </c>
      <c r="O991">
        <v>1</v>
      </c>
      <c r="P991" t="s">
        <v>18</v>
      </c>
      <c r="Q991">
        <v>4</v>
      </c>
      <c r="R991">
        <v>0</v>
      </c>
      <c r="S991" t="s">
        <v>21</v>
      </c>
      <c r="T991">
        <v>2.5</v>
      </c>
      <c r="U991">
        <v>0</v>
      </c>
    </row>
    <row r="992" spans="1:21" x14ac:dyDescent="0.25">
      <c r="A992">
        <v>9390480</v>
      </c>
      <c r="B992" t="s">
        <v>15</v>
      </c>
      <c r="C992" s="1">
        <v>42867</v>
      </c>
      <c r="D992" s="2">
        <f>YEAR(C992)</f>
        <v>2017</v>
      </c>
      <c r="E992">
        <v>428000</v>
      </c>
      <c r="F992" t="s">
        <v>85</v>
      </c>
      <c r="G992">
        <v>2008</v>
      </c>
      <c r="H992">
        <v>4414</v>
      </c>
      <c r="I992" t="s">
        <v>100</v>
      </c>
      <c r="J992">
        <v>76</v>
      </c>
      <c r="K992">
        <v>60076</v>
      </c>
      <c r="L992">
        <v>3027</v>
      </c>
      <c r="M992">
        <v>12</v>
      </c>
      <c r="N992">
        <v>4</v>
      </c>
      <c r="O992">
        <v>0</v>
      </c>
      <c r="P992" t="s">
        <v>18</v>
      </c>
      <c r="Q992">
        <v>5</v>
      </c>
      <c r="R992">
        <v>0</v>
      </c>
      <c r="S992" t="s">
        <v>21</v>
      </c>
      <c r="T992">
        <v>2</v>
      </c>
      <c r="U992">
        <v>0</v>
      </c>
    </row>
    <row r="993" spans="1:21" x14ac:dyDescent="0.25">
      <c r="A993">
        <v>9703881</v>
      </c>
      <c r="B993" t="s">
        <v>15</v>
      </c>
      <c r="C993" s="1">
        <v>43005</v>
      </c>
      <c r="D993" s="2">
        <f>YEAR(C993)</f>
        <v>2017</v>
      </c>
      <c r="E993">
        <v>665999</v>
      </c>
      <c r="F993" t="s">
        <v>85</v>
      </c>
      <c r="G993">
        <v>2008</v>
      </c>
      <c r="H993">
        <v>7527</v>
      </c>
      <c r="I993" t="s">
        <v>101</v>
      </c>
      <c r="J993">
        <v>76</v>
      </c>
      <c r="K993">
        <v>60076</v>
      </c>
      <c r="L993">
        <v>2800</v>
      </c>
      <c r="M993">
        <v>6</v>
      </c>
      <c r="N993">
        <v>4</v>
      </c>
      <c r="O993">
        <v>0</v>
      </c>
      <c r="P993" t="s">
        <v>18</v>
      </c>
      <c r="Q993">
        <v>3</v>
      </c>
      <c r="R993">
        <v>0</v>
      </c>
      <c r="S993" t="s">
        <v>21</v>
      </c>
      <c r="T993">
        <v>2</v>
      </c>
      <c r="U993">
        <v>0</v>
      </c>
    </row>
    <row r="994" spans="1:21" x14ac:dyDescent="0.25">
      <c r="A994">
        <v>9522912</v>
      </c>
      <c r="B994" t="s">
        <v>15</v>
      </c>
      <c r="C994" s="1">
        <v>42838</v>
      </c>
      <c r="D994" s="2">
        <f>YEAR(C994)</f>
        <v>2017</v>
      </c>
      <c r="E994">
        <v>492000</v>
      </c>
      <c r="F994" t="s">
        <v>85</v>
      </c>
      <c r="G994">
        <v>2008</v>
      </c>
      <c r="H994">
        <v>5332</v>
      </c>
      <c r="I994" t="s">
        <v>176</v>
      </c>
      <c r="J994">
        <v>76</v>
      </c>
      <c r="K994">
        <v>60077</v>
      </c>
      <c r="L994">
        <v>2568</v>
      </c>
      <c r="M994">
        <v>8</v>
      </c>
      <c r="N994">
        <v>3</v>
      </c>
      <c r="O994">
        <v>1</v>
      </c>
      <c r="P994" t="s">
        <v>18</v>
      </c>
      <c r="Q994">
        <v>4</v>
      </c>
      <c r="R994">
        <v>0</v>
      </c>
      <c r="S994" t="s">
        <v>22</v>
      </c>
      <c r="T994">
        <v>2</v>
      </c>
      <c r="U994">
        <v>0</v>
      </c>
    </row>
    <row r="995" spans="1:21" x14ac:dyDescent="0.25">
      <c r="A995">
        <v>9990055</v>
      </c>
      <c r="B995" t="s">
        <v>15</v>
      </c>
      <c r="C995" s="1">
        <v>43350</v>
      </c>
      <c r="D995" s="2">
        <f>YEAR(C995)</f>
        <v>2018</v>
      </c>
      <c r="E995">
        <v>1203825</v>
      </c>
      <c r="F995" t="s">
        <v>85</v>
      </c>
      <c r="G995">
        <v>2008</v>
      </c>
      <c r="H995">
        <v>2812</v>
      </c>
      <c r="I995" t="s">
        <v>434</v>
      </c>
      <c r="J995">
        <v>62</v>
      </c>
      <c r="K995">
        <v>60062</v>
      </c>
      <c r="L995">
        <v>3792</v>
      </c>
      <c r="M995">
        <v>13</v>
      </c>
      <c r="N995">
        <v>4</v>
      </c>
      <c r="O995">
        <v>1</v>
      </c>
      <c r="P995" t="s">
        <v>18</v>
      </c>
      <c r="Q995">
        <v>4</v>
      </c>
      <c r="R995">
        <v>1</v>
      </c>
      <c r="S995" t="s">
        <v>21</v>
      </c>
      <c r="T995">
        <v>3</v>
      </c>
      <c r="U995">
        <v>0</v>
      </c>
    </row>
    <row r="996" spans="1:21" x14ac:dyDescent="0.25">
      <c r="A996">
        <v>9900699</v>
      </c>
      <c r="B996" t="s">
        <v>15</v>
      </c>
      <c r="C996" s="1">
        <v>43390</v>
      </c>
      <c r="D996" s="2">
        <f>YEAR(C996)</f>
        <v>2018</v>
      </c>
      <c r="E996">
        <v>599000</v>
      </c>
      <c r="F996" t="s">
        <v>85</v>
      </c>
      <c r="G996">
        <v>2008</v>
      </c>
      <c r="H996">
        <v>2140</v>
      </c>
      <c r="I996" t="s">
        <v>142</v>
      </c>
      <c r="J996">
        <v>62</v>
      </c>
      <c r="K996">
        <v>60062</v>
      </c>
      <c r="L996">
        <v>3018</v>
      </c>
      <c r="M996">
        <v>8</v>
      </c>
      <c r="N996">
        <v>3</v>
      </c>
      <c r="O996">
        <v>1</v>
      </c>
      <c r="P996" t="s">
        <v>18</v>
      </c>
      <c r="Q996">
        <v>4</v>
      </c>
      <c r="R996">
        <v>0</v>
      </c>
      <c r="S996" t="s">
        <v>21</v>
      </c>
      <c r="T996">
        <v>3</v>
      </c>
      <c r="U996">
        <v>0</v>
      </c>
    </row>
    <row r="997" spans="1:21" x14ac:dyDescent="0.25">
      <c r="A997">
        <v>9503624</v>
      </c>
      <c r="B997" t="s">
        <v>15</v>
      </c>
      <c r="C997" s="1">
        <v>42901</v>
      </c>
      <c r="D997" s="2">
        <f>YEAR(C997)</f>
        <v>2017</v>
      </c>
      <c r="E997">
        <v>1167500</v>
      </c>
      <c r="F997" t="s">
        <v>85</v>
      </c>
      <c r="G997">
        <v>2012</v>
      </c>
      <c r="H997">
        <v>676</v>
      </c>
      <c r="I997" t="s">
        <v>267</v>
      </c>
      <c r="J997">
        <v>62</v>
      </c>
      <c r="K997">
        <v>60062</v>
      </c>
      <c r="L997">
        <v>4300</v>
      </c>
      <c r="M997">
        <v>13</v>
      </c>
      <c r="N997">
        <v>3</v>
      </c>
      <c r="O997">
        <v>1</v>
      </c>
      <c r="P997" t="s">
        <v>18</v>
      </c>
      <c r="Q997">
        <v>4</v>
      </c>
      <c r="R997">
        <v>1</v>
      </c>
      <c r="S997" t="s">
        <v>21</v>
      </c>
      <c r="T997">
        <v>3</v>
      </c>
      <c r="U997">
        <v>0</v>
      </c>
    </row>
    <row r="998" spans="1:21" x14ac:dyDescent="0.25">
      <c r="A998">
        <v>9838204</v>
      </c>
      <c r="B998" t="s">
        <v>15</v>
      </c>
      <c r="C998" s="1">
        <v>43194</v>
      </c>
      <c r="D998" s="2">
        <f>YEAR(C998)</f>
        <v>2018</v>
      </c>
      <c r="E998">
        <v>625000</v>
      </c>
      <c r="F998" t="s">
        <v>85</v>
      </c>
      <c r="G998">
        <v>2012</v>
      </c>
      <c r="H998">
        <v>919</v>
      </c>
      <c r="I998" t="s">
        <v>193</v>
      </c>
      <c r="J998">
        <v>62</v>
      </c>
      <c r="K998">
        <v>60062</v>
      </c>
      <c r="L998">
        <v>2300</v>
      </c>
      <c r="M998">
        <v>11</v>
      </c>
      <c r="N998">
        <v>2</v>
      </c>
      <c r="O998">
        <v>1</v>
      </c>
      <c r="P998" t="s">
        <v>18</v>
      </c>
      <c r="Q998">
        <v>4</v>
      </c>
      <c r="R998">
        <v>0</v>
      </c>
      <c r="S998" t="s">
        <v>21</v>
      </c>
      <c r="T998">
        <v>2</v>
      </c>
      <c r="U998">
        <v>0</v>
      </c>
    </row>
    <row r="999" spans="1:21" x14ac:dyDescent="0.25">
      <c r="A999">
        <v>9880157</v>
      </c>
      <c r="B999" t="s">
        <v>15</v>
      </c>
      <c r="C999" s="1">
        <v>43430</v>
      </c>
      <c r="D999" s="2">
        <f>YEAR(C999)</f>
        <v>2018</v>
      </c>
      <c r="E999">
        <v>665000</v>
      </c>
      <c r="F999" t="s">
        <v>85</v>
      </c>
      <c r="G999">
        <v>2016</v>
      </c>
      <c r="H999">
        <v>8115</v>
      </c>
      <c r="I999" t="s">
        <v>435</v>
      </c>
      <c r="J999">
        <v>76</v>
      </c>
      <c r="K999">
        <v>60077</v>
      </c>
      <c r="L999">
        <v>2325</v>
      </c>
      <c r="M999">
        <v>8</v>
      </c>
      <c r="N999">
        <v>2</v>
      </c>
      <c r="O999">
        <v>1</v>
      </c>
      <c r="P999" t="s">
        <v>18</v>
      </c>
      <c r="Q999">
        <v>3</v>
      </c>
      <c r="R999">
        <v>0</v>
      </c>
      <c r="S999" t="s">
        <v>21</v>
      </c>
      <c r="T999">
        <v>2</v>
      </c>
      <c r="U999">
        <v>0</v>
      </c>
    </row>
    <row r="1000" spans="1:21" x14ac:dyDescent="0.25">
      <c r="A1000">
        <v>9750496</v>
      </c>
      <c r="B1000" t="s">
        <v>15</v>
      </c>
      <c r="C1000" s="1">
        <v>43392</v>
      </c>
      <c r="D1000" s="2">
        <f>YEAR(C1000)</f>
        <v>2018</v>
      </c>
      <c r="E1000">
        <v>663844</v>
      </c>
      <c r="F1000" t="s">
        <v>85</v>
      </c>
      <c r="G1000">
        <v>2017</v>
      </c>
      <c r="H1000">
        <v>8101</v>
      </c>
      <c r="I1000" t="s">
        <v>435</v>
      </c>
      <c r="J1000">
        <v>76</v>
      </c>
      <c r="K1000">
        <v>60077</v>
      </c>
      <c r="L1000">
        <v>1800</v>
      </c>
      <c r="M1000">
        <v>6</v>
      </c>
      <c r="N1000">
        <v>2</v>
      </c>
      <c r="O1000">
        <v>1</v>
      </c>
      <c r="P1000" t="s">
        <v>18</v>
      </c>
      <c r="Q1000">
        <v>3</v>
      </c>
      <c r="R1000">
        <v>0</v>
      </c>
      <c r="S1000" t="s">
        <v>21</v>
      </c>
      <c r="T1000">
        <v>2</v>
      </c>
      <c r="U1000">
        <v>0</v>
      </c>
    </row>
    <row r="1001" spans="1:21" x14ac:dyDescent="0.25">
      <c r="A1001">
        <v>9651707</v>
      </c>
      <c r="B1001" t="s">
        <v>15</v>
      </c>
      <c r="C1001" s="1">
        <v>43368</v>
      </c>
      <c r="D1001" s="2">
        <f>YEAR(C1001)</f>
        <v>2018</v>
      </c>
      <c r="E1001">
        <v>697035</v>
      </c>
      <c r="F1001" t="s">
        <v>85</v>
      </c>
      <c r="G1001">
        <v>2017</v>
      </c>
      <c r="H1001">
        <v>8103</v>
      </c>
      <c r="I1001" t="s">
        <v>435</v>
      </c>
      <c r="J1001">
        <v>76</v>
      </c>
      <c r="K1001">
        <v>60077</v>
      </c>
      <c r="L1001">
        <v>1800</v>
      </c>
      <c r="M1001">
        <v>6</v>
      </c>
      <c r="N1001">
        <v>2</v>
      </c>
      <c r="O1001">
        <v>1</v>
      </c>
      <c r="P1001" t="s">
        <v>18</v>
      </c>
      <c r="Q1001">
        <v>3</v>
      </c>
      <c r="R1001">
        <v>0</v>
      </c>
      <c r="S1001" t="s">
        <v>21</v>
      </c>
      <c r="T1001">
        <v>2</v>
      </c>
      <c r="U1001">
        <v>0</v>
      </c>
    </row>
    <row r="1002" spans="1:21" x14ac:dyDescent="0.25">
      <c r="A1002">
        <v>10082397</v>
      </c>
      <c r="B1002" t="s">
        <v>15</v>
      </c>
      <c r="C1002" s="1">
        <v>43483</v>
      </c>
      <c r="D1002" s="2">
        <f>YEAR(C1002)</f>
        <v>2019</v>
      </c>
      <c r="E1002">
        <v>1125000</v>
      </c>
      <c r="F1002" t="s">
        <v>85</v>
      </c>
      <c r="G1002">
        <v>2017</v>
      </c>
      <c r="H1002">
        <v>2144</v>
      </c>
      <c r="I1002" t="s">
        <v>225</v>
      </c>
      <c r="J1002">
        <v>62</v>
      </c>
      <c r="K1002">
        <v>60062</v>
      </c>
      <c r="L1002">
        <v>4097</v>
      </c>
      <c r="M1002">
        <v>9</v>
      </c>
      <c r="N1002">
        <v>3</v>
      </c>
      <c r="O1002">
        <v>1</v>
      </c>
      <c r="P1002" t="s">
        <v>18</v>
      </c>
      <c r="Q1002">
        <v>4</v>
      </c>
      <c r="R1002">
        <v>0</v>
      </c>
      <c r="S1002" t="s">
        <v>21</v>
      </c>
      <c r="T1002">
        <v>2.5</v>
      </c>
      <c r="U1002">
        <v>0</v>
      </c>
    </row>
    <row r="1003" spans="1:21" x14ac:dyDescent="0.25">
      <c r="A1003">
        <v>9372739</v>
      </c>
      <c r="B1003" t="s">
        <v>15</v>
      </c>
      <c r="C1003" s="1">
        <v>43117</v>
      </c>
      <c r="D1003" s="2">
        <f>YEAR(C1003)</f>
        <v>2018</v>
      </c>
      <c r="E1003">
        <v>947000</v>
      </c>
      <c r="F1003" t="s">
        <v>85</v>
      </c>
      <c r="G1003">
        <v>2017</v>
      </c>
      <c r="H1003">
        <v>1627</v>
      </c>
      <c r="I1003" t="s">
        <v>436</v>
      </c>
      <c r="J1003">
        <v>62</v>
      </c>
      <c r="K1003">
        <v>60062</v>
      </c>
      <c r="L1003">
        <v>3925</v>
      </c>
      <c r="M1003">
        <v>10</v>
      </c>
      <c r="N1003">
        <v>3</v>
      </c>
      <c r="O1003">
        <v>1</v>
      </c>
      <c r="P1003" t="s">
        <v>18</v>
      </c>
      <c r="Q1003">
        <v>5</v>
      </c>
      <c r="R1003">
        <v>0</v>
      </c>
      <c r="S1003" t="s">
        <v>21</v>
      </c>
      <c r="T1003">
        <v>2</v>
      </c>
      <c r="U1003">
        <v>0</v>
      </c>
    </row>
    <row r="1004" spans="1:21" x14ac:dyDescent="0.25">
      <c r="A1004">
        <v>9627322</v>
      </c>
      <c r="B1004" t="s">
        <v>15</v>
      </c>
      <c r="C1004" s="1">
        <v>43448</v>
      </c>
      <c r="D1004" s="2">
        <f>YEAR(C1004)</f>
        <v>2018</v>
      </c>
      <c r="E1004">
        <v>1430744</v>
      </c>
      <c r="F1004" t="s">
        <v>85</v>
      </c>
      <c r="G1004">
        <v>2017</v>
      </c>
      <c r="H1004">
        <v>1561</v>
      </c>
      <c r="I1004" t="s">
        <v>437</v>
      </c>
      <c r="J1004">
        <v>62</v>
      </c>
      <c r="K1004">
        <v>60062</v>
      </c>
      <c r="L1004">
        <v>3419</v>
      </c>
      <c r="M1004">
        <v>10</v>
      </c>
      <c r="N1004">
        <v>2</v>
      </c>
      <c r="O1004">
        <v>1</v>
      </c>
      <c r="P1004" t="s">
        <v>18</v>
      </c>
      <c r="Q1004">
        <v>3</v>
      </c>
      <c r="R1004">
        <v>0</v>
      </c>
      <c r="S1004" t="s">
        <v>21</v>
      </c>
      <c r="T1004">
        <v>2</v>
      </c>
      <c r="U1004">
        <v>0</v>
      </c>
    </row>
    <row r="1005" spans="1:21" x14ac:dyDescent="0.25">
      <c r="A1005">
        <v>9645869</v>
      </c>
      <c r="B1005" t="s">
        <v>15</v>
      </c>
      <c r="C1005" s="1">
        <v>43417</v>
      </c>
      <c r="D1005" s="2">
        <f>YEAR(C1005)</f>
        <v>2018</v>
      </c>
      <c r="E1005">
        <v>1584743</v>
      </c>
      <c r="F1005" t="s">
        <v>85</v>
      </c>
      <c r="G1005">
        <v>2017</v>
      </c>
      <c r="H1005">
        <v>1521</v>
      </c>
      <c r="I1005" t="s">
        <v>437</v>
      </c>
      <c r="J1005">
        <v>62</v>
      </c>
      <c r="K1005">
        <v>60062</v>
      </c>
      <c r="L1005">
        <v>3419</v>
      </c>
      <c r="M1005">
        <v>10</v>
      </c>
      <c r="N1005">
        <v>2</v>
      </c>
      <c r="O1005">
        <v>1</v>
      </c>
      <c r="P1005" t="s">
        <v>18</v>
      </c>
      <c r="Q1005">
        <v>3</v>
      </c>
      <c r="R1005">
        <v>0</v>
      </c>
      <c r="S1005" t="s">
        <v>21</v>
      </c>
      <c r="T1005">
        <v>2</v>
      </c>
      <c r="U1005">
        <v>0</v>
      </c>
    </row>
    <row r="1006" spans="1:21" x14ac:dyDescent="0.25">
      <c r="A1006">
        <v>9663290</v>
      </c>
      <c r="B1006" t="s">
        <v>15</v>
      </c>
      <c r="C1006" s="1">
        <v>43231</v>
      </c>
      <c r="D1006" s="2">
        <f>YEAR(C1006)</f>
        <v>2018</v>
      </c>
      <c r="E1006">
        <v>869265</v>
      </c>
      <c r="F1006" t="s">
        <v>85</v>
      </c>
      <c r="G1006">
        <v>2017</v>
      </c>
      <c r="H1006">
        <v>837</v>
      </c>
      <c r="I1006" t="s">
        <v>438</v>
      </c>
      <c r="J1006">
        <v>62</v>
      </c>
      <c r="K1006">
        <v>60062</v>
      </c>
      <c r="L1006">
        <v>3100</v>
      </c>
      <c r="M1006">
        <v>9</v>
      </c>
      <c r="N1006">
        <v>3</v>
      </c>
      <c r="O1006">
        <v>1</v>
      </c>
      <c r="P1006" t="s">
        <v>18</v>
      </c>
      <c r="Q1006">
        <v>4</v>
      </c>
      <c r="R1006">
        <v>0</v>
      </c>
      <c r="S1006" t="s">
        <v>21</v>
      </c>
      <c r="T1006">
        <v>2</v>
      </c>
      <c r="U1006">
        <v>0</v>
      </c>
    </row>
    <row r="1007" spans="1:21" x14ac:dyDescent="0.25">
      <c r="A1007">
        <v>9563566</v>
      </c>
      <c r="B1007" t="s">
        <v>15</v>
      </c>
      <c r="C1007" s="1">
        <v>43039</v>
      </c>
      <c r="D1007" s="2">
        <f>YEAR(C1007)</f>
        <v>2017</v>
      </c>
      <c r="E1007">
        <v>841137</v>
      </c>
      <c r="F1007" t="s">
        <v>85</v>
      </c>
      <c r="G1007">
        <v>2017</v>
      </c>
      <c r="H1007">
        <v>819</v>
      </c>
      <c r="I1007" t="s">
        <v>438</v>
      </c>
      <c r="J1007">
        <v>62</v>
      </c>
      <c r="K1007">
        <v>60062</v>
      </c>
      <c r="L1007">
        <v>3043</v>
      </c>
      <c r="M1007">
        <v>7</v>
      </c>
      <c r="N1007">
        <v>2</v>
      </c>
      <c r="O1007">
        <v>1</v>
      </c>
      <c r="P1007" t="s">
        <v>18</v>
      </c>
      <c r="Q1007">
        <v>3</v>
      </c>
      <c r="R1007">
        <v>0</v>
      </c>
      <c r="S1007" t="s">
        <v>21</v>
      </c>
      <c r="T1007">
        <v>2</v>
      </c>
      <c r="U1007">
        <v>0</v>
      </c>
    </row>
    <row r="1008" spans="1:21" x14ac:dyDescent="0.25">
      <c r="A1008">
        <v>9488359</v>
      </c>
      <c r="B1008" t="s">
        <v>15</v>
      </c>
      <c r="C1008" s="1">
        <v>43033</v>
      </c>
      <c r="D1008" s="2">
        <f>YEAR(C1008)</f>
        <v>2017</v>
      </c>
      <c r="E1008">
        <v>882835</v>
      </c>
      <c r="F1008" t="s">
        <v>85</v>
      </c>
      <c r="G1008">
        <v>2017</v>
      </c>
      <c r="H1008">
        <v>827</v>
      </c>
      <c r="I1008" t="s">
        <v>438</v>
      </c>
      <c r="J1008">
        <v>62</v>
      </c>
      <c r="K1008">
        <v>60062</v>
      </c>
      <c r="L1008">
        <v>3043</v>
      </c>
      <c r="M1008">
        <v>7</v>
      </c>
      <c r="N1008">
        <v>2</v>
      </c>
      <c r="O1008">
        <v>1</v>
      </c>
      <c r="P1008" t="s">
        <v>18</v>
      </c>
      <c r="Q1008">
        <v>3</v>
      </c>
      <c r="R1008">
        <v>0</v>
      </c>
      <c r="S1008" t="s">
        <v>21</v>
      </c>
      <c r="T1008">
        <v>2</v>
      </c>
      <c r="U1008">
        <v>0</v>
      </c>
    </row>
    <row r="1009" spans="1:21" x14ac:dyDescent="0.25">
      <c r="A1009">
        <v>9746353</v>
      </c>
      <c r="B1009" t="s">
        <v>15</v>
      </c>
      <c r="C1009" s="1">
        <v>43367</v>
      </c>
      <c r="D1009" s="2">
        <f>YEAR(C1009)</f>
        <v>2018</v>
      </c>
      <c r="E1009">
        <v>906660</v>
      </c>
      <c r="F1009" t="s">
        <v>85</v>
      </c>
      <c r="G1009">
        <v>2017</v>
      </c>
      <c r="H1009">
        <v>825</v>
      </c>
      <c r="I1009" t="s">
        <v>438</v>
      </c>
      <c r="J1009">
        <v>62</v>
      </c>
      <c r="K1009">
        <v>60062</v>
      </c>
      <c r="L1009">
        <v>3043</v>
      </c>
      <c r="M1009">
        <v>7</v>
      </c>
      <c r="N1009">
        <v>2</v>
      </c>
      <c r="O1009">
        <v>1</v>
      </c>
      <c r="P1009" t="s">
        <v>18</v>
      </c>
      <c r="Q1009">
        <v>3</v>
      </c>
      <c r="R1009">
        <v>0</v>
      </c>
      <c r="S1009" t="s">
        <v>21</v>
      </c>
      <c r="T1009">
        <v>2</v>
      </c>
      <c r="U1009">
        <v>0</v>
      </c>
    </row>
    <row r="1010" spans="1:21" x14ac:dyDescent="0.25">
      <c r="A1010">
        <v>9663286</v>
      </c>
      <c r="B1010" t="s">
        <v>15</v>
      </c>
      <c r="C1010" s="1">
        <v>43221</v>
      </c>
      <c r="D1010" s="2">
        <f>YEAR(C1010)</f>
        <v>2018</v>
      </c>
      <c r="E1010">
        <v>769080</v>
      </c>
      <c r="F1010" t="s">
        <v>85</v>
      </c>
      <c r="G1010">
        <v>2017</v>
      </c>
      <c r="H1010">
        <v>835</v>
      </c>
      <c r="I1010" t="s">
        <v>438</v>
      </c>
      <c r="J1010">
        <v>62</v>
      </c>
      <c r="K1010">
        <v>60062</v>
      </c>
      <c r="L1010">
        <v>2053</v>
      </c>
      <c r="M1010">
        <v>5</v>
      </c>
      <c r="N1010">
        <v>2</v>
      </c>
      <c r="O1010">
        <v>0</v>
      </c>
      <c r="P1010" t="s">
        <v>18</v>
      </c>
      <c r="Q1010">
        <v>2</v>
      </c>
      <c r="R1010">
        <v>0</v>
      </c>
      <c r="S1010" t="s">
        <v>21</v>
      </c>
      <c r="T1010">
        <v>2</v>
      </c>
      <c r="U1010">
        <v>0</v>
      </c>
    </row>
    <row r="1011" spans="1:21" x14ac:dyDescent="0.25">
      <c r="A1011">
        <v>9663288</v>
      </c>
      <c r="B1011" t="s">
        <v>15</v>
      </c>
      <c r="C1011" s="1">
        <v>43284</v>
      </c>
      <c r="D1011" s="2">
        <f>YEAR(C1011)</f>
        <v>2018</v>
      </c>
      <c r="E1011">
        <v>858710</v>
      </c>
      <c r="F1011" t="s">
        <v>85</v>
      </c>
      <c r="G1011">
        <v>2017</v>
      </c>
      <c r="H1011">
        <v>830</v>
      </c>
      <c r="I1011" t="s">
        <v>438</v>
      </c>
      <c r="J1011">
        <v>62</v>
      </c>
      <c r="K1011">
        <v>60062</v>
      </c>
      <c r="L1011">
        <v>2053</v>
      </c>
      <c r="M1011">
        <v>5</v>
      </c>
      <c r="N1011">
        <v>2</v>
      </c>
      <c r="O1011">
        <v>0</v>
      </c>
      <c r="P1011" t="s">
        <v>18</v>
      </c>
      <c r="Q1011">
        <v>2</v>
      </c>
      <c r="R1011">
        <v>0</v>
      </c>
      <c r="S1011" t="s">
        <v>21</v>
      </c>
      <c r="T1011">
        <v>2</v>
      </c>
      <c r="U1011">
        <v>0</v>
      </c>
    </row>
    <row r="1012" spans="1:21" x14ac:dyDescent="0.25">
      <c r="A1012">
        <v>9685016</v>
      </c>
      <c r="B1012" t="s">
        <v>15</v>
      </c>
      <c r="C1012" s="1">
        <v>43279</v>
      </c>
      <c r="D1012" s="2">
        <f>YEAR(C1012)</f>
        <v>2018</v>
      </c>
      <c r="E1012">
        <v>782035</v>
      </c>
      <c r="F1012" t="s">
        <v>85</v>
      </c>
      <c r="G1012">
        <v>2017</v>
      </c>
      <c r="H1012">
        <v>836</v>
      </c>
      <c r="I1012" t="s">
        <v>438</v>
      </c>
      <c r="J1012">
        <v>62</v>
      </c>
      <c r="K1012">
        <v>60062</v>
      </c>
      <c r="L1012">
        <v>1860</v>
      </c>
      <c r="M1012">
        <v>5</v>
      </c>
      <c r="N1012">
        <v>2</v>
      </c>
      <c r="O1012">
        <v>0</v>
      </c>
      <c r="P1012" t="s">
        <v>18</v>
      </c>
      <c r="Q1012">
        <v>3</v>
      </c>
      <c r="R1012">
        <v>0</v>
      </c>
      <c r="S1012" t="s">
        <v>21</v>
      </c>
      <c r="T1012">
        <v>2</v>
      </c>
      <c r="U1012">
        <v>0</v>
      </c>
    </row>
    <row r="1013" spans="1:21" x14ac:dyDescent="0.25">
      <c r="A1013">
        <v>9839213</v>
      </c>
      <c r="B1013" t="s">
        <v>15</v>
      </c>
      <c r="C1013" s="1">
        <v>43433</v>
      </c>
      <c r="D1013" s="2">
        <f>YEAR(C1013)</f>
        <v>2018</v>
      </c>
      <c r="E1013">
        <v>656800</v>
      </c>
      <c r="F1013" t="s">
        <v>85</v>
      </c>
      <c r="G1013">
        <v>2018</v>
      </c>
      <c r="H1013">
        <v>8063</v>
      </c>
      <c r="I1013" t="s">
        <v>435</v>
      </c>
      <c r="J1013">
        <v>76</v>
      </c>
      <c r="K1013">
        <v>60077</v>
      </c>
      <c r="L1013">
        <v>2026</v>
      </c>
      <c r="M1013">
        <v>7</v>
      </c>
      <c r="N1013">
        <v>2</v>
      </c>
      <c r="O1013">
        <v>1</v>
      </c>
      <c r="P1013" t="s">
        <v>18</v>
      </c>
      <c r="Q1013">
        <v>3</v>
      </c>
      <c r="R1013">
        <v>0</v>
      </c>
      <c r="S1013" t="s">
        <v>21</v>
      </c>
      <c r="T1013">
        <v>2</v>
      </c>
      <c r="U1013">
        <v>0</v>
      </c>
    </row>
    <row r="1014" spans="1:21" x14ac:dyDescent="0.25">
      <c r="A1014">
        <v>9817198</v>
      </c>
      <c r="B1014" t="s">
        <v>15</v>
      </c>
      <c r="C1014" s="1">
        <v>43455</v>
      </c>
      <c r="D1014" s="2">
        <f>YEAR(C1014)</f>
        <v>2018</v>
      </c>
      <c r="E1014">
        <v>916586</v>
      </c>
      <c r="F1014" t="s">
        <v>85</v>
      </c>
      <c r="G1014">
        <v>2018</v>
      </c>
      <c r="H1014">
        <v>810</v>
      </c>
      <c r="I1014" t="s">
        <v>438</v>
      </c>
      <c r="J1014">
        <v>62</v>
      </c>
      <c r="K1014">
        <v>60062</v>
      </c>
      <c r="L1014">
        <v>3100</v>
      </c>
      <c r="M1014">
        <v>8</v>
      </c>
      <c r="N1014">
        <v>2</v>
      </c>
      <c r="O1014">
        <v>1</v>
      </c>
      <c r="P1014" t="s">
        <v>18</v>
      </c>
      <c r="Q1014">
        <v>3</v>
      </c>
      <c r="R1014">
        <v>0</v>
      </c>
      <c r="S1014" t="s">
        <v>21</v>
      </c>
      <c r="T1014">
        <v>2</v>
      </c>
      <c r="U1014">
        <v>0</v>
      </c>
    </row>
    <row r="1015" spans="1:21" x14ac:dyDescent="0.25">
      <c r="A1015">
        <v>9985121</v>
      </c>
      <c r="B1015" t="s">
        <v>15</v>
      </c>
      <c r="C1015" s="1">
        <v>43476</v>
      </c>
      <c r="D1015" s="2">
        <f>YEAR(C1015)</f>
        <v>2019</v>
      </c>
      <c r="E1015">
        <v>475000</v>
      </c>
      <c r="F1015" t="s">
        <v>85</v>
      </c>
      <c r="G1015">
        <v>1886</v>
      </c>
      <c r="H1015">
        <v>5309</v>
      </c>
      <c r="I1015" t="s">
        <v>66</v>
      </c>
      <c r="J1015">
        <v>76</v>
      </c>
      <c r="K1015">
        <v>60077</v>
      </c>
      <c r="L1015">
        <v>3082</v>
      </c>
      <c r="M1015">
        <v>11</v>
      </c>
      <c r="N1015">
        <v>4</v>
      </c>
      <c r="O1015">
        <v>0</v>
      </c>
      <c r="P1015" t="s">
        <v>79</v>
      </c>
      <c r="Q1015">
        <v>5</v>
      </c>
      <c r="R1015">
        <v>0</v>
      </c>
      <c r="S1015" t="s">
        <v>22</v>
      </c>
      <c r="T1015">
        <v>3</v>
      </c>
      <c r="U1015">
        <v>0</v>
      </c>
    </row>
    <row r="1016" spans="1:21" x14ac:dyDescent="0.25">
      <c r="A1016">
        <v>9583932</v>
      </c>
      <c r="B1016" t="s">
        <v>15</v>
      </c>
      <c r="C1016" s="1">
        <v>43028</v>
      </c>
      <c r="D1016" s="2">
        <f>YEAR(C1016)</f>
        <v>2017</v>
      </c>
      <c r="E1016">
        <v>355000</v>
      </c>
      <c r="F1016" t="s">
        <v>85</v>
      </c>
      <c r="G1016">
        <v>1916</v>
      </c>
      <c r="H1016">
        <v>2043</v>
      </c>
      <c r="I1016" t="s">
        <v>439</v>
      </c>
      <c r="J1016">
        <v>62</v>
      </c>
      <c r="K1016">
        <v>60062</v>
      </c>
      <c r="L1016">
        <v>1650</v>
      </c>
      <c r="M1016">
        <v>11</v>
      </c>
      <c r="N1016">
        <v>3</v>
      </c>
      <c r="O1016">
        <v>0</v>
      </c>
      <c r="P1016" t="s">
        <v>79</v>
      </c>
      <c r="Q1016">
        <v>3</v>
      </c>
      <c r="R1016">
        <v>1</v>
      </c>
      <c r="S1016" t="s">
        <v>22</v>
      </c>
      <c r="T1016">
        <v>2</v>
      </c>
      <c r="U1016">
        <v>0</v>
      </c>
    </row>
    <row r="1017" spans="1:21" x14ac:dyDescent="0.25">
      <c r="A1017">
        <v>10082166</v>
      </c>
      <c r="B1017" t="s">
        <v>15</v>
      </c>
      <c r="C1017" s="1">
        <v>43419</v>
      </c>
      <c r="D1017" s="2">
        <f>YEAR(C1017)</f>
        <v>2018</v>
      </c>
      <c r="E1017">
        <v>370000</v>
      </c>
      <c r="F1017" t="s">
        <v>85</v>
      </c>
      <c r="G1017">
        <v>1918</v>
      </c>
      <c r="H1017">
        <v>5201</v>
      </c>
      <c r="I1017" t="s">
        <v>150</v>
      </c>
      <c r="J1017">
        <v>76</v>
      </c>
      <c r="K1017">
        <v>60077</v>
      </c>
      <c r="L1017">
        <v>1900</v>
      </c>
      <c r="M1017">
        <v>9</v>
      </c>
      <c r="N1017">
        <v>2</v>
      </c>
      <c r="O1017">
        <v>0</v>
      </c>
      <c r="P1017" t="s">
        <v>79</v>
      </c>
      <c r="Q1017">
        <v>4</v>
      </c>
      <c r="R1017">
        <v>0</v>
      </c>
      <c r="S1017" t="s">
        <v>22</v>
      </c>
      <c r="T1017">
        <v>1</v>
      </c>
      <c r="U1017">
        <v>0</v>
      </c>
    </row>
    <row r="1018" spans="1:21" x14ac:dyDescent="0.25">
      <c r="A1018">
        <v>9711966</v>
      </c>
      <c r="B1018" t="s">
        <v>15</v>
      </c>
      <c r="C1018" s="1">
        <v>43097</v>
      </c>
      <c r="D1018" s="2">
        <f>YEAR(C1018)</f>
        <v>2017</v>
      </c>
      <c r="E1018">
        <v>435000</v>
      </c>
      <c r="F1018" t="s">
        <v>85</v>
      </c>
      <c r="G1018">
        <v>1925</v>
      </c>
      <c r="H1018">
        <v>5218</v>
      </c>
      <c r="I1018" t="s">
        <v>440</v>
      </c>
      <c r="J1018">
        <v>76</v>
      </c>
      <c r="K1018">
        <v>60077</v>
      </c>
      <c r="L1018">
        <v>2386</v>
      </c>
      <c r="M1018">
        <v>10</v>
      </c>
      <c r="N1018">
        <v>3</v>
      </c>
      <c r="O1018">
        <v>0</v>
      </c>
      <c r="P1018" t="s">
        <v>79</v>
      </c>
      <c r="Q1018">
        <v>5</v>
      </c>
      <c r="R1018">
        <v>1</v>
      </c>
      <c r="S1018" t="s">
        <v>22</v>
      </c>
      <c r="T1018">
        <v>2</v>
      </c>
      <c r="U1018">
        <v>0</v>
      </c>
    </row>
    <row r="1019" spans="1:21" x14ac:dyDescent="0.25">
      <c r="A1019">
        <v>9866819</v>
      </c>
      <c r="B1019" t="s">
        <v>15</v>
      </c>
      <c r="C1019" s="1">
        <v>43186</v>
      </c>
      <c r="D1019" s="2">
        <f>YEAR(C1019)</f>
        <v>2018</v>
      </c>
      <c r="E1019">
        <v>367000</v>
      </c>
      <c r="F1019" t="s">
        <v>85</v>
      </c>
      <c r="G1019">
        <v>1926</v>
      </c>
      <c r="H1019">
        <v>5227</v>
      </c>
      <c r="I1019" t="s">
        <v>150</v>
      </c>
      <c r="J1019">
        <v>76</v>
      </c>
      <c r="K1019">
        <v>60077</v>
      </c>
      <c r="L1019">
        <v>1761</v>
      </c>
      <c r="M1019">
        <v>6</v>
      </c>
      <c r="N1019">
        <v>1</v>
      </c>
      <c r="O1019">
        <v>2</v>
      </c>
      <c r="P1019" t="s">
        <v>79</v>
      </c>
      <c r="Q1019">
        <v>3</v>
      </c>
      <c r="R1019">
        <v>0</v>
      </c>
      <c r="S1019" t="s">
        <v>22</v>
      </c>
      <c r="T1019">
        <v>2</v>
      </c>
      <c r="U1019">
        <v>0</v>
      </c>
    </row>
    <row r="1020" spans="1:21" x14ac:dyDescent="0.25">
      <c r="A1020">
        <v>10088922</v>
      </c>
      <c r="B1020" t="s">
        <v>15</v>
      </c>
      <c r="C1020" s="1">
        <v>43413</v>
      </c>
      <c r="D1020" s="2">
        <f>YEAR(C1020)</f>
        <v>2018</v>
      </c>
      <c r="E1020">
        <v>279000</v>
      </c>
      <c r="F1020" t="s">
        <v>85</v>
      </c>
      <c r="G1020">
        <v>1926</v>
      </c>
      <c r="H1020">
        <v>5238</v>
      </c>
      <c r="I1020" t="s">
        <v>440</v>
      </c>
      <c r="J1020">
        <v>76</v>
      </c>
      <c r="K1020">
        <v>60077</v>
      </c>
      <c r="L1020">
        <v>1117</v>
      </c>
      <c r="M1020">
        <v>11</v>
      </c>
      <c r="N1020">
        <v>2</v>
      </c>
      <c r="O1020">
        <v>0</v>
      </c>
      <c r="P1020" t="s">
        <v>79</v>
      </c>
      <c r="Q1020">
        <v>2</v>
      </c>
      <c r="R1020">
        <v>0</v>
      </c>
      <c r="S1020" t="s">
        <v>22</v>
      </c>
      <c r="T1020">
        <v>2</v>
      </c>
      <c r="U1020">
        <v>0</v>
      </c>
    </row>
    <row r="1021" spans="1:21" x14ac:dyDescent="0.25">
      <c r="A1021">
        <v>9753770</v>
      </c>
      <c r="B1021" t="s">
        <v>15</v>
      </c>
      <c r="C1021" s="1">
        <v>43221</v>
      </c>
      <c r="D1021" s="2">
        <f>YEAR(C1021)</f>
        <v>2018</v>
      </c>
      <c r="E1021">
        <v>550000</v>
      </c>
      <c r="F1021" t="s">
        <v>85</v>
      </c>
      <c r="G1021">
        <v>1926</v>
      </c>
      <c r="H1021">
        <v>1260</v>
      </c>
      <c r="I1021" t="s">
        <v>86</v>
      </c>
      <c r="J1021">
        <v>62</v>
      </c>
      <c r="K1021">
        <v>60062</v>
      </c>
      <c r="L1021">
        <v>2856</v>
      </c>
      <c r="M1021">
        <v>10</v>
      </c>
      <c r="N1021">
        <v>4</v>
      </c>
      <c r="O1021">
        <v>0</v>
      </c>
      <c r="P1021" t="s">
        <v>79</v>
      </c>
      <c r="Q1021">
        <v>4</v>
      </c>
      <c r="R1021">
        <v>0</v>
      </c>
      <c r="S1021" t="s">
        <v>21</v>
      </c>
      <c r="T1021">
        <v>2.5</v>
      </c>
      <c r="U1021">
        <v>0</v>
      </c>
    </row>
    <row r="1022" spans="1:21" x14ac:dyDescent="0.25">
      <c r="A1022">
        <v>9779453</v>
      </c>
      <c r="B1022" t="s">
        <v>15</v>
      </c>
      <c r="C1022" s="1">
        <v>43084</v>
      </c>
      <c r="D1022" s="2">
        <f>YEAR(C1022)</f>
        <v>2017</v>
      </c>
      <c r="E1022">
        <v>243600</v>
      </c>
      <c r="F1022" t="s">
        <v>85</v>
      </c>
      <c r="G1022">
        <v>1927</v>
      </c>
      <c r="H1022">
        <v>8044</v>
      </c>
      <c r="I1022" t="s">
        <v>28</v>
      </c>
      <c r="J1022">
        <v>76</v>
      </c>
      <c r="K1022">
        <v>60076</v>
      </c>
      <c r="L1022">
        <v>1200</v>
      </c>
      <c r="M1022">
        <v>6</v>
      </c>
      <c r="N1022">
        <v>2</v>
      </c>
      <c r="O1022">
        <v>0</v>
      </c>
      <c r="P1022" t="s">
        <v>79</v>
      </c>
      <c r="Q1022">
        <v>2</v>
      </c>
      <c r="R1022">
        <v>0</v>
      </c>
      <c r="S1022" t="s">
        <v>22</v>
      </c>
      <c r="T1022">
        <v>1</v>
      </c>
      <c r="U1022">
        <v>0</v>
      </c>
    </row>
    <row r="1023" spans="1:21" x14ac:dyDescent="0.25">
      <c r="A1023">
        <v>9864270</v>
      </c>
      <c r="B1023" t="s">
        <v>15</v>
      </c>
      <c r="C1023" s="1">
        <v>43209</v>
      </c>
      <c r="D1023" s="2">
        <f>YEAR(C1023)</f>
        <v>2018</v>
      </c>
      <c r="E1023">
        <v>520000</v>
      </c>
      <c r="F1023" t="s">
        <v>85</v>
      </c>
      <c r="G1023">
        <v>1928</v>
      </c>
      <c r="H1023">
        <v>5239</v>
      </c>
      <c r="I1023" t="s">
        <v>92</v>
      </c>
      <c r="J1023">
        <v>76</v>
      </c>
      <c r="K1023">
        <v>60077</v>
      </c>
      <c r="L1023">
        <v>2336</v>
      </c>
      <c r="M1023">
        <v>9</v>
      </c>
      <c r="N1023">
        <v>3</v>
      </c>
      <c r="O1023">
        <v>0</v>
      </c>
      <c r="P1023" t="s">
        <v>79</v>
      </c>
      <c r="Q1023">
        <v>4</v>
      </c>
      <c r="R1023">
        <v>0</v>
      </c>
      <c r="S1023" t="s">
        <v>22</v>
      </c>
      <c r="T1023">
        <v>2</v>
      </c>
      <c r="U1023">
        <v>0</v>
      </c>
    </row>
    <row r="1024" spans="1:21" x14ac:dyDescent="0.25">
      <c r="A1024">
        <v>9618173</v>
      </c>
      <c r="B1024" t="s">
        <v>15</v>
      </c>
      <c r="C1024" s="1">
        <v>43034</v>
      </c>
      <c r="D1024" s="2">
        <f>YEAR(C1024)</f>
        <v>2017</v>
      </c>
      <c r="E1024">
        <v>758000</v>
      </c>
      <c r="F1024" t="s">
        <v>85</v>
      </c>
      <c r="G1024">
        <v>1928</v>
      </c>
      <c r="H1024">
        <v>14</v>
      </c>
      <c r="I1024" t="s">
        <v>94</v>
      </c>
      <c r="J1024">
        <v>62</v>
      </c>
      <c r="K1024">
        <v>60062</v>
      </c>
      <c r="L1024">
        <v>3145</v>
      </c>
      <c r="M1024">
        <v>10</v>
      </c>
      <c r="N1024">
        <v>4</v>
      </c>
      <c r="O1024">
        <v>1</v>
      </c>
      <c r="P1024" t="s">
        <v>79</v>
      </c>
      <c r="Q1024">
        <v>4</v>
      </c>
      <c r="R1024">
        <v>0</v>
      </c>
      <c r="S1024" t="s">
        <v>21</v>
      </c>
      <c r="T1024">
        <v>2</v>
      </c>
      <c r="U1024">
        <v>0</v>
      </c>
    </row>
    <row r="1025" spans="1:21" x14ac:dyDescent="0.25">
      <c r="A1025">
        <v>9982964</v>
      </c>
      <c r="B1025" t="s">
        <v>15</v>
      </c>
      <c r="C1025" s="1">
        <v>43342</v>
      </c>
      <c r="D1025" s="2">
        <f>YEAR(C1025)</f>
        <v>2018</v>
      </c>
      <c r="E1025">
        <v>380000</v>
      </c>
      <c r="F1025" t="s">
        <v>85</v>
      </c>
      <c r="G1025">
        <v>1928</v>
      </c>
      <c r="H1025">
        <v>1039</v>
      </c>
      <c r="I1025" t="s">
        <v>441</v>
      </c>
      <c r="J1025">
        <v>62</v>
      </c>
      <c r="K1025">
        <v>60062</v>
      </c>
      <c r="L1025">
        <v>1700</v>
      </c>
      <c r="M1025">
        <v>10</v>
      </c>
      <c r="N1025">
        <v>3</v>
      </c>
      <c r="O1025">
        <v>0</v>
      </c>
      <c r="P1025" t="s">
        <v>79</v>
      </c>
      <c r="Q1025">
        <v>3</v>
      </c>
      <c r="R1025">
        <v>1</v>
      </c>
      <c r="S1025" t="s">
        <v>22</v>
      </c>
      <c r="T1025">
        <v>2</v>
      </c>
      <c r="U1025">
        <v>0</v>
      </c>
    </row>
    <row r="1026" spans="1:21" x14ac:dyDescent="0.25">
      <c r="A1026">
        <v>9502400</v>
      </c>
      <c r="B1026" t="s">
        <v>15</v>
      </c>
      <c r="C1026" s="1">
        <v>42842</v>
      </c>
      <c r="D1026" s="2">
        <f>YEAR(C1026)</f>
        <v>2017</v>
      </c>
      <c r="E1026">
        <v>370000</v>
      </c>
      <c r="F1026" t="s">
        <v>85</v>
      </c>
      <c r="G1026">
        <v>1929</v>
      </c>
      <c r="H1026">
        <v>7841</v>
      </c>
      <c r="I1026" t="s">
        <v>89</v>
      </c>
      <c r="J1026">
        <v>76</v>
      </c>
      <c r="K1026">
        <v>60076</v>
      </c>
      <c r="L1026">
        <v>2600</v>
      </c>
      <c r="M1026">
        <v>9</v>
      </c>
      <c r="N1026">
        <v>2</v>
      </c>
      <c r="O1026">
        <v>0</v>
      </c>
      <c r="P1026" t="s">
        <v>79</v>
      </c>
      <c r="Q1026">
        <v>3</v>
      </c>
      <c r="R1026">
        <v>0</v>
      </c>
      <c r="S1026" t="s">
        <v>22</v>
      </c>
      <c r="T1026">
        <v>1</v>
      </c>
      <c r="U1026">
        <v>0</v>
      </c>
    </row>
    <row r="1027" spans="1:21" x14ac:dyDescent="0.25">
      <c r="A1027">
        <v>10022419</v>
      </c>
      <c r="B1027" t="s">
        <v>15</v>
      </c>
      <c r="C1027" s="1">
        <v>43446</v>
      </c>
      <c r="D1027" s="2">
        <f>YEAR(C1027)</f>
        <v>2018</v>
      </c>
      <c r="E1027">
        <v>350000</v>
      </c>
      <c r="F1027" t="s">
        <v>85</v>
      </c>
      <c r="G1027">
        <v>1929</v>
      </c>
      <c r="H1027">
        <v>7523</v>
      </c>
      <c r="I1027" t="s">
        <v>102</v>
      </c>
      <c r="J1027">
        <v>76</v>
      </c>
      <c r="K1027">
        <v>60076</v>
      </c>
      <c r="L1027">
        <v>2000</v>
      </c>
      <c r="M1027">
        <v>8</v>
      </c>
      <c r="N1027">
        <v>3</v>
      </c>
      <c r="O1027">
        <v>0</v>
      </c>
      <c r="P1027" t="s">
        <v>79</v>
      </c>
      <c r="Q1027">
        <v>4</v>
      </c>
      <c r="R1027">
        <v>0</v>
      </c>
      <c r="S1027" t="s">
        <v>22</v>
      </c>
      <c r="T1027">
        <v>2</v>
      </c>
      <c r="U1027">
        <v>0</v>
      </c>
    </row>
    <row r="1028" spans="1:21" x14ac:dyDescent="0.25">
      <c r="A1028">
        <v>10150131</v>
      </c>
      <c r="B1028" t="s">
        <v>15</v>
      </c>
      <c r="C1028" s="1">
        <v>43479</v>
      </c>
      <c r="D1028" s="2">
        <f>YEAR(C1028)</f>
        <v>2019</v>
      </c>
      <c r="E1028">
        <v>259000</v>
      </c>
      <c r="F1028" t="s">
        <v>85</v>
      </c>
      <c r="G1028">
        <v>1929</v>
      </c>
      <c r="H1028">
        <v>8047</v>
      </c>
      <c r="I1028" t="s">
        <v>101</v>
      </c>
      <c r="J1028">
        <v>76</v>
      </c>
      <c r="K1028">
        <v>60076</v>
      </c>
      <c r="L1028">
        <v>1140</v>
      </c>
      <c r="M1028">
        <v>6</v>
      </c>
      <c r="N1028">
        <v>1</v>
      </c>
      <c r="O1028">
        <v>1</v>
      </c>
      <c r="P1028" t="s">
        <v>79</v>
      </c>
      <c r="Q1028">
        <v>3</v>
      </c>
      <c r="R1028">
        <v>0</v>
      </c>
      <c r="S1028" t="s">
        <v>22</v>
      </c>
      <c r="T1028">
        <v>2</v>
      </c>
      <c r="U1028">
        <v>0</v>
      </c>
    </row>
    <row r="1029" spans="1:21" x14ac:dyDescent="0.25">
      <c r="A1029">
        <v>9954221</v>
      </c>
      <c r="B1029" t="s">
        <v>15</v>
      </c>
      <c r="C1029" s="1">
        <v>43350</v>
      </c>
      <c r="D1029" s="2">
        <f>YEAR(C1029)</f>
        <v>2018</v>
      </c>
      <c r="E1029">
        <v>258000</v>
      </c>
      <c r="F1029" t="s">
        <v>85</v>
      </c>
      <c r="G1029">
        <v>1930</v>
      </c>
      <c r="H1029">
        <v>7844</v>
      </c>
      <c r="I1029" t="s">
        <v>102</v>
      </c>
      <c r="J1029">
        <v>76</v>
      </c>
      <c r="K1029">
        <v>60076</v>
      </c>
      <c r="L1029">
        <v>2140</v>
      </c>
      <c r="M1029">
        <v>8</v>
      </c>
      <c r="N1029">
        <v>2</v>
      </c>
      <c r="O1029">
        <v>0</v>
      </c>
      <c r="P1029" t="s">
        <v>79</v>
      </c>
      <c r="Q1029">
        <v>2</v>
      </c>
      <c r="R1029">
        <v>0</v>
      </c>
      <c r="S1029" t="s">
        <v>22</v>
      </c>
      <c r="T1029">
        <v>2</v>
      </c>
      <c r="U1029">
        <v>0</v>
      </c>
    </row>
    <row r="1030" spans="1:21" x14ac:dyDescent="0.25">
      <c r="A1030">
        <v>9856613</v>
      </c>
      <c r="B1030" t="s">
        <v>15</v>
      </c>
      <c r="C1030" s="1">
        <v>43307</v>
      </c>
      <c r="D1030" s="2">
        <f>YEAR(C1030)</f>
        <v>2018</v>
      </c>
      <c r="E1030">
        <v>985000</v>
      </c>
      <c r="F1030" t="s">
        <v>85</v>
      </c>
      <c r="G1030">
        <v>1930</v>
      </c>
      <c r="H1030">
        <v>601</v>
      </c>
      <c r="I1030" t="s">
        <v>356</v>
      </c>
      <c r="J1030">
        <v>62</v>
      </c>
      <c r="K1030">
        <v>60062</v>
      </c>
      <c r="L1030">
        <v>5300</v>
      </c>
      <c r="M1030">
        <v>14</v>
      </c>
      <c r="N1030">
        <v>7</v>
      </c>
      <c r="O1030">
        <v>1</v>
      </c>
      <c r="P1030" t="s">
        <v>79</v>
      </c>
      <c r="Q1030">
        <v>6</v>
      </c>
      <c r="R1030">
        <v>1</v>
      </c>
      <c r="S1030" t="s">
        <v>21</v>
      </c>
      <c r="T1030">
        <v>3</v>
      </c>
      <c r="U1030">
        <v>0</v>
      </c>
    </row>
    <row r="1031" spans="1:21" x14ac:dyDescent="0.25">
      <c r="A1031">
        <v>9732469</v>
      </c>
      <c r="B1031" t="s">
        <v>15</v>
      </c>
      <c r="C1031" s="1">
        <v>43054</v>
      </c>
      <c r="D1031" s="2">
        <f>YEAR(C1031)</f>
        <v>2017</v>
      </c>
      <c r="E1031">
        <v>535000</v>
      </c>
      <c r="F1031" t="s">
        <v>85</v>
      </c>
      <c r="G1031">
        <v>1931</v>
      </c>
      <c r="H1031">
        <v>2139</v>
      </c>
      <c r="I1031" t="s">
        <v>116</v>
      </c>
      <c r="J1031">
        <v>62</v>
      </c>
      <c r="K1031">
        <v>60062</v>
      </c>
      <c r="L1031">
        <v>2296</v>
      </c>
      <c r="M1031">
        <v>10</v>
      </c>
      <c r="N1031">
        <v>3</v>
      </c>
      <c r="O1031">
        <v>1</v>
      </c>
      <c r="P1031" t="s">
        <v>79</v>
      </c>
      <c r="Q1031">
        <v>4</v>
      </c>
      <c r="R1031">
        <v>1</v>
      </c>
      <c r="S1031" t="s">
        <v>22</v>
      </c>
      <c r="T1031">
        <v>2</v>
      </c>
      <c r="U1031">
        <v>0</v>
      </c>
    </row>
    <row r="1032" spans="1:21" x14ac:dyDescent="0.25">
      <c r="A1032">
        <v>9910103</v>
      </c>
      <c r="B1032" t="s">
        <v>15</v>
      </c>
      <c r="C1032" s="1">
        <v>43332</v>
      </c>
      <c r="D1032" s="2">
        <f>YEAR(C1032)</f>
        <v>2018</v>
      </c>
      <c r="E1032">
        <v>447000</v>
      </c>
      <c r="F1032" t="s">
        <v>85</v>
      </c>
      <c r="G1032">
        <v>1932</v>
      </c>
      <c r="H1032">
        <v>7840</v>
      </c>
      <c r="I1032" t="s">
        <v>89</v>
      </c>
      <c r="J1032">
        <v>76</v>
      </c>
      <c r="K1032">
        <v>60076</v>
      </c>
      <c r="L1032">
        <v>1350</v>
      </c>
      <c r="M1032">
        <v>8</v>
      </c>
      <c r="N1032">
        <v>2</v>
      </c>
      <c r="O1032">
        <v>0</v>
      </c>
      <c r="P1032" t="s">
        <v>79</v>
      </c>
      <c r="Q1032">
        <v>3</v>
      </c>
      <c r="R1032">
        <v>1</v>
      </c>
      <c r="S1032" t="s">
        <v>22</v>
      </c>
      <c r="T1032">
        <v>2.1</v>
      </c>
      <c r="U1032">
        <v>0</v>
      </c>
    </row>
    <row r="1033" spans="1:21" x14ac:dyDescent="0.25">
      <c r="A1033">
        <v>9069463</v>
      </c>
      <c r="B1033" t="s">
        <v>15</v>
      </c>
      <c r="C1033" s="1">
        <v>42831</v>
      </c>
      <c r="D1033" s="2">
        <f>YEAR(C1033)</f>
        <v>2017</v>
      </c>
      <c r="E1033">
        <v>300000</v>
      </c>
      <c r="F1033" t="s">
        <v>85</v>
      </c>
      <c r="G1033">
        <v>1932</v>
      </c>
      <c r="H1033">
        <v>2143</v>
      </c>
      <c r="I1033" t="s">
        <v>116</v>
      </c>
      <c r="J1033">
        <v>62</v>
      </c>
      <c r="K1033">
        <v>60062</v>
      </c>
      <c r="L1033">
        <v>1492</v>
      </c>
      <c r="M1033">
        <v>8</v>
      </c>
      <c r="N1033">
        <v>1</v>
      </c>
      <c r="O1033">
        <v>2</v>
      </c>
      <c r="P1033" t="s">
        <v>79</v>
      </c>
      <c r="Q1033">
        <v>3</v>
      </c>
      <c r="R1033">
        <v>0</v>
      </c>
      <c r="S1033" t="s">
        <v>21</v>
      </c>
      <c r="T1033">
        <v>1</v>
      </c>
      <c r="U1033">
        <v>0</v>
      </c>
    </row>
    <row r="1034" spans="1:21" x14ac:dyDescent="0.25">
      <c r="A1034">
        <v>9760540</v>
      </c>
      <c r="B1034" t="s">
        <v>15</v>
      </c>
      <c r="C1034" s="1">
        <v>43096</v>
      </c>
      <c r="D1034" s="2">
        <f>YEAR(C1034)</f>
        <v>2017</v>
      </c>
      <c r="E1034">
        <v>410000</v>
      </c>
      <c r="F1034" t="s">
        <v>85</v>
      </c>
      <c r="G1034">
        <v>1932</v>
      </c>
      <c r="H1034">
        <v>2143</v>
      </c>
      <c r="I1034" t="s">
        <v>116</v>
      </c>
      <c r="J1034">
        <v>62</v>
      </c>
      <c r="K1034">
        <v>60062</v>
      </c>
      <c r="L1034">
        <v>1492</v>
      </c>
      <c r="M1034">
        <v>9</v>
      </c>
      <c r="N1034">
        <v>1</v>
      </c>
      <c r="O1034">
        <v>2</v>
      </c>
      <c r="P1034" t="s">
        <v>79</v>
      </c>
      <c r="Q1034">
        <v>3</v>
      </c>
      <c r="R1034">
        <v>0</v>
      </c>
      <c r="S1034" t="s">
        <v>21</v>
      </c>
      <c r="T1034">
        <v>1</v>
      </c>
      <c r="U1034">
        <v>0</v>
      </c>
    </row>
    <row r="1035" spans="1:21" x14ac:dyDescent="0.25">
      <c r="A1035">
        <v>9968340</v>
      </c>
      <c r="B1035" t="s">
        <v>15</v>
      </c>
      <c r="C1035" s="1">
        <v>43451</v>
      </c>
      <c r="D1035" s="2">
        <f>YEAR(C1035)</f>
        <v>2018</v>
      </c>
      <c r="E1035">
        <v>330000</v>
      </c>
      <c r="F1035" t="s">
        <v>85</v>
      </c>
      <c r="G1035">
        <v>1937</v>
      </c>
      <c r="H1035">
        <v>7940</v>
      </c>
      <c r="I1035" t="s">
        <v>152</v>
      </c>
      <c r="J1035">
        <v>76</v>
      </c>
      <c r="K1035">
        <v>60076</v>
      </c>
      <c r="L1035">
        <v>1477</v>
      </c>
      <c r="M1035">
        <v>9</v>
      </c>
      <c r="N1035">
        <v>3</v>
      </c>
      <c r="O1035">
        <v>0</v>
      </c>
      <c r="P1035" t="s">
        <v>79</v>
      </c>
      <c r="Q1035">
        <v>3</v>
      </c>
      <c r="R1035">
        <v>1</v>
      </c>
      <c r="S1035" t="s">
        <v>22</v>
      </c>
      <c r="T1035">
        <v>3</v>
      </c>
      <c r="U1035">
        <v>0</v>
      </c>
    </row>
    <row r="1036" spans="1:21" x14ac:dyDescent="0.25">
      <c r="A1036">
        <v>9942357</v>
      </c>
      <c r="B1036" t="s">
        <v>15</v>
      </c>
      <c r="C1036" s="1">
        <v>43272</v>
      </c>
      <c r="D1036" s="2">
        <f>YEAR(C1036)</f>
        <v>2018</v>
      </c>
      <c r="E1036">
        <v>825000</v>
      </c>
      <c r="F1036" t="s">
        <v>85</v>
      </c>
      <c r="G1036">
        <v>1937</v>
      </c>
      <c r="H1036">
        <v>1708</v>
      </c>
      <c r="I1036" t="s">
        <v>191</v>
      </c>
      <c r="J1036">
        <v>62</v>
      </c>
      <c r="K1036">
        <v>60062</v>
      </c>
      <c r="L1036">
        <v>2581</v>
      </c>
      <c r="M1036">
        <v>10</v>
      </c>
      <c r="N1036">
        <v>3</v>
      </c>
      <c r="O1036">
        <v>1</v>
      </c>
      <c r="P1036" t="s">
        <v>79</v>
      </c>
      <c r="Q1036">
        <v>4</v>
      </c>
      <c r="R1036">
        <v>0</v>
      </c>
      <c r="S1036" t="s">
        <v>21</v>
      </c>
      <c r="T1036">
        <v>1.5</v>
      </c>
      <c r="U1036">
        <v>0</v>
      </c>
    </row>
    <row r="1037" spans="1:21" x14ac:dyDescent="0.25">
      <c r="A1037">
        <v>9664097</v>
      </c>
      <c r="B1037" t="s">
        <v>15</v>
      </c>
      <c r="C1037" s="1">
        <v>42978</v>
      </c>
      <c r="D1037" s="2">
        <f>YEAR(C1037)</f>
        <v>2017</v>
      </c>
      <c r="E1037">
        <v>302000</v>
      </c>
      <c r="F1037" t="s">
        <v>85</v>
      </c>
      <c r="G1037">
        <v>1940</v>
      </c>
      <c r="H1037">
        <v>8314</v>
      </c>
      <c r="I1037" t="s">
        <v>136</v>
      </c>
      <c r="J1037">
        <v>76</v>
      </c>
      <c r="K1037">
        <v>60076</v>
      </c>
      <c r="L1037">
        <v>1515</v>
      </c>
      <c r="M1037">
        <v>7</v>
      </c>
      <c r="N1037">
        <v>2</v>
      </c>
      <c r="O1037">
        <v>0</v>
      </c>
      <c r="P1037" t="s">
        <v>79</v>
      </c>
      <c r="Q1037">
        <v>3</v>
      </c>
      <c r="R1037">
        <v>0</v>
      </c>
      <c r="S1037" t="s">
        <v>21</v>
      </c>
      <c r="T1037">
        <v>1</v>
      </c>
      <c r="U1037">
        <v>0</v>
      </c>
    </row>
    <row r="1038" spans="1:21" x14ac:dyDescent="0.25">
      <c r="A1038">
        <v>9838415</v>
      </c>
      <c r="B1038" t="s">
        <v>15</v>
      </c>
      <c r="C1038" s="1">
        <v>43166</v>
      </c>
      <c r="D1038" s="2">
        <f>YEAR(C1038)</f>
        <v>2018</v>
      </c>
      <c r="E1038">
        <v>285000</v>
      </c>
      <c r="F1038" t="s">
        <v>85</v>
      </c>
      <c r="G1038">
        <v>1940</v>
      </c>
      <c r="H1038">
        <v>10024</v>
      </c>
      <c r="I1038" t="s">
        <v>54</v>
      </c>
      <c r="J1038">
        <v>76</v>
      </c>
      <c r="K1038">
        <v>60077</v>
      </c>
      <c r="L1038">
        <v>1422</v>
      </c>
      <c r="M1038">
        <v>8</v>
      </c>
      <c r="N1038">
        <v>2</v>
      </c>
      <c r="O1038">
        <v>0</v>
      </c>
      <c r="P1038" t="s">
        <v>79</v>
      </c>
      <c r="Q1038">
        <v>3</v>
      </c>
      <c r="R1038">
        <v>0</v>
      </c>
      <c r="S1038" t="s">
        <v>19</v>
      </c>
      <c r="T1038">
        <v>0</v>
      </c>
      <c r="U1038">
        <v>0</v>
      </c>
    </row>
    <row r="1039" spans="1:21" x14ac:dyDescent="0.25">
      <c r="A1039">
        <v>9570203</v>
      </c>
      <c r="B1039" t="s">
        <v>15</v>
      </c>
      <c r="C1039" s="1">
        <v>42894</v>
      </c>
      <c r="D1039" s="2">
        <f>YEAR(C1039)</f>
        <v>2017</v>
      </c>
      <c r="E1039">
        <v>1350000</v>
      </c>
      <c r="F1039" t="s">
        <v>85</v>
      </c>
      <c r="G1039">
        <v>1940</v>
      </c>
      <c r="H1039">
        <v>606</v>
      </c>
      <c r="I1039" t="s">
        <v>442</v>
      </c>
      <c r="J1039">
        <v>62</v>
      </c>
      <c r="K1039">
        <v>60062</v>
      </c>
      <c r="L1039">
        <v>3542</v>
      </c>
      <c r="M1039">
        <v>12</v>
      </c>
      <c r="N1039">
        <v>5</v>
      </c>
      <c r="O1039">
        <v>1</v>
      </c>
      <c r="P1039" t="s">
        <v>79</v>
      </c>
      <c r="Q1039">
        <v>4</v>
      </c>
      <c r="R1039">
        <v>1</v>
      </c>
      <c r="S1039" t="s">
        <v>21</v>
      </c>
      <c r="T1039">
        <v>2</v>
      </c>
      <c r="U1039">
        <v>0</v>
      </c>
    </row>
    <row r="1040" spans="1:21" x14ac:dyDescent="0.25">
      <c r="A1040">
        <v>9761683</v>
      </c>
      <c r="B1040" t="s">
        <v>15</v>
      </c>
      <c r="C1040" s="1">
        <v>43053</v>
      </c>
      <c r="D1040" s="2">
        <f>YEAR(C1040)</f>
        <v>2017</v>
      </c>
      <c r="E1040">
        <v>420000</v>
      </c>
      <c r="F1040" t="s">
        <v>85</v>
      </c>
      <c r="G1040">
        <v>1941</v>
      </c>
      <c r="H1040">
        <v>8320</v>
      </c>
      <c r="I1040" t="s">
        <v>103</v>
      </c>
      <c r="J1040">
        <v>76</v>
      </c>
      <c r="K1040">
        <v>60076</v>
      </c>
      <c r="L1040">
        <v>2142</v>
      </c>
      <c r="M1040">
        <v>9</v>
      </c>
      <c r="N1040">
        <v>2</v>
      </c>
      <c r="O1040">
        <v>2</v>
      </c>
      <c r="P1040" t="s">
        <v>79</v>
      </c>
      <c r="Q1040">
        <v>4</v>
      </c>
      <c r="R1040">
        <v>0</v>
      </c>
      <c r="S1040" t="s">
        <v>22</v>
      </c>
      <c r="T1040">
        <v>2</v>
      </c>
      <c r="U1040">
        <v>0</v>
      </c>
    </row>
    <row r="1041" spans="1:21" x14ac:dyDescent="0.25">
      <c r="A1041">
        <v>9481733</v>
      </c>
      <c r="B1041" t="s">
        <v>15</v>
      </c>
      <c r="C1041" s="1">
        <v>42909</v>
      </c>
      <c r="D1041" s="2">
        <f>YEAR(C1041)</f>
        <v>2017</v>
      </c>
      <c r="E1041">
        <v>326000</v>
      </c>
      <c r="F1041" t="s">
        <v>85</v>
      </c>
      <c r="G1041">
        <v>1941</v>
      </c>
      <c r="H1041">
        <v>5119</v>
      </c>
      <c r="I1041" t="s">
        <v>106</v>
      </c>
      <c r="J1041">
        <v>76</v>
      </c>
      <c r="K1041">
        <v>60077</v>
      </c>
      <c r="L1041">
        <v>1632</v>
      </c>
      <c r="M1041">
        <v>7</v>
      </c>
      <c r="N1041">
        <v>2</v>
      </c>
      <c r="O1041">
        <v>0</v>
      </c>
      <c r="P1041" t="s">
        <v>79</v>
      </c>
      <c r="Q1041">
        <v>3</v>
      </c>
      <c r="R1041">
        <v>0</v>
      </c>
      <c r="S1041" t="s">
        <v>22</v>
      </c>
      <c r="T1041">
        <v>2</v>
      </c>
      <c r="U1041">
        <v>0</v>
      </c>
    </row>
    <row r="1042" spans="1:21" x14ac:dyDescent="0.25">
      <c r="A1042">
        <v>9763459</v>
      </c>
      <c r="B1042" t="s">
        <v>15</v>
      </c>
      <c r="C1042" s="1">
        <v>43069</v>
      </c>
      <c r="D1042" s="2">
        <f>YEAR(C1042)</f>
        <v>2017</v>
      </c>
      <c r="E1042">
        <v>242000</v>
      </c>
      <c r="F1042" t="s">
        <v>85</v>
      </c>
      <c r="G1042">
        <v>1941</v>
      </c>
      <c r="H1042">
        <v>5314</v>
      </c>
      <c r="I1042" t="s">
        <v>213</v>
      </c>
      <c r="J1042">
        <v>76</v>
      </c>
      <c r="K1042">
        <v>60077</v>
      </c>
      <c r="L1042">
        <v>1093</v>
      </c>
      <c r="M1042">
        <v>7</v>
      </c>
      <c r="N1042">
        <v>1</v>
      </c>
      <c r="O1042">
        <v>1</v>
      </c>
      <c r="P1042" t="s">
        <v>79</v>
      </c>
      <c r="Q1042">
        <v>2</v>
      </c>
      <c r="R1042">
        <v>0</v>
      </c>
      <c r="S1042" t="s">
        <v>22</v>
      </c>
      <c r="T1042">
        <v>2</v>
      </c>
      <c r="U1042">
        <v>0</v>
      </c>
    </row>
    <row r="1043" spans="1:21" x14ac:dyDescent="0.25">
      <c r="A1043">
        <v>9922839</v>
      </c>
      <c r="B1043" t="s">
        <v>15</v>
      </c>
      <c r="C1043" s="1">
        <v>43266</v>
      </c>
      <c r="D1043" s="2">
        <f>YEAR(C1043)</f>
        <v>2018</v>
      </c>
      <c r="E1043">
        <v>282000</v>
      </c>
      <c r="F1043" t="s">
        <v>85</v>
      </c>
      <c r="G1043">
        <v>1941</v>
      </c>
      <c r="H1043">
        <v>5316</v>
      </c>
      <c r="I1043" t="s">
        <v>267</v>
      </c>
      <c r="J1043">
        <v>76</v>
      </c>
      <c r="K1043">
        <v>60077</v>
      </c>
      <c r="L1043">
        <v>1093</v>
      </c>
      <c r="M1043">
        <v>6</v>
      </c>
      <c r="N1043">
        <v>1</v>
      </c>
      <c r="O1043">
        <v>1</v>
      </c>
      <c r="P1043" t="s">
        <v>79</v>
      </c>
      <c r="Q1043">
        <v>2</v>
      </c>
      <c r="R1043">
        <v>0</v>
      </c>
      <c r="S1043" t="s">
        <v>22</v>
      </c>
      <c r="T1043">
        <v>1</v>
      </c>
      <c r="U1043">
        <v>0</v>
      </c>
    </row>
    <row r="1044" spans="1:21" x14ac:dyDescent="0.25">
      <c r="A1044">
        <v>9668168</v>
      </c>
      <c r="B1044" t="s">
        <v>15</v>
      </c>
      <c r="C1044" s="1">
        <v>43000</v>
      </c>
      <c r="D1044" s="2">
        <f>YEAR(C1044)</f>
        <v>2017</v>
      </c>
      <c r="E1044">
        <v>319100</v>
      </c>
      <c r="F1044" t="s">
        <v>85</v>
      </c>
      <c r="G1044">
        <v>1941</v>
      </c>
      <c r="H1044">
        <v>5023</v>
      </c>
      <c r="I1044" t="s">
        <v>117</v>
      </c>
      <c r="J1044">
        <v>76</v>
      </c>
      <c r="K1044">
        <v>60077</v>
      </c>
      <c r="L1044">
        <v>1080</v>
      </c>
      <c r="M1044">
        <v>6</v>
      </c>
      <c r="N1044">
        <v>2</v>
      </c>
      <c r="O1044">
        <v>0</v>
      </c>
      <c r="P1044" t="s">
        <v>79</v>
      </c>
      <c r="Q1044">
        <v>2</v>
      </c>
      <c r="R1044">
        <v>0</v>
      </c>
      <c r="S1044" t="s">
        <v>22</v>
      </c>
      <c r="T1044">
        <v>2</v>
      </c>
      <c r="U1044">
        <v>0</v>
      </c>
    </row>
    <row r="1045" spans="1:21" x14ac:dyDescent="0.25">
      <c r="A1045">
        <v>9324067</v>
      </c>
      <c r="B1045" t="s">
        <v>15</v>
      </c>
      <c r="C1045" s="1">
        <v>42856</v>
      </c>
      <c r="D1045" s="2">
        <f>YEAR(C1045)</f>
        <v>2017</v>
      </c>
      <c r="E1045">
        <v>1370000</v>
      </c>
      <c r="F1045" t="s">
        <v>85</v>
      </c>
      <c r="G1045">
        <v>1941</v>
      </c>
      <c r="H1045">
        <v>1620</v>
      </c>
      <c r="I1045" t="s">
        <v>443</v>
      </c>
      <c r="J1045">
        <v>62</v>
      </c>
      <c r="K1045">
        <v>60062</v>
      </c>
      <c r="L1045">
        <v>5000</v>
      </c>
      <c r="M1045">
        <v>13</v>
      </c>
      <c r="N1045">
        <v>5</v>
      </c>
      <c r="O1045">
        <v>2</v>
      </c>
      <c r="P1045" t="s">
        <v>79</v>
      </c>
      <c r="Q1045">
        <v>4</v>
      </c>
      <c r="R1045">
        <v>0</v>
      </c>
      <c r="S1045" t="s">
        <v>21</v>
      </c>
      <c r="T1045">
        <v>3</v>
      </c>
      <c r="U1045">
        <v>0</v>
      </c>
    </row>
    <row r="1046" spans="1:21" x14ac:dyDescent="0.25">
      <c r="A1046">
        <v>9597722</v>
      </c>
      <c r="B1046" t="s">
        <v>15</v>
      </c>
      <c r="C1046" s="1">
        <v>42888</v>
      </c>
      <c r="D1046" s="2">
        <f>YEAR(C1046)</f>
        <v>2017</v>
      </c>
      <c r="E1046">
        <v>318000</v>
      </c>
      <c r="F1046" t="s">
        <v>85</v>
      </c>
      <c r="G1046">
        <v>1942</v>
      </c>
      <c r="H1046">
        <v>8224</v>
      </c>
      <c r="I1046" t="s">
        <v>102</v>
      </c>
      <c r="J1046">
        <v>76</v>
      </c>
      <c r="K1046">
        <v>60076</v>
      </c>
      <c r="L1046">
        <v>1252</v>
      </c>
      <c r="M1046">
        <v>7</v>
      </c>
      <c r="N1046">
        <v>1</v>
      </c>
      <c r="O1046">
        <v>1</v>
      </c>
      <c r="P1046" t="s">
        <v>79</v>
      </c>
      <c r="Q1046">
        <v>3</v>
      </c>
      <c r="R1046">
        <v>0</v>
      </c>
      <c r="S1046" t="s">
        <v>22</v>
      </c>
      <c r="T1046">
        <v>1.5</v>
      </c>
      <c r="U1046">
        <v>0</v>
      </c>
    </row>
    <row r="1047" spans="1:21" x14ac:dyDescent="0.25">
      <c r="A1047">
        <v>9469623</v>
      </c>
      <c r="B1047" t="s">
        <v>15</v>
      </c>
      <c r="C1047" s="1">
        <v>42828</v>
      </c>
      <c r="D1047" s="2">
        <f>YEAR(C1047)</f>
        <v>2017</v>
      </c>
      <c r="E1047">
        <v>319500</v>
      </c>
      <c r="F1047" t="s">
        <v>85</v>
      </c>
      <c r="G1047">
        <v>1942</v>
      </c>
      <c r="H1047">
        <v>7705</v>
      </c>
      <c r="I1047" t="s">
        <v>101</v>
      </c>
      <c r="J1047">
        <v>76</v>
      </c>
      <c r="K1047">
        <v>60076</v>
      </c>
      <c r="L1047">
        <v>1224</v>
      </c>
      <c r="M1047">
        <v>7</v>
      </c>
      <c r="N1047">
        <v>2</v>
      </c>
      <c r="O1047">
        <v>0</v>
      </c>
      <c r="P1047" t="s">
        <v>79</v>
      </c>
      <c r="Q1047">
        <v>2</v>
      </c>
      <c r="R1047">
        <v>0</v>
      </c>
      <c r="S1047" t="s">
        <v>22</v>
      </c>
      <c r="T1047">
        <v>2</v>
      </c>
      <c r="U1047">
        <v>0</v>
      </c>
    </row>
    <row r="1048" spans="1:21" x14ac:dyDescent="0.25">
      <c r="A1048">
        <v>9889768</v>
      </c>
      <c r="B1048" t="s">
        <v>15</v>
      </c>
      <c r="C1048" s="1">
        <v>43266</v>
      </c>
      <c r="D1048" s="2">
        <f>YEAR(C1048)</f>
        <v>2018</v>
      </c>
      <c r="E1048">
        <v>283000</v>
      </c>
      <c r="F1048" t="s">
        <v>85</v>
      </c>
      <c r="G1048">
        <v>1944</v>
      </c>
      <c r="H1048">
        <v>3839</v>
      </c>
      <c r="I1048" t="s">
        <v>100</v>
      </c>
      <c r="J1048">
        <v>76</v>
      </c>
      <c r="K1048">
        <v>60076</v>
      </c>
      <c r="L1048">
        <v>1200</v>
      </c>
      <c r="M1048">
        <v>7</v>
      </c>
      <c r="N1048">
        <v>2</v>
      </c>
      <c r="O1048">
        <v>1</v>
      </c>
      <c r="P1048" t="s">
        <v>79</v>
      </c>
      <c r="Q1048">
        <v>3</v>
      </c>
      <c r="R1048">
        <v>0</v>
      </c>
      <c r="S1048" t="s">
        <v>19</v>
      </c>
      <c r="T1048">
        <v>0</v>
      </c>
      <c r="U1048">
        <v>0</v>
      </c>
    </row>
    <row r="1049" spans="1:21" x14ac:dyDescent="0.25">
      <c r="A1049">
        <v>9785541</v>
      </c>
      <c r="B1049" t="s">
        <v>15</v>
      </c>
      <c r="C1049" s="1">
        <v>43160</v>
      </c>
      <c r="D1049" s="2">
        <f>YEAR(C1049)</f>
        <v>2018</v>
      </c>
      <c r="E1049">
        <v>575000</v>
      </c>
      <c r="F1049" t="s">
        <v>85</v>
      </c>
      <c r="G1049">
        <v>1947</v>
      </c>
      <c r="H1049">
        <v>8415</v>
      </c>
      <c r="I1049" t="s">
        <v>112</v>
      </c>
      <c r="J1049">
        <v>76</v>
      </c>
      <c r="K1049">
        <v>60076</v>
      </c>
      <c r="L1049">
        <v>3440</v>
      </c>
      <c r="M1049">
        <v>11</v>
      </c>
      <c r="N1049">
        <v>4</v>
      </c>
      <c r="O1049">
        <v>1</v>
      </c>
      <c r="P1049" t="s">
        <v>79</v>
      </c>
      <c r="Q1049">
        <v>5</v>
      </c>
      <c r="R1049">
        <v>0</v>
      </c>
      <c r="S1049" t="s">
        <v>21</v>
      </c>
      <c r="T1049">
        <v>2</v>
      </c>
      <c r="U1049">
        <v>0</v>
      </c>
    </row>
    <row r="1050" spans="1:21" x14ac:dyDescent="0.25">
      <c r="A1050">
        <v>9651167</v>
      </c>
      <c r="B1050" t="s">
        <v>15</v>
      </c>
      <c r="C1050" s="1">
        <v>42935</v>
      </c>
      <c r="D1050" s="2">
        <f>YEAR(C1050)</f>
        <v>2017</v>
      </c>
      <c r="E1050">
        <v>340000</v>
      </c>
      <c r="F1050" t="s">
        <v>85</v>
      </c>
      <c r="G1050">
        <v>1947</v>
      </c>
      <c r="H1050">
        <v>4501</v>
      </c>
      <c r="I1050" t="s">
        <v>117</v>
      </c>
      <c r="J1050">
        <v>76</v>
      </c>
      <c r="K1050">
        <v>60076</v>
      </c>
      <c r="L1050">
        <v>1943</v>
      </c>
      <c r="M1050">
        <v>7</v>
      </c>
      <c r="N1050">
        <v>3</v>
      </c>
      <c r="O1050">
        <v>0</v>
      </c>
      <c r="P1050" t="s">
        <v>79</v>
      </c>
      <c r="Q1050">
        <v>3</v>
      </c>
      <c r="R1050">
        <v>0</v>
      </c>
      <c r="S1050" t="s">
        <v>22</v>
      </c>
      <c r="T1050">
        <v>2</v>
      </c>
      <c r="U1050">
        <v>0</v>
      </c>
    </row>
    <row r="1051" spans="1:21" x14ac:dyDescent="0.25">
      <c r="A1051">
        <v>9852853</v>
      </c>
      <c r="B1051" t="s">
        <v>15</v>
      </c>
      <c r="C1051" s="1">
        <v>43185</v>
      </c>
      <c r="D1051" s="2">
        <f>YEAR(C1051)</f>
        <v>2018</v>
      </c>
      <c r="E1051">
        <v>770000</v>
      </c>
      <c r="F1051" t="s">
        <v>85</v>
      </c>
      <c r="G1051">
        <v>1948</v>
      </c>
      <c r="H1051">
        <v>9035</v>
      </c>
      <c r="I1051" t="s">
        <v>102</v>
      </c>
      <c r="J1051">
        <v>76</v>
      </c>
      <c r="K1051">
        <v>60076</v>
      </c>
      <c r="L1051">
        <v>4200</v>
      </c>
      <c r="M1051">
        <v>11</v>
      </c>
      <c r="N1051">
        <v>4</v>
      </c>
      <c r="O1051">
        <v>1</v>
      </c>
      <c r="P1051" t="s">
        <v>79</v>
      </c>
      <c r="Q1051">
        <v>5</v>
      </c>
      <c r="R1051">
        <v>1</v>
      </c>
      <c r="S1051" t="s">
        <v>21</v>
      </c>
      <c r="T1051">
        <v>2</v>
      </c>
      <c r="U1051">
        <v>0</v>
      </c>
    </row>
    <row r="1052" spans="1:21" x14ac:dyDescent="0.25">
      <c r="A1052">
        <v>9994461</v>
      </c>
      <c r="B1052" t="s">
        <v>15</v>
      </c>
      <c r="C1052" s="1">
        <v>43376</v>
      </c>
      <c r="D1052" s="2">
        <f>YEAR(C1052)</f>
        <v>2018</v>
      </c>
      <c r="E1052">
        <v>566318</v>
      </c>
      <c r="F1052" t="s">
        <v>85</v>
      </c>
      <c r="G1052">
        <v>1948</v>
      </c>
      <c r="H1052">
        <v>3825</v>
      </c>
      <c r="I1052" t="s">
        <v>117</v>
      </c>
      <c r="J1052">
        <v>76</v>
      </c>
      <c r="K1052">
        <v>60076</v>
      </c>
      <c r="L1052">
        <v>2024</v>
      </c>
      <c r="M1052">
        <v>9</v>
      </c>
      <c r="N1052">
        <v>4</v>
      </c>
      <c r="O1052">
        <v>0</v>
      </c>
      <c r="P1052" t="s">
        <v>79</v>
      </c>
      <c r="Q1052">
        <v>3</v>
      </c>
      <c r="R1052">
        <v>2</v>
      </c>
      <c r="S1052" t="s">
        <v>22</v>
      </c>
      <c r="T1052">
        <v>2</v>
      </c>
      <c r="U1052">
        <v>0</v>
      </c>
    </row>
    <row r="1053" spans="1:21" x14ac:dyDescent="0.25">
      <c r="A1053">
        <v>9585201</v>
      </c>
      <c r="B1053" t="s">
        <v>15</v>
      </c>
      <c r="C1053" s="1">
        <v>42880</v>
      </c>
      <c r="D1053" s="2">
        <f>YEAR(C1053)</f>
        <v>2017</v>
      </c>
      <c r="E1053">
        <v>380000</v>
      </c>
      <c r="F1053" t="s">
        <v>85</v>
      </c>
      <c r="G1053">
        <v>1948</v>
      </c>
      <c r="H1053">
        <v>5253</v>
      </c>
      <c r="I1053" t="s">
        <v>444</v>
      </c>
      <c r="J1053">
        <v>76</v>
      </c>
      <c r="K1053">
        <v>60077</v>
      </c>
      <c r="L1053">
        <v>1728</v>
      </c>
      <c r="M1053">
        <v>8</v>
      </c>
      <c r="N1053">
        <v>2</v>
      </c>
      <c r="O1053">
        <v>0</v>
      </c>
      <c r="P1053" t="s">
        <v>79</v>
      </c>
      <c r="Q1053">
        <v>3</v>
      </c>
      <c r="R1053">
        <v>1</v>
      </c>
      <c r="S1053" t="s">
        <v>21</v>
      </c>
      <c r="T1053">
        <v>1</v>
      </c>
      <c r="U1053">
        <v>0</v>
      </c>
    </row>
    <row r="1054" spans="1:21" x14ac:dyDescent="0.25">
      <c r="A1054">
        <v>9919306</v>
      </c>
      <c r="B1054" t="s">
        <v>15</v>
      </c>
      <c r="C1054" s="1">
        <v>43280</v>
      </c>
      <c r="D1054" s="2">
        <f>YEAR(C1054)</f>
        <v>2018</v>
      </c>
      <c r="E1054">
        <v>607500</v>
      </c>
      <c r="F1054" t="s">
        <v>85</v>
      </c>
      <c r="G1054">
        <v>1948</v>
      </c>
      <c r="H1054">
        <v>2224</v>
      </c>
      <c r="I1054" t="s">
        <v>116</v>
      </c>
      <c r="J1054">
        <v>62</v>
      </c>
      <c r="K1054">
        <v>60062</v>
      </c>
      <c r="L1054">
        <v>2174</v>
      </c>
      <c r="M1054">
        <v>9</v>
      </c>
      <c r="N1054">
        <v>3</v>
      </c>
      <c r="O1054">
        <v>2</v>
      </c>
      <c r="P1054" t="s">
        <v>79</v>
      </c>
      <c r="Q1054">
        <v>4</v>
      </c>
      <c r="R1054">
        <v>0</v>
      </c>
      <c r="S1054" t="s">
        <v>21</v>
      </c>
      <c r="T1054">
        <v>1</v>
      </c>
      <c r="U1054">
        <v>0</v>
      </c>
    </row>
    <row r="1055" spans="1:21" x14ac:dyDescent="0.25">
      <c r="A1055">
        <v>10039257</v>
      </c>
      <c r="B1055" t="s">
        <v>15</v>
      </c>
      <c r="C1055" s="1">
        <v>43416</v>
      </c>
      <c r="D1055" s="2">
        <f>YEAR(C1055)</f>
        <v>2018</v>
      </c>
      <c r="E1055">
        <v>545000</v>
      </c>
      <c r="F1055" t="s">
        <v>85</v>
      </c>
      <c r="G1055">
        <v>1949</v>
      </c>
      <c r="H1055">
        <v>2100</v>
      </c>
      <c r="I1055" t="s">
        <v>172</v>
      </c>
      <c r="J1055">
        <v>62</v>
      </c>
      <c r="K1055">
        <v>60062</v>
      </c>
      <c r="L1055">
        <v>2961</v>
      </c>
      <c r="M1055">
        <v>8</v>
      </c>
      <c r="N1055">
        <v>3</v>
      </c>
      <c r="O1055">
        <v>0</v>
      </c>
      <c r="P1055" t="s">
        <v>79</v>
      </c>
      <c r="Q1055">
        <v>4</v>
      </c>
      <c r="R1055">
        <v>0</v>
      </c>
      <c r="S1055" t="s">
        <v>22</v>
      </c>
      <c r="T1055">
        <v>2</v>
      </c>
      <c r="U1055">
        <v>0</v>
      </c>
    </row>
    <row r="1056" spans="1:21" x14ac:dyDescent="0.25">
      <c r="A1056">
        <v>9852525</v>
      </c>
      <c r="B1056" t="s">
        <v>15</v>
      </c>
      <c r="C1056" s="1">
        <v>43192</v>
      </c>
      <c r="D1056" s="2">
        <f>YEAR(C1056)</f>
        <v>2018</v>
      </c>
      <c r="E1056">
        <v>482000</v>
      </c>
      <c r="F1056" t="s">
        <v>85</v>
      </c>
      <c r="G1056">
        <v>1949</v>
      </c>
      <c r="H1056">
        <v>1027</v>
      </c>
      <c r="I1056" t="s">
        <v>121</v>
      </c>
      <c r="J1056">
        <v>62</v>
      </c>
      <c r="K1056">
        <v>60062</v>
      </c>
      <c r="L1056">
        <v>1558</v>
      </c>
      <c r="M1056">
        <v>8</v>
      </c>
      <c r="N1056">
        <v>2</v>
      </c>
      <c r="O1056">
        <v>0</v>
      </c>
      <c r="P1056" t="s">
        <v>79</v>
      </c>
      <c r="Q1056">
        <v>3</v>
      </c>
      <c r="R1056">
        <v>1</v>
      </c>
      <c r="S1056" t="s">
        <v>21</v>
      </c>
      <c r="T1056">
        <v>1</v>
      </c>
      <c r="U1056">
        <v>0</v>
      </c>
    </row>
    <row r="1057" spans="1:21" x14ac:dyDescent="0.25">
      <c r="A1057">
        <v>9715492</v>
      </c>
      <c r="B1057" t="s">
        <v>15</v>
      </c>
      <c r="C1057" s="1">
        <v>43091</v>
      </c>
      <c r="D1057" s="2">
        <f>YEAR(C1057)</f>
        <v>2017</v>
      </c>
      <c r="E1057">
        <v>280000</v>
      </c>
      <c r="F1057" t="s">
        <v>85</v>
      </c>
      <c r="G1057">
        <v>1949</v>
      </c>
      <c r="H1057">
        <v>1731</v>
      </c>
      <c r="I1057" t="s">
        <v>87</v>
      </c>
      <c r="J1057">
        <v>62</v>
      </c>
      <c r="K1057">
        <v>60062</v>
      </c>
      <c r="L1057">
        <v>1080</v>
      </c>
      <c r="M1057">
        <v>8</v>
      </c>
      <c r="N1057">
        <v>2</v>
      </c>
      <c r="O1057">
        <v>0</v>
      </c>
      <c r="P1057" t="s">
        <v>79</v>
      </c>
      <c r="Q1057">
        <v>2</v>
      </c>
      <c r="R1057">
        <v>2</v>
      </c>
      <c r="S1057" t="s">
        <v>21</v>
      </c>
      <c r="T1057">
        <v>1</v>
      </c>
      <c r="U1057">
        <v>0</v>
      </c>
    </row>
    <row r="1058" spans="1:21" x14ac:dyDescent="0.25">
      <c r="A1058">
        <v>9522678</v>
      </c>
      <c r="B1058" t="s">
        <v>15</v>
      </c>
      <c r="C1058" s="1">
        <v>42851</v>
      </c>
      <c r="D1058" s="2">
        <f>YEAR(C1058)</f>
        <v>2017</v>
      </c>
      <c r="E1058">
        <v>600000</v>
      </c>
      <c r="F1058" t="s">
        <v>85</v>
      </c>
      <c r="G1058">
        <v>1950</v>
      </c>
      <c r="H1058">
        <v>4224</v>
      </c>
      <c r="I1058" t="s">
        <v>164</v>
      </c>
      <c r="J1058">
        <v>76</v>
      </c>
      <c r="K1058">
        <v>60076</v>
      </c>
      <c r="L1058">
        <v>2200</v>
      </c>
      <c r="M1058">
        <v>9</v>
      </c>
      <c r="N1058">
        <v>3</v>
      </c>
      <c r="O1058">
        <v>1</v>
      </c>
      <c r="P1058" t="s">
        <v>79</v>
      </c>
      <c r="Q1058">
        <v>4</v>
      </c>
      <c r="R1058">
        <v>0</v>
      </c>
      <c r="S1058" t="s">
        <v>21</v>
      </c>
      <c r="T1058">
        <v>2</v>
      </c>
      <c r="U1058">
        <v>0</v>
      </c>
    </row>
    <row r="1059" spans="1:21" x14ac:dyDescent="0.25">
      <c r="A1059">
        <v>9519211</v>
      </c>
      <c r="B1059" t="s">
        <v>15</v>
      </c>
      <c r="C1059" s="1">
        <v>42845</v>
      </c>
      <c r="D1059" s="2">
        <f>YEAR(C1059)</f>
        <v>2017</v>
      </c>
      <c r="E1059">
        <v>338599</v>
      </c>
      <c r="F1059" t="s">
        <v>85</v>
      </c>
      <c r="G1059">
        <v>1950</v>
      </c>
      <c r="H1059">
        <v>7821</v>
      </c>
      <c r="I1059" t="s">
        <v>23</v>
      </c>
      <c r="J1059">
        <v>76</v>
      </c>
      <c r="K1059">
        <v>60076</v>
      </c>
      <c r="L1059">
        <v>1550</v>
      </c>
      <c r="M1059">
        <v>9</v>
      </c>
      <c r="N1059">
        <v>2</v>
      </c>
      <c r="O1059">
        <v>1</v>
      </c>
      <c r="P1059" t="s">
        <v>79</v>
      </c>
      <c r="Q1059">
        <v>3</v>
      </c>
      <c r="R1059">
        <v>0</v>
      </c>
      <c r="S1059" t="s">
        <v>22</v>
      </c>
      <c r="T1059">
        <v>2</v>
      </c>
      <c r="U1059">
        <v>0</v>
      </c>
    </row>
    <row r="1060" spans="1:21" x14ac:dyDescent="0.25">
      <c r="A1060">
        <v>9880326</v>
      </c>
      <c r="B1060" t="s">
        <v>15</v>
      </c>
      <c r="C1060" s="1">
        <v>43210</v>
      </c>
      <c r="D1060" s="2">
        <f>YEAR(C1060)</f>
        <v>2018</v>
      </c>
      <c r="E1060">
        <v>289000</v>
      </c>
      <c r="F1060" t="s">
        <v>85</v>
      </c>
      <c r="G1060">
        <v>1950</v>
      </c>
      <c r="H1060">
        <v>8231</v>
      </c>
      <c r="I1060" t="s">
        <v>98</v>
      </c>
      <c r="J1060">
        <v>76</v>
      </c>
      <c r="K1060">
        <v>60076</v>
      </c>
      <c r="L1060">
        <v>1316</v>
      </c>
      <c r="M1060">
        <v>8</v>
      </c>
      <c r="N1060">
        <v>2</v>
      </c>
      <c r="O1060">
        <v>0</v>
      </c>
      <c r="P1060" t="s">
        <v>79</v>
      </c>
      <c r="Q1060">
        <v>2</v>
      </c>
      <c r="R1060">
        <v>0</v>
      </c>
      <c r="S1060" t="s">
        <v>22</v>
      </c>
      <c r="T1060">
        <v>2.5</v>
      </c>
      <c r="U1060">
        <v>0</v>
      </c>
    </row>
    <row r="1061" spans="1:21" x14ac:dyDescent="0.25">
      <c r="A1061">
        <v>9713648</v>
      </c>
      <c r="B1061" t="s">
        <v>15</v>
      </c>
      <c r="C1061" s="1">
        <v>42984</v>
      </c>
      <c r="D1061" s="2">
        <f>YEAR(C1061)</f>
        <v>2017</v>
      </c>
      <c r="E1061">
        <v>205000</v>
      </c>
      <c r="F1061" t="s">
        <v>85</v>
      </c>
      <c r="G1061">
        <v>1950</v>
      </c>
      <c r="H1061">
        <v>3921</v>
      </c>
      <c r="I1061" t="s">
        <v>445</v>
      </c>
      <c r="J1061">
        <v>76</v>
      </c>
      <c r="K1061">
        <v>60076</v>
      </c>
      <c r="L1061">
        <v>1300</v>
      </c>
      <c r="M1061">
        <v>7</v>
      </c>
      <c r="N1061">
        <v>2</v>
      </c>
      <c r="O1061">
        <v>0</v>
      </c>
      <c r="P1061" t="s">
        <v>79</v>
      </c>
      <c r="Q1061">
        <v>4</v>
      </c>
      <c r="R1061">
        <v>0</v>
      </c>
      <c r="S1061" t="s">
        <v>22</v>
      </c>
      <c r="T1061">
        <v>1</v>
      </c>
      <c r="U1061">
        <v>0</v>
      </c>
    </row>
    <row r="1062" spans="1:21" x14ac:dyDescent="0.25">
      <c r="A1062">
        <v>10168200</v>
      </c>
      <c r="B1062" t="s">
        <v>15</v>
      </c>
      <c r="C1062" s="1">
        <v>43518</v>
      </c>
      <c r="D1062" s="2">
        <f>YEAR(C1062)</f>
        <v>2019</v>
      </c>
      <c r="E1062">
        <v>349000</v>
      </c>
      <c r="F1062" t="s">
        <v>85</v>
      </c>
      <c r="G1062">
        <v>1950</v>
      </c>
      <c r="H1062">
        <v>3921</v>
      </c>
      <c r="I1062" t="s">
        <v>445</v>
      </c>
      <c r="J1062">
        <v>76</v>
      </c>
      <c r="K1062">
        <v>60076</v>
      </c>
      <c r="L1062">
        <v>1300</v>
      </c>
      <c r="M1062">
        <v>7</v>
      </c>
      <c r="N1062">
        <v>3</v>
      </c>
      <c r="O1062">
        <v>0</v>
      </c>
      <c r="P1062" t="s">
        <v>79</v>
      </c>
      <c r="Q1062">
        <v>3</v>
      </c>
      <c r="R1062">
        <v>0</v>
      </c>
      <c r="S1062" t="s">
        <v>22</v>
      </c>
      <c r="T1062">
        <v>1</v>
      </c>
      <c r="U1062">
        <v>0</v>
      </c>
    </row>
    <row r="1063" spans="1:21" x14ac:dyDescent="0.25">
      <c r="A1063">
        <v>10070941</v>
      </c>
      <c r="B1063" t="s">
        <v>15</v>
      </c>
      <c r="C1063" s="1">
        <v>43438</v>
      </c>
      <c r="D1063" s="2">
        <f>YEAR(C1063)</f>
        <v>2018</v>
      </c>
      <c r="E1063">
        <v>305000</v>
      </c>
      <c r="F1063" t="s">
        <v>85</v>
      </c>
      <c r="G1063">
        <v>1950</v>
      </c>
      <c r="H1063">
        <v>5313</v>
      </c>
      <c r="I1063" t="s">
        <v>198</v>
      </c>
      <c r="J1063">
        <v>76</v>
      </c>
      <c r="K1063">
        <v>60077</v>
      </c>
      <c r="L1063">
        <v>1288</v>
      </c>
      <c r="M1063">
        <v>8</v>
      </c>
      <c r="N1063">
        <v>1</v>
      </c>
      <c r="O1063">
        <v>1</v>
      </c>
      <c r="P1063" t="s">
        <v>79</v>
      </c>
      <c r="Q1063">
        <v>3</v>
      </c>
      <c r="R1063">
        <v>0</v>
      </c>
      <c r="S1063" t="s">
        <v>22</v>
      </c>
      <c r="T1063">
        <v>2</v>
      </c>
      <c r="U1063">
        <v>0</v>
      </c>
    </row>
    <row r="1064" spans="1:21" x14ac:dyDescent="0.25">
      <c r="A1064">
        <v>10168151</v>
      </c>
      <c r="B1064" t="s">
        <v>15</v>
      </c>
      <c r="C1064" s="1">
        <v>43525</v>
      </c>
      <c r="D1064" s="2">
        <f>YEAR(C1064)</f>
        <v>2019</v>
      </c>
      <c r="E1064">
        <v>239900</v>
      </c>
      <c r="F1064" t="s">
        <v>85</v>
      </c>
      <c r="G1064">
        <v>1950</v>
      </c>
      <c r="H1064">
        <v>5428</v>
      </c>
      <c r="I1064" t="s">
        <v>151</v>
      </c>
      <c r="J1064">
        <v>76</v>
      </c>
      <c r="K1064">
        <v>60077</v>
      </c>
      <c r="L1064">
        <v>1098</v>
      </c>
      <c r="M1064">
        <v>6</v>
      </c>
      <c r="N1064">
        <v>2</v>
      </c>
      <c r="O1064">
        <v>0</v>
      </c>
      <c r="P1064" t="s">
        <v>79</v>
      </c>
      <c r="Q1064">
        <v>2</v>
      </c>
      <c r="R1064">
        <v>0</v>
      </c>
      <c r="S1064" t="s">
        <v>22</v>
      </c>
      <c r="T1064">
        <v>1.5</v>
      </c>
      <c r="U1064">
        <v>0</v>
      </c>
    </row>
    <row r="1065" spans="1:21" x14ac:dyDescent="0.25">
      <c r="A1065">
        <v>9820764</v>
      </c>
      <c r="B1065" t="s">
        <v>15</v>
      </c>
      <c r="C1065" s="1">
        <v>43154</v>
      </c>
      <c r="D1065" s="2">
        <f>YEAR(C1065)</f>
        <v>2018</v>
      </c>
      <c r="E1065">
        <v>380000</v>
      </c>
      <c r="F1065" t="s">
        <v>85</v>
      </c>
      <c r="G1065">
        <v>1951</v>
      </c>
      <c r="H1065">
        <v>7938</v>
      </c>
      <c r="I1065" t="s">
        <v>112</v>
      </c>
      <c r="J1065">
        <v>76</v>
      </c>
      <c r="K1065">
        <v>60076</v>
      </c>
      <c r="L1065">
        <v>1988</v>
      </c>
      <c r="M1065">
        <v>9</v>
      </c>
      <c r="N1065">
        <v>3</v>
      </c>
      <c r="O1065">
        <v>1</v>
      </c>
      <c r="P1065" t="s">
        <v>79</v>
      </c>
      <c r="Q1065">
        <v>3</v>
      </c>
      <c r="R1065">
        <v>1</v>
      </c>
      <c r="S1065" t="s">
        <v>22</v>
      </c>
      <c r="T1065">
        <v>2</v>
      </c>
      <c r="U1065">
        <v>0</v>
      </c>
    </row>
    <row r="1066" spans="1:21" x14ac:dyDescent="0.25">
      <c r="A1066">
        <v>9503747</v>
      </c>
      <c r="B1066" t="s">
        <v>15</v>
      </c>
      <c r="C1066" s="1">
        <v>42969</v>
      </c>
      <c r="D1066" s="2">
        <f>YEAR(C1066)</f>
        <v>2017</v>
      </c>
      <c r="E1066">
        <v>244000</v>
      </c>
      <c r="F1066" t="s">
        <v>85</v>
      </c>
      <c r="G1066">
        <v>1951</v>
      </c>
      <c r="H1066">
        <v>5117</v>
      </c>
      <c r="I1066" t="s">
        <v>63</v>
      </c>
      <c r="J1066">
        <v>76</v>
      </c>
      <c r="K1066">
        <v>60077</v>
      </c>
      <c r="L1066">
        <v>1776</v>
      </c>
      <c r="M1066">
        <v>8</v>
      </c>
      <c r="N1066">
        <v>3</v>
      </c>
      <c r="O1066">
        <v>0</v>
      </c>
      <c r="P1066" t="s">
        <v>79</v>
      </c>
      <c r="Q1066">
        <v>4</v>
      </c>
      <c r="R1066">
        <v>1</v>
      </c>
      <c r="S1066" t="s">
        <v>21</v>
      </c>
      <c r="T1066">
        <v>2</v>
      </c>
      <c r="U1066">
        <v>0</v>
      </c>
    </row>
    <row r="1067" spans="1:21" x14ac:dyDescent="0.25">
      <c r="A1067">
        <v>9807459</v>
      </c>
      <c r="B1067" t="s">
        <v>15</v>
      </c>
      <c r="C1067" s="1">
        <v>43101</v>
      </c>
      <c r="D1067" s="2">
        <f>YEAR(C1067)</f>
        <v>2018</v>
      </c>
      <c r="E1067">
        <v>295000</v>
      </c>
      <c r="F1067" t="s">
        <v>85</v>
      </c>
      <c r="G1067">
        <v>1951</v>
      </c>
      <c r="H1067">
        <v>8524</v>
      </c>
      <c r="I1067" t="s">
        <v>217</v>
      </c>
      <c r="J1067">
        <v>76</v>
      </c>
      <c r="K1067">
        <v>60076</v>
      </c>
      <c r="L1067">
        <v>1579</v>
      </c>
      <c r="M1067">
        <v>10</v>
      </c>
      <c r="N1067">
        <v>2</v>
      </c>
      <c r="O1067">
        <v>0</v>
      </c>
      <c r="P1067" t="s">
        <v>79</v>
      </c>
      <c r="Q1067">
        <v>4</v>
      </c>
      <c r="R1067">
        <v>0</v>
      </c>
      <c r="S1067" t="s">
        <v>22</v>
      </c>
      <c r="T1067">
        <v>2</v>
      </c>
      <c r="U1067">
        <v>0</v>
      </c>
    </row>
    <row r="1068" spans="1:21" x14ac:dyDescent="0.25">
      <c r="A1068">
        <v>9679516</v>
      </c>
      <c r="B1068" t="s">
        <v>15</v>
      </c>
      <c r="C1068" s="1">
        <v>43066</v>
      </c>
      <c r="D1068" s="2">
        <f>YEAR(C1068)</f>
        <v>2017</v>
      </c>
      <c r="E1068">
        <v>265000</v>
      </c>
      <c r="F1068" t="s">
        <v>85</v>
      </c>
      <c r="G1068">
        <v>1951</v>
      </c>
      <c r="H1068">
        <v>5359</v>
      </c>
      <c r="I1068" t="s">
        <v>127</v>
      </c>
      <c r="J1068">
        <v>76</v>
      </c>
      <c r="K1068">
        <v>60077</v>
      </c>
      <c r="L1068">
        <v>1452</v>
      </c>
      <c r="M1068">
        <v>7</v>
      </c>
      <c r="N1068">
        <v>2</v>
      </c>
      <c r="O1068">
        <v>0</v>
      </c>
      <c r="P1068" t="s">
        <v>79</v>
      </c>
      <c r="Q1068">
        <v>3</v>
      </c>
      <c r="R1068">
        <v>0</v>
      </c>
      <c r="S1068" t="s">
        <v>22</v>
      </c>
      <c r="T1068">
        <v>2</v>
      </c>
      <c r="U1068">
        <v>0</v>
      </c>
    </row>
    <row r="1069" spans="1:21" x14ac:dyDescent="0.25">
      <c r="A1069">
        <v>9371626</v>
      </c>
      <c r="B1069" t="s">
        <v>15</v>
      </c>
      <c r="C1069" s="1">
        <v>42828</v>
      </c>
      <c r="D1069" s="2">
        <f>YEAR(C1069)</f>
        <v>2017</v>
      </c>
      <c r="E1069">
        <v>305000</v>
      </c>
      <c r="F1069" t="s">
        <v>85</v>
      </c>
      <c r="G1069">
        <v>1951</v>
      </c>
      <c r="H1069">
        <v>7335</v>
      </c>
      <c r="I1069" t="s">
        <v>26</v>
      </c>
      <c r="J1069">
        <v>76</v>
      </c>
      <c r="K1069">
        <v>60077</v>
      </c>
      <c r="L1069">
        <v>1339</v>
      </c>
      <c r="M1069">
        <v>7</v>
      </c>
      <c r="N1069">
        <v>2</v>
      </c>
      <c r="O1069">
        <v>0</v>
      </c>
      <c r="P1069" t="s">
        <v>79</v>
      </c>
      <c r="Q1069">
        <v>2</v>
      </c>
      <c r="R1069">
        <v>1</v>
      </c>
      <c r="S1069" t="s">
        <v>21</v>
      </c>
      <c r="T1069">
        <v>1</v>
      </c>
      <c r="U1069">
        <v>0</v>
      </c>
    </row>
    <row r="1070" spans="1:21" x14ac:dyDescent="0.25">
      <c r="A1070">
        <v>9954505</v>
      </c>
      <c r="B1070" t="s">
        <v>15</v>
      </c>
      <c r="C1070" s="1">
        <v>43343</v>
      </c>
      <c r="D1070" s="2">
        <f>YEAR(C1070)</f>
        <v>2018</v>
      </c>
      <c r="E1070">
        <v>336500</v>
      </c>
      <c r="F1070" t="s">
        <v>85</v>
      </c>
      <c r="G1070">
        <v>1951</v>
      </c>
      <c r="H1070">
        <v>5252</v>
      </c>
      <c r="I1070" t="s">
        <v>221</v>
      </c>
      <c r="J1070">
        <v>76</v>
      </c>
      <c r="K1070">
        <v>60077</v>
      </c>
      <c r="L1070">
        <v>1025</v>
      </c>
      <c r="M1070">
        <v>8</v>
      </c>
      <c r="N1070">
        <v>2</v>
      </c>
      <c r="O1070">
        <v>0</v>
      </c>
      <c r="P1070" t="s">
        <v>79</v>
      </c>
      <c r="Q1070">
        <v>3</v>
      </c>
      <c r="R1070">
        <v>0</v>
      </c>
      <c r="S1070" t="s">
        <v>22</v>
      </c>
      <c r="T1070">
        <v>2</v>
      </c>
      <c r="U1070">
        <v>0</v>
      </c>
    </row>
    <row r="1071" spans="1:21" x14ac:dyDescent="0.25">
      <c r="A1071">
        <v>9912468</v>
      </c>
      <c r="B1071" t="s">
        <v>15</v>
      </c>
      <c r="C1071" s="1">
        <v>43252</v>
      </c>
      <c r="D1071" s="2">
        <f>YEAR(C1071)</f>
        <v>2018</v>
      </c>
      <c r="E1071">
        <v>266000</v>
      </c>
      <c r="F1071" t="s">
        <v>85</v>
      </c>
      <c r="G1071">
        <v>1951</v>
      </c>
      <c r="H1071">
        <v>9151</v>
      </c>
      <c r="I1071" t="s">
        <v>80</v>
      </c>
      <c r="J1071">
        <v>76</v>
      </c>
      <c r="K1071">
        <v>60077</v>
      </c>
      <c r="L1071">
        <v>930</v>
      </c>
      <c r="M1071">
        <v>7</v>
      </c>
      <c r="N1071">
        <v>2</v>
      </c>
      <c r="O1071">
        <v>0</v>
      </c>
      <c r="P1071" t="s">
        <v>79</v>
      </c>
      <c r="Q1071">
        <v>2</v>
      </c>
      <c r="R1071">
        <v>1</v>
      </c>
      <c r="S1071" t="s">
        <v>21</v>
      </c>
      <c r="T1071">
        <v>1</v>
      </c>
      <c r="U1071">
        <v>0</v>
      </c>
    </row>
    <row r="1072" spans="1:21" x14ac:dyDescent="0.25">
      <c r="A1072">
        <v>9486788</v>
      </c>
      <c r="B1072" t="s">
        <v>15</v>
      </c>
      <c r="C1072" s="1">
        <v>42905</v>
      </c>
      <c r="D1072" s="2">
        <f>YEAR(C1072)</f>
        <v>2017</v>
      </c>
      <c r="E1072">
        <v>360000</v>
      </c>
      <c r="F1072" t="s">
        <v>85</v>
      </c>
      <c r="G1072">
        <v>1951</v>
      </c>
      <c r="H1072">
        <v>1357</v>
      </c>
      <c r="I1072" t="s">
        <v>446</v>
      </c>
      <c r="J1072">
        <v>62</v>
      </c>
      <c r="K1072">
        <v>60062</v>
      </c>
      <c r="L1072">
        <v>1357</v>
      </c>
      <c r="M1072">
        <v>6</v>
      </c>
      <c r="N1072">
        <v>2</v>
      </c>
      <c r="O1072">
        <v>0</v>
      </c>
      <c r="P1072" t="s">
        <v>79</v>
      </c>
      <c r="Q1072">
        <v>3</v>
      </c>
      <c r="R1072">
        <v>0</v>
      </c>
      <c r="S1072" t="s">
        <v>21</v>
      </c>
      <c r="T1072">
        <v>2</v>
      </c>
      <c r="U1072">
        <v>0</v>
      </c>
    </row>
    <row r="1073" spans="1:21" x14ac:dyDescent="0.25">
      <c r="A1073">
        <v>9520861</v>
      </c>
      <c r="B1073" t="s">
        <v>15</v>
      </c>
      <c r="C1073" s="1">
        <v>42877</v>
      </c>
      <c r="D1073" s="2">
        <f>YEAR(C1073)</f>
        <v>2017</v>
      </c>
      <c r="E1073">
        <v>280000</v>
      </c>
      <c r="F1073" t="s">
        <v>85</v>
      </c>
      <c r="G1073">
        <v>1951</v>
      </c>
      <c r="H1073">
        <v>2436</v>
      </c>
      <c r="I1073" t="s">
        <v>439</v>
      </c>
      <c r="J1073">
        <v>62</v>
      </c>
      <c r="K1073">
        <v>60062</v>
      </c>
      <c r="L1073">
        <v>1115</v>
      </c>
      <c r="M1073">
        <v>6</v>
      </c>
      <c r="N1073">
        <v>1</v>
      </c>
      <c r="O1073">
        <v>1</v>
      </c>
      <c r="P1073" t="s">
        <v>79</v>
      </c>
      <c r="Q1073">
        <v>2</v>
      </c>
      <c r="R1073">
        <v>0</v>
      </c>
      <c r="S1073" t="s">
        <v>21</v>
      </c>
      <c r="T1073">
        <v>1</v>
      </c>
      <c r="U1073">
        <v>0</v>
      </c>
    </row>
    <row r="1074" spans="1:21" x14ac:dyDescent="0.25">
      <c r="A1074">
        <v>9782465</v>
      </c>
      <c r="B1074" t="s">
        <v>15</v>
      </c>
      <c r="C1074" s="1">
        <v>43108</v>
      </c>
      <c r="D1074" s="2">
        <f>YEAR(C1074)</f>
        <v>2018</v>
      </c>
      <c r="E1074">
        <v>365000</v>
      </c>
      <c r="F1074" t="s">
        <v>85</v>
      </c>
      <c r="G1074">
        <v>1952</v>
      </c>
      <c r="H1074">
        <v>8043</v>
      </c>
      <c r="I1074" t="s">
        <v>71</v>
      </c>
      <c r="J1074">
        <v>76</v>
      </c>
      <c r="K1074">
        <v>60077</v>
      </c>
      <c r="L1074">
        <v>1650</v>
      </c>
      <c r="M1074">
        <v>7</v>
      </c>
      <c r="N1074">
        <v>3</v>
      </c>
      <c r="O1074">
        <v>0</v>
      </c>
      <c r="P1074" t="s">
        <v>79</v>
      </c>
      <c r="Q1074">
        <v>3</v>
      </c>
      <c r="R1074">
        <v>1</v>
      </c>
      <c r="S1074" t="s">
        <v>21</v>
      </c>
      <c r="T1074">
        <v>1</v>
      </c>
      <c r="U1074">
        <v>0</v>
      </c>
    </row>
    <row r="1075" spans="1:21" x14ac:dyDescent="0.25">
      <c r="A1075">
        <v>9570691</v>
      </c>
      <c r="B1075" t="s">
        <v>15</v>
      </c>
      <c r="C1075" s="1">
        <v>42863</v>
      </c>
      <c r="D1075" s="2">
        <f>YEAR(C1075)</f>
        <v>2017</v>
      </c>
      <c r="E1075">
        <v>335000</v>
      </c>
      <c r="F1075" t="s">
        <v>85</v>
      </c>
      <c r="G1075">
        <v>1952</v>
      </c>
      <c r="H1075">
        <v>8225</v>
      </c>
      <c r="I1075" t="s">
        <v>183</v>
      </c>
      <c r="J1075">
        <v>76</v>
      </c>
      <c r="K1075">
        <v>60076</v>
      </c>
      <c r="L1075">
        <v>1600</v>
      </c>
      <c r="M1075">
        <v>8</v>
      </c>
      <c r="N1075">
        <v>2</v>
      </c>
      <c r="O1075">
        <v>1</v>
      </c>
      <c r="P1075" t="s">
        <v>79</v>
      </c>
      <c r="Q1075">
        <v>3</v>
      </c>
      <c r="R1075">
        <v>0</v>
      </c>
      <c r="S1075" t="s">
        <v>22</v>
      </c>
      <c r="T1075">
        <v>2.5</v>
      </c>
      <c r="U1075">
        <v>0</v>
      </c>
    </row>
    <row r="1076" spans="1:21" x14ac:dyDescent="0.25">
      <c r="A1076">
        <v>9961370</v>
      </c>
      <c r="B1076" t="s">
        <v>15</v>
      </c>
      <c r="C1076" s="1">
        <v>43283</v>
      </c>
      <c r="D1076" s="2">
        <f>YEAR(C1076)</f>
        <v>2018</v>
      </c>
      <c r="E1076">
        <v>330000</v>
      </c>
      <c r="F1076" t="s">
        <v>85</v>
      </c>
      <c r="G1076">
        <v>1952</v>
      </c>
      <c r="H1076">
        <v>7521</v>
      </c>
      <c r="I1076" t="s">
        <v>112</v>
      </c>
      <c r="J1076">
        <v>76</v>
      </c>
      <c r="K1076">
        <v>60076</v>
      </c>
      <c r="L1076">
        <v>1525</v>
      </c>
      <c r="M1076">
        <v>7</v>
      </c>
      <c r="N1076">
        <v>3</v>
      </c>
      <c r="O1076">
        <v>0</v>
      </c>
      <c r="P1076" t="s">
        <v>79</v>
      </c>
      <c r="Q1076">
        <v>3</v>
      </c>
      <c r="R1076">
        <v>0</v>
      </c>
      <c r="S1076" t="s">
        <v>22</v>
      </c>
      <c r="T1076">
        <v>2</v>
      </c>
      <c r="U1076">
        <v>0</v>
      </c>
    </row>
    <row r="1077" spans="1:21" x14ac:dyDescent="0.25">
      <c r="A1077">
        <v>10022166</v>
      </c>
      <c r="B1077" t="s">
        <v>15</v>
      </c>
      <c r="C1077" s="1">
        <v>43410</v>
      </c>
      <c r="D1077" s="2">
        <f>YEAR(C1077)</f>
        <v>2018</v>
      </c>
      <c r="E1077">
        <v>375000</v>
      </c>
      <c r="F1077" t="s">
        <v>85</v>
      </c>
      <c r="G1077">
        <v>1952</v>
      </c>
      <c r="H1077">
        <v>8557</v>
      </c>
      <c r="I1077" t="s">
        <v>98</v>
      </c>
      <c r="J1077">
        <v>76</v>
      </c>
      <c r="K1077">
        <v>60076</v>
      </c>
      <c r="L1077">
        <v>1490</v>
      </c>
      <c r="M1077">
        <v>8</v>
      </c>
      <c r="N1077">
        <v>2</v>
      </c>
      <c r="O1077">
        <v>0</v>
      </c>
      <c r="P1077" t="s">
        <v>79</v>
      </c>
      <c r="Q1077">
        <v>3</v>
      </c>
      <c r="R1077">
        <v>1</v>
      </c>
      <c r="S1077" t="s">
        <v>21</v>
      </c>
      <c r="T1077">
        <v>2</v>
      </c>
      <c r="U1077">
        <v>0</v>
      </c>
    </row>
    <row r="1078" spans="1:21" x14ac:dyDescent="0.25">
      <c r="A1078">
        <v>9600957</v>
      </c>
      <c r="B1078" t="s">
        <v>15</v>
      </c>
      <c r="C1078" s="1">
        <v>42905</v>
      </c>
      <c r="D1078" s="2">
        <f>YEAR(C1078)</f>
        <v>2017</v>
      </c>
      <c r="E1078">
        <v>335000</v>
      </c>
      <c r="F1078" t="s">
        <v>85</v>
      </c>
      <c r="G1078">
        <v>1952</v>
      </c>
      <c r="H1078">
        <v>8636</v>
      </c>
      <c r="I1078" t="s">
        <v>98</v>
      </c>
      <c r="J1078">
        <v>76</v>
      </c>
      <c r="K1078">
        <v>60076</v>
      </c>
      <c r="L1078">
        <v>1450</v>
      </c>
      <c r="M1078">
        <v>8</v>
      </c>
      <c r="N1078">
        <v>2</v>
      </c>
      <c r="O1078">
        <v>0</v>
      </c>
      <c r="P1078" t="s">
        <v>79</v>
      </c>
      <c r="Q1078">
        <v>3</v>
      </c>
      <c r="R1078">
        <v>0</v>
      </c>
      <c r="S1078" t="s">
        <v>22</v>
      </c>
      <c r="T1078">
        <v>2</v>
      </c>
      <c r="U1078">
        <v>0</v>
      </c>
    </row>
    <row r="1079" spans="1:21" x14ac:dyDescent="0.25">
      <c r="A1079">
        <v>9921089</v>
      </c>
      <c r="B1079" t="s">
        <v>15</v>
      </c>
      <c r="C1079" s="1">
        <v>43290</v>
      </c>
      <c r="D1079" s="2">
        <f>YEAR(C1079)</f>
        <v>2018</v>
      </c>
      <c r="E1079">
        <v>258000</v>
      </c>
      <c r="F1079" t="s">
        <v>85</v>
      </c>
      <c r="G1079">
        <v>1952</v>
      </c>
      <c r="H1079">
        <v>4339</v>
      </c>
      <c r="I1079" t="s">
        <v>447</v>
      </c>
      <c r="J1079">
        <v>76</v>
      </c>
      <c r="K1079">
        <v>60076</v>
      </c>
      <c r="L1079">
        <v>1369</v>
      </c>
      <c r="M1079">
        <v>7</v>
      </c>
      <c r="N1079">
        <v>2</v>
      </c>
      <c r="O1079">
        <v>0</v>
      </c>
      <c r="P1079" t="s">
        <v>79</v>
      </c>
      <c r="Q1079">
        <v>3</v>
      </c>
      <c r="R1079">
        <v>0</v>
      </c>
      <c r="S1079" t="s">
        <v>21</v>
      </c>
      <c r="T1079">
        <v>1</v>
      </c>
      <c r="U1079">
        <v>0</v>
      </c>
    </row>
    <row r="1080" spans="1:21" x14ac:dyDescent="0.25">
      <c r="A1080">
        <v>9768959</v>
      </c>
      <c r="B1080" t="s">
        <v>15</v>
      </c>
      <c r="C1080" s="1">
        <v>43033</v>
      </c>
      <c r="D1080" s="2">
        <f>YEAR(C1080)</f>
        <v>2017</v>
      </c>
      <c r="E1080">
        <v>271000</v>
      </c>
      <c r="F1080" t="s">
        <v>85</v>
      </c>
      <c r="G1080">
        <v>1952</v>
      </c>
      <c r="H1080">
        <v>5157</v>
      </c>
      <c r="I1080" t="s">
        <v>448</v>
      </c>
      <c r="J1080">
        <v>76</v>
      </c>
      <c r="K1080">
        <v>60077</v>
      </c>
      <c r="L1080">
        <v>1300</v>
      </c>
      <c r="M1080">
        <v>8</v>
      </c>
      <c r="N1080">
        <v>2</v>
      </c>
      <c r="O1080">
        <v>0</v>
      </c>
      <c r="P1080" t="s">
        <v>79</v>
      </c>
      <c r="Q1080">
        <v>3</v>
      </c>
      <c r="R1080">
        <v>0</v>
      </c>
      <c r="S1080" t="s">
        <v>22</v>
      </c>
      <c r="T1080">
        <v>2</v>
      </c>
      <c r="U1080">
        <v>0</v>
      </c>
    </row>
    <row r="1081" spans="1:21" x14ac:dyDescent="0.25">
      <c r="A1081">
        <v>10120893</v>
      </c>
      <c r="B1081" t="s">
        <v>15</v>
      </c>
      <c r="C1081" s="1">
        <v>43476</v>
      </c>
      <c r="D1081" s="2">
        <f>YEAR(C1081)</f>
        <v>2019</v>
      </c>
      <c r="E1081">
        <v>430000</v>
      </c>
      <c r="F1081" t="s">
        <v>85</v>
      </c>
      <c r="G1081">
        <v>1952</v>
      </c>
      <c r="H1081">
        <v>5157</v>
      </c>
      <c r="I1081" t="s">
        <v>448</v>
      </c>
      <c r="J1081">
        <v>76</v>
      </c>
      <c r="K1081">
        <v>60077</v>
      </c>
      <c r="L1081">
        <v>1300</v>
      </c>
      <c r="M1081">
        <v>8</v>
      </c>
      <c r="N1081">
        <v>2</v>
      </c>
      <c r="O1081">
        <v>1</v>
      </c>
      <c r="P1081" t="s">
        <v>79</v>
      </c>
      <c r="Q1081">
        <v>3</v>
      </c>
      <c r="R1081">
        <v>0</v>
      </c>
      <c r="S1081" t="s">
        <v>22</v>
      </c>
      <c r="T1081">
        <v>2.5</v>
      </c>
      <c r="U1081">
        <v>0</v>
      </c>
    </row>
    <row r="1082" spans="1:21" x14ac:dyDescent="0.25">
      <c r="A1082">
        <v>9600357</v>
      </c>
      <c r="B1082" t="s">
        <v>15</v>
      </c>
      <c r="C1082" s="1">
        <v>42886</v>
      </c>
      <c r="D1082" s="2">
        <f>YEAR(C1082)</f>
        <v>2017</v>
      </c>
      <c r="E1082">
        <v>323000</v>
      </c>
      <c r="F1082" t="s">
        <v>85</v>
      </c>
      <c r="G1082">
        <v>1952</v>
      </c>
      <c r="H1082">
        <v>5115</v>
      </c>
      <c r="I1082" t="s">
        <v>449</v>
      </c>
      <c r="J1082">
        <v>76</v>
      </c>
      <c r="K1082">
        <v>60077</v>
      </c>
      <c r="L1082">
        <v>1235</v>
      </c>
      <c r="M1082">
        <v>8</v>
      </c>
      <c r="N1082">
        <v>2</v>
      </c>
      <c r="O1082">
        <v>0</v>
      </c>
      <c r="P1082" t="s">
        <v>79</v>
      </c>
      <c r="Q1082">
        <v>2</v>
      </c>
      <c r="R1082">
        <v>2</v>
      </c>
      <c r="S1082" t="s">
        <v>22</v>
      </c>
      <c r="T1082">
        <v>2.5</v>
      </c>
      <c r="U1082">
        <v>0</v>
      </c>
    </row>
    <row r="1083" spans="1:21" x14ac:dyDescent="0.25">
      <c r="A1083">
        <v>9504476</v>
      </c>
      <c r="B1083" t="s">
        <v>15</v>
      </c>
      <c r="C1083" s="1">
        <v>42877</v>
      </c>
      <c r="D1083" s="2">
        <f>YEAR(C1083)</f>
        <v>2017</v>
      </c>
      <c r="E1083">
        <v>267500</v>
      </c>
      <c r="F1083" t="s">
        <v>85</v>
      </c>
      <c r="G1083">
        <v>1952</v>
      </c>
      <c r="H1083">
        <v>8504</v>
      </c>
      <c r="I1083" t="s">
        <v>229</v>
      </c>
      <c r="J1083">
        <v>76</v>
      </c>
      <c r="K1083">
        <v>60076</v>
      </c>
      <c r="L1083">
        <v>1228</v>
      </c>
      <c r="M1083">
        <v>6</v>
      </c>
      <c r="N1083">
        <v>2</v>
      </c>
      <c r="O1083">
        <v>0</v>
      </c>
      <c r="P1083" t="s">
        <v>79</v>
      </c>
      <c r="Q1083">
        <v>3</v>
      </c>
      <c r="R1083">
        <v>0</v>
      </c>
      <c r="S1083" t="s">
        <v>19</v>
      </c>
      <c r="T1083">
        <v>0</v>
      </c>
      <c r="U1083">
        <v>0</v>
      </c>
    </row>
    <row r="1084" spans="1:21" x14ac:dyDescent="0.25">
      <c r="A1084">
        <v>9810541</v>
      </c>
      <c r="B1084" t="s">
        <v>15</v>
      </c>
      <c r="C1084" s="1">
        <v>43166</v>
      </c>
      <c r="D1084" s="2">
        <f>YEAR(C1084)</f>
        <v>2018</v>
      </c>
      <c r="E1084">
        <v>300000</v>
      </c>
      <c r="F1084" t="s">
        <v>85</v>
      </c>
      <c r="G1084">
        <v>1952</v>
      </c>
      <c r="H1084">
        <v>7556</v>
      </c>
      <c r="I1084" t="s">
        <v>107</v>
      </c>
      <c r="J1084">
        <v>76</v>
      </c>
      <c r="K1084">
        <v>60076</v>
      </c>
      <c r="L1084">
        <v>1171</v>
      </c>
      <c r="M1084">
        <v>7</v>
      </c>
      <c r="N1084">
        <v>2</v>
      </c>
      <c r="O1084">
        <v>0</v>
      </c>
      <c r="P1084" t="s">
        <v>79</v>
      </c>
      <c r="Q1084">
        <v>2</v>
      </c>
      <c r="R1084">
        <v>0</v>
      </c>
      <c r="S1084" t="s">
        <v>21</v>
      </c>
      <c r="T1084">
        <v>1</v>
      </c>
      <c r="U1084">
        <v>0</v>
      </c>
    </row>
    <row r="1085" spans="1:21" x14ac:dyDescent="0.25">
      <c r="A1085">
        <v>9603764</v>
      </c>
      <c r="B1085" t="s">
        <v>15</v>
      </c>
      <c r="C1085" s="1">
        <v>42958</v>
      </c>
      <c r="D1085" s="2">
        <f>YEAR(C1085)</f>
        <v>2017</v>
      </c>
      <c r="E1085">
        <v>272000</v>
      </c>
      <c r="F1085" t="s">
        <v>85</v>
      </c>
      <c r="G1085">
        <v>1952</v>
      </c>
      <c r="H1085">
        <v>5251</v>
      </c>
      <c r="I1085" t="s">
        <v>57</v>
      </c>
      <c r="J1085">
        <v>76</v>
      </c>
      <c r="K1085">
        <v>60077</v>
      </c>
      <c r="L1085">
        <v>1145</v>
      </c>
      <c r="M1085">
        <v>5</v>
      </c>
      <c r="N1085">
        <v>1</v>
      </c>
      <c r="O1085">
        <v>1</v>
      </c>
      <c r="P1085" t="s">
        <v>79</v>
      </c>
      <c r="Q1085">
        <v>2</v>
      </c>
      <c r="R1085">
        <v>0</v>
      </c>
      <c r="S1085" t="s">
        <v>21</v>
      </c>
      <c r="T1085">
        <v>1</v>
      </c>
      <c r="U1085">
        <v>0</v>
      </c>
    </row>
    <row r="1086" spans="1:21" x14ac:dyDescent="0.25">
      <c r="A1086">
        <v>9500268</v>
      </c>
      <c r="B1086" t="s">
        <v>15</v>
      </c>
      <c r="C1086" s="1">
        <v>42831</v>
      </c>
      <c r="D1086" s="2">
        <f>YEAR(C1086)</f>
        <v>2017</v>
      </c>
      <c r="E1086">
        <v>355000</v>
      </c>
      <c r="F1086" t="s">
        <v>85</v>
      </c>
      <c r="G1086">
        <v>1952</v>
      </c>
      <c r="H1086">
        <v>4925</v>
      </c>
      <c r="I1086" t="s">
        <v>448</v>
      </c>
      <c r="J1086">
        <v>76</v>
      </c>
      <c r="K1086">
        <v>60077</v>
      </c>
      <c r="L1086">
        <v>1100</v>
      </c>
      <c r="M1086">
        <v>8</v>
      </c>
      <c r="N1086">
        <v>2</v>
      </c>
      <c r="O1086">
        <v>0</v>
      </c>
      <c r="P1086" t="s">
        <v>79</v>
      </c>
      <c r="Q1086">
        <v>3</v>
      </c>
      <c r="R1086">
        <v>0</v>
      </c>
      <c r="S1086" t="s">
        <v>22</v>
      </c>
      <c r="T1086">
        <v>2</v>
      </c>
      <c r="U1086">
        <v>0</v>
      </c>
    </row>
    <row r="1087" spans="1:21" x14ac:dyDescent="0.25">
      <c r="A1087">
        <v>10128132</v>
      </c>
      <c r="B1087" t="s">
        <v>15</v>
      </c>
      <c r="C1087" s="1">
        <v>43448</v>
      </c>
      <c r="D1087" s="2">
        <f>YEAR(C1087)</f>
        <v>2018</v>
      </c>
      <c r="E1087">
        <v>255000</v>
      </c>
      <c r="F1087" t="s">
        <v>85</v>
      </c>
      <c r="G1087">
        <v>1952</v>
      </c>
      <c r="H1087">
        <v>5124</v>
      </c>
      <c r="I1087" t="s">
        <v>186</v>
      </c>
      <c r="J1087">
        <v>76</v>
      </c>
      <c r="K1087">
        <v>60077</v>
      </c>
      <c r="L1087">
        <v>1028</v>
      </c>
      <c r="M1087">
        <v>7</v>
      </c>
      <c r="N1087">
        <v>2</v>
      </c>
      <c r="O1087">
        <v>0</v>
      </c>
      <c r="P1087" t="s">
        <v>79</v>
      </c>
      <c r="Q1087">
        <v>2</v>
      </c>
      <c r="R1087">
        <v>0</v>
      </c>
      <c r="S1087" t="s">
        <v>22</v>
      </c>
      <c r="T1087">
        <v>2</v>
      </c>
      <c r="U1087">
        <v>0</v>
      </c>
    </row>
    <row r="1088" spans="1:21" x14ac:dyDescent="0.25">
      <c r="A1088">
        <v>9869430</v>
      </c>
      <c r="B1088" t="s">
        <v>15</v>
      </c>
      <c r="C1088" s="1">
        <v>43196</v>
      </c>
      <c r="D1088" s="2">
        <f>YEAR(C1088)</f>
        <v>2018</v>
      </c>
      <c r="E1088">
        <v>205000</v>
      </c>
      <c r="F1088" t="s">
        <v>85</v>
      </c>
      <c r="G1088">
        <v>1952</v>
      </c>
      <c r="H1088">
        <v>7540</v>
      </c>
      <c r="I1088" t="s">
        <v>125</v>
      </c>
      <c r="J1088">
        <v>76</v>
      </c>
      <c r="K1088">
        <v>60076</v>
      </c>
      <c r="L1088">
        <v>1025</v>
      </c>
      <c r="M1088">
        <v>5</v>
      </c>
      <c r="N1088">
        <v>1</v>
      </c>
      <c r="O1088">
        <v>1</v>
      </c>
      <c r="P1088" t="s">
        <v>79</v>
      </c>
      <c r="Q1088">
        <v>3</v>
      </c>
      <c r="R1088">
        <v>0</v>
      </c>
      <c r="S1088" t="s">
        <v>22</v>
      </c>
      <c r="T1088">
        <v>2</v>
      </c>
      <c r="U1088">
        <v>0</v>
      </c>
    </row>
    <row r="1089" spans="1:21" x14ac:dyDescent="0.25">
      <c r="A1089">
        <v>9885711</v>
      </c>
      <c r="B1089" t="s">
        <v>15</v>
      </c>
      <c r="C1089" s="1">
        <v>43339</v>
      </c>
      <c r="D1089" s="2">
        <f>YEAR(C1089)</f>
        <v>2018</v>
      </c>
      <c r="E1089">
        <v>560000</v>
      </c>
      <c r="F1089" t="s">
        <v>85</v>
      </c>
      <c r="G1089">
        <v>1953</v>
      </c>
      <c r="H1089">
        <v>4349</v>
      </c>
      <c r="I1089" t="s">
        <v>164</v>
      </c>
      <c r="J1089">
        <v>76</v>
      </c>
      <c r="K1089">
        <v>60076</v>
      </c>
      <c r="L1089">
        <v>3082</v>
      </c>
      <c r="M1089">
        <v>14</v>
      </c>
      <c r="N1089">
        <v>4</v>
      </c>
      <c r="O1089">
        <v>1</v>
      </c>
      <c r="P1089" t="s">
        <v>79</v>
      </c>
      <c r="Q1089">
        <v>4</v>
      </c>
      <c r="R1089">
        <v>0</v>
      </c>
      <c r="S1089" t="s">
        <v>21</v>
      </c>
      <c r="T1089">
        <v>2</v>
      </c>
      <c r="U1089">
        <v>0</v>
      </c>
    </row>
    <row r="1090" spans="1:21" x14ac:dyDescent="0.25">
      <c r="A1090">
        <v>9646457</v>
      </c>
      <c r="B1090" t="s">
        <v>15</v>
      </c>
      <c r="C1090" s="1">
        <v>42978</v>
      </c>
      <c r="D1090" s="2">
        <f>YEAR(C1090)</f>
        <v>2017</v>
      </c>
      <c r="E1090">
        <v>550000</v>
      </c>
      <c r="F1090" t="s">
        <v>85</v>
      </c>
      <c r="G1090">
        <v>1953</v>
      </c>
      <c r="H1090">
        <v>5234</v>
      </c>
      <c r="I1090" t="s">
        <v>450</v>
      </c>
      <c r="J1090">
        <v>76</v>
      </c>
      <c r="K1090">
        <v>60077</v>
      </c>
      <c r="L1090">
        <v>2640</v>
      </c>
      <c r="M1090">
        <v>10</v>
      </c>
      <c r="N1090">
        <v>3</v>
      </c>
      <c r="O1090">
        <v>1</v>
      </c>
      <c r="P1090" t="s">
        <v>79</v>
      </c>
      <c r="Q1090">
        <v>4</v>
      </c>
      <c r="R1090">
        <v>0</v>
      </c>
      <c r="S1090" t="s">
        <v>22</v>
      </c>
      <c r="T1090">
        <v>2</v>
      </c>
      <c r="U1090">
        <v>0</v>
      </c>
    </row>
    <row r="1091" spans="1:21" x14ac:dyDescent="0.25">
      <c r="A1091">
        <v>10008738</v>
      </c>
      <c r="B1091" t="s">
        <v>15</v>
      </c>
      <c r="C1091" s="1">
        <v>43357</v>
      </c>
      <c r="D1091" s="2">
        <f>YEAR(C1091)</f>
        <v>2018</v>
      </c>
      <c r="E1091">
        <v>371500</v>
      </c>
      <c r="F1091" t="s">
        <v>85</v>
      </c>
      <c r="G1091">
        <v>1953</v>
      </c>
      <c r="H1091">
        <v>4025</v>
      </c>
      <c r="I1091" t="s">
        <v>126</v>
      </c>
      <c r="J1091">
        <v>76</v>
      </c>
      <c r="K1091">
        <v>60076</v>
      </c>
      <c r="L1091">
        <v>2300</v>
      </c>
      <c r="M1091">
        <v>10</v>
      </c>
      <c r="N1091">
        <v>2</v>
      </c>
      <c r="O1091">
        <v>0</v>
      </c>
      <c r="P1091" t="s">
        <v>79</v>
      </c>
      <c r="Q1091">
        <v>3</v>
      </c>
      <c r="R1091">
        <v>1</v>
      </c>
      <c r="S1091" t="s">
        <v>22</v>
      </c>
      <c r="T1091">
        <v>2</v>
      </c>
      <c r="U1091">
        <v>0</v>
      </c>
    </row>
    <row r="1092" spans="1:21" x14ac:dyDescent="0.25">
      <c r="A1092">
        <v>9792840</v>
      </c>
      <c r="B1092" t="s">
        <v>15</v>
      </c>
      <c r="C1092" s="1">
        <v>43111</v>
      </c>
      <c r="D1092" s="2">
        <f>YEAR(C1092)</f>
        <v>2018</v>
      </c>
      <c r="E1092">
        <v>405000</v>
      </c>
      <c r="F1092" t="s">
        <v>85</v>
      </c>
      <c r="G1092">
        <v>1953</v>
      </c>
      <c r="H1092">
        <v>5140</v>
      </c>
      <c r="I1092" t="s">
        <v>49</v>
      </c>
      <c r="J1092">
        <v>76</v>
      </c>
      <c r="K1092">
        <v>60077</v>
      </c>
      <c r="L1092">
        <v>2100</v>
      </c>
      <c r="M1092">
        <v>8</v>
      </c>
      <c r="N1092">
        <v>3</v>
      </c>
      <c r="O1092">
        <v>0</v>
      </c>
      <c r="P1092" t="s">
        <v>79</v>
      </c>
      <c r="Q1092">
        <v>3</v>
      </c>
      <c r="R1092">
        <v>0</v>
      </c>
      <c r="S1092" t="s">
        <v>21</v>
      </c>
      <c r="T1092">
        <v>2</v>
      </c>
      <c r="U1092">
        <v>0</v>
      </c>
    </row>
    <row r="1093" spans="1:21" x14ac:dyDescent="0.25">
      <c r="A1093">
        <v>9582645</v>
      </c>
      <c r="B1093" t="s">
        <v>15</v>
      </c>
      <c r="C1093" s="1">
        <v>42935</v>
      </c>
      <c r="D1093" s="2">
        <f>YEAR(C1093)</f>
        <v>2017</v>
      </c>
      <c r="E1093">
        <v>211100</v>
      </c>
      <c r="F1093" t="s">
        <v>85</v>
      </c>
      <c r="G1093">
        <v>1953</v>
      </c>
      <c r="H1093">
        <v>4050</v>
      </c>
      <c r="I1093" t="s">
        <v>198</v>
      </c>
      <c r="J1093">
        <v>76</v>
      </c>
      <c r="K1093">
        <v>60076</v>
      </c>
      <c r="L1093">
        <v>2006</v>
      </c>
      <c r="M1093">
        <v>7</v>
      </c>
      <c r="N1093">
        <v>2</v>
      </c>
      <c r="O1093">
        <v>1</v>
      </c>
      <c r="P1093" t="s">
        <v>79</v>
      </c>
      <c r="Q1093">
        <v>3</v>
      </c>
      <c r="R1093">
        <v>0</v>
      </c>
      <c r="S1093" t="s">
        <v>22</v>
      </c>
      <c r="T1093">
        <v>1</v>
      </c>
      <c r="U1093">
        <v>0</v>
      </c>
    </row>
    <row r="1094" spans="1:21" x14ac:dyDescent="0.25">
      <c r="A1094">
        <v>10033717</v>
      </c>
      <c r="B1094" t="s">
        <v>15</v>
      </c>
      <c r="C1094" s="1">
        <v>43403</v>
      </c>
      <c r="D1094" s="2">
        <f>YEAR(C1094)</f>
        <v>2018</v>
      </c>
      <c r="E1094">
        <v>415000</v>
      </c>
      <c r="F1094" t="s">
        <v>85</v>
      </c>
      <c r="G1094">
        <v>1953</v>
      </c>
      <c r="H1094">
        <v>4050</v>
      </c>
      <c r="I1094" t="s">
        <v>198</v>
      </c>
      <c r="J1094">
        <v>76</v>
      </c>
      <c r="K1094">
        <v>60076</v>
      </c>
      <c r="L1094">
        <v>2006</v>
      </c>
      <c r="M1094">
        <v>9</v>
      </c>
      <c r="N1094">
        <v>3</v>
      </c>
      <c r="O1094">
        <v>0</v>
      </c>
      <c r="P1094" t="s">
        <v>79</v>
      </c>
      <c r="Q1094">
        <v>4</v>
      </c>
      <c r="R1094">
        <v>0</v>
      </c>
      <c r="S1094" t="s">
        <v>22</v>
      </c>
      <c r="T1094">
        <v>1</v>
      </c>
      <c r="U1094">
        <v>0</v>
      </c>
    </row>
    <row r="1095" spans="1:21" x14ac:dyDescent="0.25">
      <c r="A1095">
        <v>9773095</v>
      </c>
      <c r="B1095" t="s">
        <v>15</v>
      </c>
      <c r="C1095" s="1">
        <v>43096</v>
      </c>
      <c r="D1095" s="2">
        <f>YEAR(C1095)</f>
        <v>2017</v>
      </c>
      <c r="E1095">
        <v>469500</v>
      </c>
      <c r="F1095" t="s">
        <v>85</v>
      </c>
      <c r="G1095">
        <v>1953</v>
      </c>
      <c r="H1095">
        <v>8625</v>
      </c>
      <c r="I1095" t="s">
        <v>20</v>
      </c>
      <c r="J1095">
        <v>76</v>
      </c>
      <c r="K1095">
        <v>60077</v>
      </c>
      <c r="L1095">
        <v>1800</v>
      </c>
      <c r="M1095">
        <v>9</v>
      </c>
      <c r="N1095">
        <v>2</v>
      </c>
      <c r="O1095">
        <v>1</v>
      </c>
      <c r="P1095" t="s">
        <v>79</v>
      </c>
      <c r="Q1095">
        <v>2</v>
      </c>
      <c r="R1095">
        <v>1</v>
      </c>
      <c r="S1095" t="s">
        <v>21</v>
      </c>
      <c r="T1095">
        <v>2</v>
      </c>
      <c r="U1095">
        <v>0</v>
      </c>
    </row>
    <row r="1096" spans="1:21" x14ac:dyDescent="0.25">
      <c r="A1096">
        <v>9993633</v>
      </c>
      <c r="B1096" t="s">
        <v>15</v>
      </c>
      <c r="C1096" s="1">
        <v>43325</v>
      </c>
      <c r="D1096" s="2">
        <f>YEAR(C1096)</f>
        <v>2018</v>
      </c>
      <c r="E1096">
        <v>345000</v>
      </c>
      <c r="F1096" t="s">
        <v>85</v>
      </c>
      <c r="G1096">
        <v>1953</v>
      </c>
      <c r="H1096">
        <v>8324</v>
      </c>
      <c r="I1096" t="s">
        <v>60</v>
      </c>
      <c r="J1096">
        <v>76</v>
      </c>
      <c r="K1096">
        <v>60076</v>
      </c>
      <c r="L1096">
        <v>1772</v>
      </c>
      <c r="M1096">
        <v>7</v>
      </c>
      <c r="N1096">
        <v>3</v>
      </c>
      <c r="O1096">
        <v>0</v>
      </c>
      <c r="P1096" t="s">
        <v>79</v>
      </c>
      <c r="Q1096">
        <v>3</v>
      </c>
      <c r="R1096">
        <v>0</v>
      </c>
      <c r="S1096" t="s">
        <v>21</v>
      </c>
      <c r="T1096">
        <v>2</v>
      </c>
      <c r="U1096">
        <v>0</v>
      </c>
    </row>
    <row r="1097" spans="1:21" x14ac:dyDescent="0.25">
      <c r="A1097">
        <v>9738756</v>
      </c>
      <c r="B1097" t="s">
        <v>15</v>
      </c>
      <c r="C1097" s="1">
        <v>43091</v>
      </c>
      <c r="D1097" s="2">
        <f>YEAR(C1097)</f>
        <v>2017</v>
      </c>
      <c r="E1097">
        <v>350000</v>
      </c>
      <c r="F1097" t="s">
        <v>85</v>
      </c>
      <c r="G1097">
        <v>1953</v>
      </c>
      <c r="H1097">
        <v>5322</v>
      </c>
      <c r="I1097" t="s">
        <v>451</v>
      </c>
      <c r="J1097">
        <v>76</v>
      </c>
      <c r="K1097">
        <v>60077</v>
      </c>
      <c r="L1097">
        <v>1400</v>
      </c>
      <c r="M1097">
        <v>8</v>
      </c>
      <c r="N1097">
        <v>2</v>
      </c>
      <c r="O1097">
        <v>0</v>
      </c>
      <c r="P1097" t="s">
        <v>79</v>
      </c>
      <c r="Q1097">
        <v>5</v>
      </c>
      <c r="R1097">
        <v>0</v>
      </c>
      <c r="S1097" t="s">
        <v>22</v>
      </c>
      <c r="T1097">
        <v>2.5</v>
      </c>
      <c r="U1097">
        <v>0</v>
      </c>
    </row>
    <row r="1098" spans="1:21" x14ac:dyDescent="0.25">
      <c r="A1098">
        <v>9695761</v>
      </c>
      <c r="B1098" t="s">
        <v>15</v>
      </c>
      <c r="C1098" s="1">
        <v>42986</v>
      </c>
      <c r="D1098" s="2">
        <f>YEAR(C1098)</f>
        <v>2017</v>
      </c>
      <c r="E1098">
        <v>390000</v>
      </c>
      <c r="F1098" t="s">
        <v>85</v>
      </c>
      <c r="G1098">
        <v>1953</v>
      </c>
      <c r="H1098">
        <v>8723</v>
      </c>
      <c r="I1098" t="s">
        <v>153</v>
      </c>
      <c r="J1098">
        <v>76</v>
      </c>
      <c r="K1098">
        <v>60076</v>
      </c>
      <c r="L1098">
        <v>1345</v>
      </c>
      <c r="M1098">
        <v>6</v>
      </c>
      <c r="N1098">
        <v>2</v>
      </c>
      <c r="O1098">
        <v>1</v>
      </c>
      <c r="P1098" t="s">
        <v>79</v>
      </c>
      <c r="Q1098">
        <v>3</v>
      </c>
      <c r="R1098">
        <v>0</v>
      </c>
      <c r="S1098" t="s">
        <v>22</v>
      </c>
      <c r="T1098">
        <v>1</v>
      </c>
      <c r="U1098">
        <v>0</v>
      </c>
    </row>
    <row r="1099" spans="1:21" x14ac:dyDescent="0.25">
      <c r="A1099">
        <v>9917967</v>
      </c>
      <c r="B1099" t="s">
        <v>15</v>
      </c>
      <c r="C1099" s="1">
        <v>43266</v>
      </c>
      <c r="D1099" s="2">
        <f>YEAR(C1099)</f>
        <v>2018</v>
      </c>
      <c r="E1099">
        <v>360000</v>
      </c>
      <c r="F1099" t="s">
        <v>85</v>
      </c>
      <c r="G1099">
        <v>1953</v>
      </c>
      <c r="H1099">
        <v>8330</v>
      </c>
      <c r="I1099" t="s">
        <v>105</v>
      </c>
      <c r="J1099">
        <v>76</v>
      </c>
      <c r="K1099">
        <v>60076</v>
      </c>
      <c r="L1099">
        <v>1340</v>
      </c>
      <c r="M1099">
        <v>7</v>
      </c>
      <c r="N1099">
        <v>2</v>
      </c>
      <c r="O1099">
        <v>1</v>
      </c>
      <c r="P1099" t="s">
        <v>79</v>
      </c>
      <c r="Q1099">
        <v>2</v>
      </c>
      <c r="R1099">
        <v>0</v>
      </c>
      <c r="S1099" t="s">
        <v>21</v>
      </c>
      <c r="T1099">
        <v>1.5</v>
      </c>
      <c r="U1099">
        <v>0</v>
      </c>
    </row>
    <row r="1100" spans="1:21" x14ac:dyDescent="0.25">
      <c r="A1100">
        <v>10030585</v>
      </c>
      <c r="B1100" t="s">
        <v>15</v>
      </c>
      <c r="C1100" s="1">
        <v>43495</v>
      </c>
      <c r="D1100" s="2">
        <f>YEAR(C1100)</f>
        <v>2019</v>
      </c>
      <c r="E1100">
        <v>347500</v>
      </c>
      <c r="F1100" t="s">
        <v>85</v>
      </c>
      <c r="G1100">
        <v>1953</v>
      </c>
      <c r="H1100">
        <v>3617</v>
      </c>
      <c r="I1100" t="s">
        <v>452</v>
      </c>
      <c r="J1100">
        <v>76</v>
      </c>
      <c r="K1100">
        <v>60076</v>
      </c>
      <c r="L1100">
        <v>1340</v>
      </c>
      <c r="M1100">
        <v>9</v>
      </c>
      <c r="N1100">
        <v>3</v>
      </c>
      <c r="O1100">
        <v>0</v>
      </c>
      <c r="P1100" t="s">
        <v>79</v>
      </c>
      <c r="Q1100">
        <v>3</v>
      </c>
      <c r="R1100">
        <v>1</v>
      </c>
      <c r="S1100" t="s">
        <v>19</v>
      </c>
      <c r="T1100">
        <v>0</v>
      </c>
      <c r="U1100">
        <v>0</v>
      </c>
    </row>
    <row r="1101" spans="1:21" x14ac:dyDescent="0.25">
      <c r="A1101">
        <v>9590710</v>
      </c>
      <c r="B1101" t="s">
        <v>15</v>
      </c>
      <c r="C1101" s="1">
        <v>42878</v>
      </c>
      <c r="D1101" s="2">
        <f>YEAR(C1101)</f>
        <v>2017</v>
      </c>
      <c r="E1101">
        <v>283000</v>
      </c>
      <c r="F1101" t="s">
        <v>85</v>
      </c>
      <c r="G1101">
        <v>1953</v>
      </c>
      <c r="H1101">
        <v>5330</v>
      </c>
      <c r="I1101" t="s">
        <v>453</v>
      </c>
      <c r="J1101">
        <v>76</v>
      </c>
      <c r="K1101">
        <v>60077</v>
      </c>
      <c r="L1101">
        <v>1314</v>
      </c>
      <c r="M1101">
        <v>10</v>
      </c>
      <c r="N1101">
        <v>1</v>
      </c>
      <c r="O1101">
        <v>1</v>
      </c>
      <c r="P1101" t="s">
        <v>79</v>
      </c>
      <c r="Q1101">
        <v>3</v>
      </c>
      <c r="R1101">
        <v>1</v>
      </c>
      <c r="S1101" t="s">
        <v>22</v>
      </c>
      <c r="T1101">
        <v>2</v>
      </c>
      <c r="U1101">
        <v>0</v>
      </c>
    </row>
    <row r="1102" spans="1:21" x14ac:dyDescent="0.25">
      <c r="A1102">
        <v>9902692</v>
      </c>
      <c r="B1102" t="s">
        <v>15</v>
      </c>
      <c r="C1102" s="1">
        <v>43241</v>
      </c>
      <c r="D1102" s="2">
        <f>YEAR(C1102)</f>
        <v>2018</v>
      </c>
      <c r="E1102">
        <v>314000</v>
      </c>
      <c r="F1102" t="s">
        <v>85</v>
      </c>
      <c r="G1102">
        <v>1953</v>
      </c>
      <c r="H1102">
        <v>4035</v>
      </c>
      <c r="I1102" t="s">
        <v>445</v>
      </c>
      <c r="J1102">
        <v>76</v>
      </c>
      <c r="K1102">
        <v>60076</v>
      </c>
      <c r="L1102">
        <v>1300</v>
      </c>
      <c r="M1102">
        <v>7</v>
      </c>
      <c r="N1102">
        <v>2</v>
      </c>
      <c r="O1102">
        <v>0</v>
      </c>
      <c r="P1102" t="s">
        <v>79</v>
      </c>
      <c r="Q1102">
        <v>3</v>
      </c>
      <c r="R1102">
        <v>0</v>
      </c>
      <c r="S1102" t="s">
        <v>21</v>
      </c>
      <c r="T1102">
        <v>1</v>
      </c>
      <c r="U1102">
        <v>0</v>
      </c>
    </row>
    <row r="1103" spans="1:21" x14ac:dyDescent="0.25">
      <c r="A1103">
        <v>9814424</v>
      </c>
      <c r="B1103" t="s">
        <v>15</v>
      </c>
      <c r="C1103" s="1">
        <v>43208</v>
      </c>
      <c r="D1103" s="2">
        <f>YEAR(C1103)</f>
        <v>2018</v>
      </c>
      <c r="E1103">
        <v>310000</v>
      </c>
      <c r="F1103" t="s">
        <v>85</v>
      </c>
      <c r="G1103">
        <v>1953</v>
      </c>
      <c r="H1103">
        <v>8442</v>
      </c>
      <c r="I1103" t="s">
        <v>153</v>
      </c>
      <c r="J1103">
        <v>76</v>
      </c>
      <c r="K1103">
        <v>60076</v>
      </c>
      <c r="L1103">
        <v>1280</v>
      </c>
      <c r="M1103">
        <v>8</v>
      </c>
      <c r="N1103">
        <v>2</v>
      </c>
      <c r="O1103">
        <v>0</v>
      </c>
      <c r="P1103" t="s">
        <v>79</v>
      </c>
      <c r="Q1103">
        <v>3</v>
      </c>
      <c r="R1103">
        <v>0</v>
      </c>
      <c r="S1103" t="s">
        <v>19</v>
      </c>
      <c r="T1103">
        <v>0</v>
      </c>
      <c r="U1103">
        <v>0</v>
      </c>
    </row>
    <row r="1104" spans="1:21" x14ac:dyDescent="0.25">
      <c r="A1104">
        <v>10077538</v>
      </c>
      <c r="B1104" t="s">
        <v>15</v>
      </c>
      <c r="C1104" s="1">
        <v>43398</v>
      </c>
      <c r="D1104" s="2">
        <f>YEAR(C1104)</f>
        <v>2018</v>
      </c>
      <c r="E1104">
        <v>275000</v>
      </c>
      <c r="F1104" t="s">
        <v>85</v>
      </c>
      <c r="G1104">
        <v>1953</v>
      </c>
      <c r="H1104">
        <v>8312</v>
      </c>
      <c r="I1104" t="s">
        <v>108</v>
      </c>
      <c r="J1104">
        <v>76</v>
      </c>
      <c r="K1104">
        <v>60076</v>
      </c>
      <c r="L1104">
        <v>1248</v>
      </c>
      <c r="M1104">
        <v>7</v>
      </c>
      <c r="N1104">
        <v>2</v>
      </c>
      <c r="O1104">
        <v>0</v>
      </c>
      <c r="P1104" t="s">
        <v>79</v>
      </c>
      <c r="Q1104">
        <v>2</v>
      </c>
      <c r="R1104">
        <v>1</v>
      </c>
      <c r="S1104" t="s">
        <v>21</v>
      </c>
      <c r="T1104">
        <v>1</v>
      </c>
      <c r="U1104">
        <v>0</v>
      </c>
    </row>
    <row r="1105" spans="1:21" x14ac:dyDescent="0.25">
      <c r="A1105">
        <v>9853914</v>
      </c>
      <c r="B1105" t="s">
        <v>15</v>
      </c>
      <c r="C1105" s="1">
        <v>43235</v>
      </c>
      <c r="D1105" s="2">
        <f>YEAR(C1105)</f>
        <v>2018</v>
      </c>
      <c r="E1105">
        <v>275000</v>
      </c>
      <c r="F1105" t="s">
        <v>85</v>
      </c>
      <c r="G1105">
        <v>1953</v>
      </c>
      <c r="H1105">
        <v>5336</v>
      </c>
      <c r="I1105" t="s">
        <v>151</v>
      </c>
      <c r="J1105">
        <v>76</v>
      </c>
      <c r="K1105">
        <v>60077</v>
      </c>
      <c r="L1105">
        <v>1241</v>
      </c>
      <c r="M1105">
        <v>6</v>
      </c>
      <c r="N1105">
        <v>1</v>
      </c>
      <c r="O1105">
        <v>1</v>
      </c>
      <c r="P1105" t="s">
        <v>79</v>
      </c>
      <c r="Q1105">
        <v>3</v>
      </c>
      <c r="R1105">
        <v>0</v>
      </c>
      <c r="S1105" t="s">
        <v>22</v>
      </c>
      <c r="T1105">
        <v>2</v>
      </c>
      <c r="U1105">
        <v>0</v>
      </c>
    </row>
    <row r="1106" spans="1:21" x14ac:dyDescent="0.25">
      <c r="A1106">
        <v>9492427</v>
      </c>
      <c r="B1106" t="s">
        <v>15</v>
      </c>
      <c r="C1106" s="1">
        <v>42912</v>
      </c>
      <c r="D1106" s="2">
        <f>YEAR(C1106)</f>
        <v>2017</v>
      </c>
      <c r="E1106">
        <v>275000</v>
      </c>
      <c r="F1106" t="s">
        <v>85</v>
      </c>
      <c r="G1106">
        <v>1953</v>
      </c>
      <c r="H1106">
        <v>8052</v>
      </c>
      <c r="I1106" t="s">
        <v>241</v>
      </c>
      <c r="J1106">
        <v>76</v>
      </c>
      <c r="K1106">
        <v>60076</v>
      </c>
      <c r="L1106">
        <v>1158</v>
      </c>
      <c r="M1106">
        <v>7</v>
      </c>
      <c r="N1106">
        <v>2</v>
      </c>
      <c r="O1106">
        <v>0</v>
      </c>
      <c r="P1106" t="s">
        <v>79</v>
      </c>
      <c r="Q1106">
        <v>3</v>
      </c>
      <c r="R1106">
        <v>0</v>
      </c>
      <c r="S1106" t="s">
        <v>19</v>
      </c>
      <c r="T1106">
        <v>0</v>
      </c>
      <c r="U1106">
        <v>0</v>
      </c>
    </row>
    <row r="1107" spans="1:21" x14ac:dyDescent="0.25">
      <c r="A1107">
        <v>9798742</v>
      </c>
      <c r="B1107" t="s">
        <v>15</v>
      </c>
      <c r="C1107" s="1">
        <v>43159</v>
      </c>
      <c r="D1107" s="2">
        <f>YEAR(C1107)</f>
        <v>2018</v>
      </c>
      <c r="E1107">
        <v>360000</v>
      </c>
      <c r="F1107" t="s">
        <v>85</v>
      </c>
      <c r="G1107">
        <v>1953</v>
      </c>
      <c r="H1107">
        <v>3851</v>
      </c>
      <c r="I1107" t="s">
        <v>198</v>
      </c>
      <c r="J1107">
        <v>76</v>
      </c>
      <c r="K1107">
        <v>60076</v>
      </c>
      <c r="L1107">
        <v>1092</v>
      </c>
      <c r="M1107">
        <v>8</v>
      </c>
      <c r="N1107">
        <v>2</v>
      </c>
      <c r="O1107">
        <v>0</v>
      </c>
      <c r="P1107" t="s">
        <v>79</v>
      </c>
      <c r="Q1107">
        <v>3</v>
      </c>
      <c r="R1107">
        <v>1</v>
      </c>
      <c r="S1107" t="s">
        <v>22</v>
      </c>
      <c r="T1107">
        <v>2</v>
      </c>
      <c r="U1107">
        <v>0</v>
      </c>
    </row>
    <row r="1108" spans="1:21" x14ac:dyDescent="0.25">
      <c r="A1108">
        <v>9397796</v>
      </c>
      <c r="B1108" t="s">
        <v>15</v>
      </c>
      <c r="C1108" s="1">
        <v>42808</v>
      </c>
      <c r="D1108" s="2">
        <f>YEAR(C1108)</f>
        <v>2017</v>
      </c>
      <c r="E1108">
        <v>265000</v>
      </c>
      <c r="F1108" t="s">
        <v>85</v>
      </c>
      <c r="G1108">
        <v>1953</v>
      </c>
      <c r="H1108">
        <v>8150</v>
      </c>
      <c r="I1108" t="s">
        <v>130</v>
      </c>
      <c r="J1108">
        <v>76</v>
      </c>
      <c r="K1108">
        <v>60076</v>
      </c>
      <c r="L1108">
        <v>1060</v>
      </c>
      <c r="M1108">
        <v>8</v>
      </c>
      <c r="N1108">
        <v>2</v>
      </c>
      <c r="O1108">
        <v>0</v>
      </c>
      <c r="P1108" t="s">
        <v>79</v>
      </c>
      <c r="Q1108">
        <v>3</v>
      </c>
      <c r="R1108">
        <v>1</v>
      </c>
      <c r="S1108" t="s">
        <v>22</v>
      </c>
      <c r="T1108">
        <v>2</v>
      </c>
      <c r="U1108">
        <v>0</v>
      </c>
    </row>
    <row r="1109" spans="1:21" x14ac:dyDescent="0.25">
      <c r="A1109">
        <v>9603368</v>
      </c>
      <c r="B1109" t="s">
        <v>15</v>
      </c>
      <c r="C1109" s="1">
        <v>42892</v>
      </c>
      <c r="D1109" s="2">
        <f>YEAR(C1109)</f>
        <v>2017</v>
      </c>
      <c r="E1109">
        <v>260000</v>
      </c>
      <c r="F1109" t="s">
        <v>85</v>
      </c>
      <c r="G1109">
        <v>1953</v>
      </c>
      <c r="H1109">
        <v>7426</v>
      </c>
      <c r="I1109" t="s">
        <v>152</v>
      </c>
      <c r="J1109">
        <v>76</v>
      </c>
      <c r="K1109">
        <v>60076</v>
      </c>
      <c r="L1109">
        <v>1020</v>
      </c>
      <c r="M1109">
        <v>6</v>
      </c>
      <c r="N1109">
        <v>2</v>
      </c>
      <c r="O1109">
        <v>0</v>
      </c>
      <c r="P1109" t="s">
        <v>79</v>
      </c>
      <c r="Q1109">
        <v>2</v>
      </c>
      <c r="R1109">
        <v>0</v>
      </c>
      <c r="S1109" t="s">
        <v>22</v>
      </c>
      <c r="T1109">
        <v>2.5</v>
      </c>
      <c r="U1109">
        <v>0</v>
      </c>
    </row>
    <row r="1110" spans="1:21" x14ac:dyDescent="0.25">
      <c r="A1110">
        <v>9579948</v>
      </c>
      <c r="B1110" t="s">
        <v>15</v>
      </c>
      <c r="C1110" s="1">
        <v>42908</v>
      </c>
      <c r="D1110" s="2">
        <f>YEAR(C1110)</f>
        <v>2017</v>
      </c>
      <c r="E1110">
        <v>279000</v>
      </c>
      <c r="F1110" t="s">
        <v>85</v>
      </c>
      <c r="G1110">
        <v>1953</v>
      </c>
      <c r="H1110">
        <v>3639</v>
      </c>
      <c r="I1110" t="s">
        <v>256</v>
      </c>
      <c r="J1110">
        <v>76</v>
      </c>
      <c r="K1110">
        <v>60076</v>
      </c>
      <c r="L1110">
        <v>1000</v>
      </c>
      <c r="M1110">
        <v>5</v>
      </c>
      <c r="N1110">
        <v>2</v>
      </c>
      <c r="O1110">
        <v>0</v>
      </c>
      <c r="P1110" t="s">
        <v>79</v>
      </c>
      <c r="Q1110">
        <v>2</v>
      </c>
      <c r="R1110">
        <v>0</v>
      </c>
      <c r="S1110" t="s">
        <v>19</v>
      </c>
      <c r="T1110">
        <v>0</v>
      </c>
      <c r="U1110">
        <v>0</v>
      </c>
    </row>
    <row r="1111" spans="1:21" x14ac:dyDescent="0.25">
      <c r="A1111">
        <v>9877114</v>
      </c>
      <c r="B1111" t="s">
        <v>15</v>
      </c>
      <c r="C1111" s="1">
        <v>43423</v>
      </c>
      <c r="D1111" s="2">
        <f>YEAR(C1111)</f>
        <v>2018</v>
      </c>
      <c r="E1111">
        <v>645000</v>
      </c>
      <c r="F1111" t="s">
        <v>85</v>
      </c>
      <c r="G1111">
        <v>1954</v>
      </c>
      <c r="H1111">
        <v>8727</v>
      </c>
      <c r="I1111" t="s">
        <v>135</v>
      </c>
      <c r="J1111">
        <v>76</v>
      </c>
      <c r="K1111">
        <v>60076</v>
      </c>
      <c r="L1111">
        <v>3650</v>
      </c>
      <c r="M1111">
        <v>13</v>
      </c>
      <c r="N1111">
        <v>4</v>
      </c>
      <c r="O1111">
        <v>1</v>
      </c>
      <c r="P1111" t="s">
        <v>79</v>
      </c>
      <c r="Q1111">
        <v>5</v>
      </c>
      <c r="R1111">
        <v>2</v>
      </c>
      <c r="S1111" t="s">
        <v>21</v>
      </c>
      <c r="T1111">
        <v>3</v>
      </c>
      <c r="U1111">
        <v>0</v>
      </c>
    </row>
    <row r="1112" spans="1:21" x14ac:dyDescent="0.25">
      <c r="A1112">
        <v>9925110</v>
      </c>
      <c r="B1112" t="s">
        <v>15</v>
      </c>
      <c r="C1112" s="1">
        <v>43270</v>
      </c>
      <c r="D1112" s="2">
        <f>YEAR(C1112)</f>
        <v>2018</v>
      </c>
      <c r="E1112">
        <v>410000</v>
      </c>
      <c r="F1112" t="s">
        <v>85</v>
      </c>
      <c r="G1112">
        <v>1954</v>
      </c>
      <c r="H1112">
        <v>5248</v>
      </c>
      <c r="I1112" t="s">
        <v>74</v>
      </c>
      <c r="J1112">
        <v>76</v>
      </c>
      <c r="K1112">
        <v>60077</v>
      </c>
      <c r="L1112">
        <v>3140</v>
      </c>
      <c r="M1112">
        <v>8</v>
      </c>
      <c r="N1112">
        <v>3</v>
      </c>
      <c r="O1112">
        <v>0</v>
      </c>
      <c r="P1112" t="s">
        <v>79</v>
      </c>
      <c r="Q1112">
        <v>3</v>
      </c>
      <c r="R1112">
        <v>1</v>
      </c>
      <c r="S1112" t="s">
        <v>21</v>
      </c>
      <c r="T1112">
        <v>2</v>
      </c>
      <c r="U1112">
        <v>0</v>
      </c>
    </row>
    <row r="1113" spans="1:21" x14ac:dyDescent="0.25">
      <c r="A1113">
        <v>9846565</v>
      </c>
      <c r="B1113" t="s">
        <v>15</v>
      </c>
      <c r="C1113" s="1">
        <v>43175</v>
      </c>
      <c r="D1113" s="2">
        <f>YEAR(C1113)</f>
        <v>2018</v>
      </c>
      <c r="E1113">
        <v>490000</v>
      </c>
      <c r="F1113" t="s">
        <v>85</v>
      </c>
      <c r="G1113">
        <v>1954</v>
      </c>
      <c r="H1113">
        <v>8700</v>
      </c>
      <c r="I1113" t="s">
        <v>165</v>
      </c>
      <c r="J1113">
        <v>76</v>
      </c>
      <c r="K1113">
        <v>60076</v>
      </c>
      <c r="L1113">
        <v>2980</v>
      </c>
      <c r="M1113">
        <v>9</v>
      </c>
      <c r="N1113">
        <v>3</v>
      </c>
      <c r="O1113">
        <v>1</v>
      </c>
      <c r="P1113" t="s">
        <v>79</v>
      </c>
      <c r="Q1113">
        <v>3</v>
      </c>
      <c r="R1113">
        <v>0</v>
      </c>
      <c r="S1113" t="s">
        <v>22</v>
      </c>
      <c r="T1113">
        <v>1</v>
      </c>
      <c r="U1113">
        <v>0</v>
      </c>
    </row>
    <row r="1114" spans="1:21" x14ac:dyDescent="0.25">
      <c r="A1114">
        <v>9966423</v>
      </c>
      <c r="B1114" t="s">
        <v>15</v>
      </c>
      <c r="C1114" s="1">
        <v>43294</v>
      </c>
      <c r="D1114" s="2">
        <f>YEAR(C1114)</f>
        <v>2018</v>
      </c>
      <c r="E1114">
        <v>460000</v>
      </c>
      <c r="F1114" t="s">
        <v>85</v>
      </c>
      <c r="G1114">
        <v>1954</v>
      </c>
      <c r="H1114">
        <v>7215</v>
      </c>
      <c r="I1114" t="s">
        <v>454</v>
      </c>
      <c r="J1114">
        <v>76</v>
      </c>
      <c r="K1114">
        <v>60077</v>
      </c>
      <c r="L1114">
        <v>2900</v>
      </c>
      <c r="M1114">
        <v>8</v>
      </c>
      <c r="N1114">
        <v>2</v>
      </c>
      <c r="O1114">
        <v>1</v>
      </c>
      <c r="P1114" t="s">
        <v>79</v>
      </c>
      <c r="Q1114">
        <v>3</v>
      </c>
      <c r="R1114">
        <v>1</v>
      </c>
      <c r="S1114" t="s">
        <v>22</v>
      </c>
      <c r="T1114">
        <v>2</v>
      </c>
      <c r="U1114">
        <v>0</v>
      </c>
    </row>
    <row r="1115" spans="1:21" x14ac:dyDescent="0.25">
      <c r="A1115">
        <v>9640042</v>
      </c>
      <c r="B1115" t="s">
        <v>15</v>
      </c>
      <c r="C1115" s="1">
        <v>43080</v>
      </c>
      <c r="D1115" s="2">
        <f>YEAR(C1115)</f>
        <v>2017</v>
      </c>
      <c r="E1115">
        <v>450000</v>
      </c>
      <c r="F1115" t="s">
        <v>85</v>
      </c>
      <c r="G1115">
        <v>1954</v>
      </c>
      <c r="H1115">
        <v>5038</v>
      </c>
      <c r="I1115" t="s">
        <v>194</v>
      </c>
      <c r="J1115">
        <v>76</v>
      </c>
      <c r="K1115">
        <v>60077</v>
      </c>
      <c r="L1115">
        <v>2300</v>
      </c>
      <c r="M1115">
        <v>8</v>
      </c>
      <c r="N1115">
        <v>3</v>
      </c>
      <c r="O1115">
        <v>0</v>
      </c>
      <c r="P1115" t="s">
        <v>79</v>
      </c>
      <c r="Q1115">
        <v>3</v>
      </c>
      <c r="R1115">
        <v>1</v>
      </c>
      <c r="S1115" t="s">
        <v>22</v>
      </c>
      <c r="T1115">
        <v>2</v>
      </c>
      <c r="U1115">
        <v>0</v>
      </c>
    </row>
    <row r="1116" spans="1:21" x14ac:dyDescent="0.25">
      <c r="A1116">
        <v>9712765</v>
      </c>
      <c r="B1116" t="s">
        <v>15</v>
      </c>
      <c r="C1116" s="1">
        <v>43039</v>
      </c>
      <c r="D1116" s="2">
        <f>YEAR(C1116)</f>
        <v>2017</v>
      </c>
      <c r="E1116">
        <v>362000</v>
      </c>
      <c r="F1116" t="s">
        <v>85</v>
      </c>
      <c r="G1116">
        <v>1954</v>
      </c>
      <c r="H1116">
        <v>5024</v>
      </c>
      <c r="I1116" t="s">
        <v>203</v>
      </c>
      <c r="J1116">
        <v>76</v>
      </c>
      <c r="K1116">
        <v>60077</v>
      </c>
      <c r="L1116">
        <v>1820</v>
      </c>
      <c r="M1116">
        <v>9</v>
      </c>
      <c r="N1116">
        <v>3</v>
      </c>
      <c r="O1116">
        <v>0</v>
      </c>
      <c r="P1116" t="s">
        <v>79</v>
      </c>
      <c r="Q1116">
        <v>4</v>
      </c>
      <c r="R1116">
        <v>0</v>
      </c>
      <c r="S1116" t="s">
        <v>21</v>
      </c>
      <c r="T1116">
        <v>2</v>
      </c>
      <c r="U1116">
        <v>0</v>
      </c>
    </row>
    <row r="1117" spans="1:21" x14ac:dyDescent="0.25">
      <c r="A1117">
        <v>9783076</v>
      </c>
      <c r="B1117" t="s">
        <v>15</v>
      </c>
      <c r="C1117" s="1">
        <v>43105</v>
      </c>
      <c r="D1117" s="2">
        <f>YEAR(C1117)</f>
        <v>2018</v>
      </c>
      <c r="E1117">
        <v>389000</v>
      </c>
      <c r="F1117" t="s">
        <v>85</v>
      </c>
      <c r="G1117">
        <v>1954</v>
      </c>
      <c r="H1117">
        <v>3857</v>
      </c>
      <c r="I1117" t="s">
        <v>274</v>
      </c>
      <c r="J1117">
        <v>76</v>
      </c>
      <c r="K1117">
        <v>60076</v>
      </c>
      <c r="L1117">
        <v>1816</v>
      </c>
      <c r="M1117">
        <v>8</v>
      </c>
      <c r="N1117">
        <v>3</v>
      </c>
      <c r="O1117">
        <v>1</v>
      </c>
      <c r="P1117" t="s">
        <v>79</v>
      </c>
      <c r="Q1117">
        <v>4</v>
      </c>
      <c r="R1117">
        <v>1</v>
      </c>
      <c r="S1117" t="s">
        <v>22</v>
      </c>
      <c r="T1117">
        <v>2.5</v>
      </c>
      <c r="U1117">
        <v>0</v>
      </c>
    </row>
    <row r="1118" spans="1:21" x14ac:dyDescent="0.25">
      <c r="A1118">
        <v>10013110</v>
      </c>
      <c r="B1118" t="s">
        <v>15</v>
      </c>
      <c r="C1118" s="1">
        <v>43339</v>
      </c>
      <c r="D1118" s="2">
        <f>YEAR(C1118)</f>
        <v>2018</v>
      </c>
      <c r="E1118">
        <v>335000</v>
      </c>
      <c r="F1118" t="s">
        <v>85</v>
      </c>
      <c r="G1118">
        <v>1954</v>
      </c>
      <c r="H1118">
        <v>8504</v>
      </c>
      <c r="I1118" t="s">
        <v>71</v>
      </c>
      <c r="J1118">
        <v>76</v>
      </c>
      <c r="K1118">
        <v>60077</v>
      </c>
      <c r="L1118">
        <v>1782</v>
      </c>
      <c r="M1118">
        <v>7</v>
      </c>
      <c r="N1118">
        <v>2</v>
      </c>
      <c r="O1118">
        <v>1</v>
      </c>
      <c r="P1118" t="s">
        <v>79</v>
      </c>
      <c r="Q1118">
        <v>4</v>
      </c>
      <c r="R1118">
        <v>0</v>
      </c>
      <c r="S1118" t="s">
        <v>22</v>
      </c>
      <c r="T1118">
        <v>2.5</v>
      </c>
      <c r="U1118">
        <v>0</v>
      </c>
    </row>
    <row r="1119" spans="1:21" x14ac:dyDescent="0.25">
      <c r="A1119">
        <v>9891572</v>
      </c>
      <c r="B1119" t="s">
        <v>15</v>
      </c>
      <c r="C1119" s="1">
        <v>43278</v>
      </c>
      <c r="D1119" s="2">
        <f>YEAR(C1119)</f>
        <v>2018</v>
      </c>
      <c r="E1119">
        <v>310000</v>
      </c>
      <c r="F1119" t="s">
        <v>85</v>
      </c>
      <c r="G1119">
        <v>1954</v>
      </c>
      <c r="H1119">
        <v>5306</v>
      </c>
      <c r="I1119" t="s">
        <v>453</v>
      </c>
      <c r="J1119">
        <v>76</v>
      </c>
      <c r="K1119">
        <v>60077</v>
      </c>
      <c r="L1119">
        <v>1748</v>
      </c>
      <c r="M1119">
        <v>7</v>
      </c>
      <c r="N1119">
        <v>1</v>
      </c>
      <c r="O1119">
        <v>1</v>
      </c>
      <c r="P1119" t="s">
        <v>79</v>
      </c>
      <c r="Q1119">
        <v>3</v>
      </c>
      <c r="R1119">
        <v>0</v>
      </c>
      <c r="S1119" t="s">
        <v>22</v>
      </c>
      <c r="T1119">
        <v>2</v>
      </c>
      <c r="U1119">
        <v>0</v>
      </c>
    </row>
    <row r="1120" spans="1:21" x14ac:dyDescent="0.25">
      <c r="A1120">
        <v>9715003</v>
      </c>
      <c r="B1120" t="s">
        <v>15</v>
      </c>
      <c r="C1120" s="1">
        <v>43220</v>
      </c>
      <c r="D1120" s="2">
        <f>YEAR(C1120)</f>
        <v>2018</v>
      </c>
      <c r="E1120">
        <v>325000</v>
      </c>
      <c r="F1120" t="s">
        <v>85</v>
      </c>
      <c r="G1120">
        <v>1954</v>
      </c>
      <c r="H1120">
        <v>8345</v>
      </c>
      <c r="I1120" t="s">
        <v>125</v>
      </c>
      <c r="J1120">
        <v>76</v>
      </c>
      <c r="K1120">
        <v>60076</v>
      </c>
      <c r="L1120">
        <v>1713</v>
      </c>
      <c r="M1120">
        <v>8</v>
      </c>
      <c r="N1120">
        <v>3</v>
      </c>
      <c r="O1120">
        <v>0</v>
      </c>
      <c r="P1120" t="s">
        <v>79</v>
      </c>
      <c r="Q1120">
        <v>4</v>
      </c>
      <c r="R1120">
        <v>0</v>
      </c>
      <c r="S1120" t="s">
        <v>22</v>
      </c>
      <c r="T1120">
        <v>2</v>
      </c>
      <c r="U1120">
        <v>0</v>
      </c>
    </row>
    <row r="1121" spans="1:21" x14ac:dyDescent="0.25">
      <c r="A1121">
        <v>9858571</v>
      </c>
      <c r="B1121" t="s">
        <v>15</v>
      </c>
      <c r="C1121" s="1">
        <v>43262</v>
      </c>
      <c r="D1121" s="2">
        <f>YEAR(C1121)</f>
        <v>2018</v>
      </c>
      <c r="E1121">
        <v>485000</v>
      </c>
      <c r="F1121" t="s">
        <v>85</v>
      </c>
      <c r="G1121">
        <v>1954</v>
      </c>
      <c r="H1121">
        <v>5123</v>
      </c>
      <c r="I1121" t="s">
        <v>194</v>
      </c>
      <c r="J1121">
        <v>76</v>
      </c>
      <c r="K1121">
        <v>60077</v>
      </c>
      <c r="L1121">
        <v>1700</v>
      </c>
      <c r="M1121">
        <v>9</v>
      </c>
      <c r="N1121">
        <v>3</v>
      </c>
      <c r="O1121">
        <v>0</v>
      </c>
      <c r="P1121" t="s">
        <v>79</v>
      </c>
      <c r="Q1121">
        <v>3</v>
      </c>
      <c r="R1121">
        <v>0</v>
      </c>
      <c r="S1121" t="s">
        <v>21</v>
      </c>
      <c r="T1121">
        <v>1</v>
      </c>
      <c r="U1121">
        <v>0</v>
      </c>
    </row>
    <row r="1122" spans="1:21" x14ac:dyDescent="0.25">
      <c r="A1122">
        <v>10018924</v>
      </c>
      <c r="B1122" t="s">
        <v>15</v>
      </c>
      <c r="C1122" s="1">
        <v>43341</v>
      </c>
      <c r="D1122" s="2">
        <f>YEAR(C1122)</f>
        <v>2018</v>
      </c>
      <c r="E1122">
        <v>339000</v>
      </c>
      <c r="F1122" t="s">
        <v>85</v>
      </c>
      <c r="G1122">
        <v>1954</v>
      </c>
      <c r="H1122">
        <v>8037</v>
      </c>
      <c r="I1122" t="s">
        <v>98</v>
      </c>
      <c r="J1122">
        <v>76</v>
      </c>
      <c r="K1122">
        <v>60076</v>
      </c>
      <c r="L1122">
        <v>1600</v>
      </c>
      <c r="M1122">
        <v>9</v>
      </c>
      <c r="N1122">
        <v>2</v>
      </c>
      <c r="O1122">
        <v>0</v>
      </c>
      <c r="P1122" t="s">
        <v>79</v>
      </c>
      <c r="Q1122">
        <v>3</v>
      </c>
      <c r="R1122">
        <v>0</v>
      </c>
      <c r="S1122" t="s">
        <v>19</v>
      </c>
      <c r="T1122">
        <v>0</v>
      </c>
      <c r="U1122">
        <v>0</v>
      </c>
    </row>
    <row r="1123" spans="1:21" x14ac:dyDescent="0.25">
      <c r="A1123">
        <v>9956701</v>
      </c>
      <c r="B1123" t="s">
        <v>15</v>
      </c>
      <c r="C1123" s="1">
        <v>43389</v>
      </c>
      <c r="D1123" s="2">
        <f>YEAR(C1123)</f>
        <v>2018</v>
      </c>
      <c r="E1123">
        <v>355000</v>
      </c>
      <c r="F1123" t="s">
        <v>85</v>
      </c>
      <c r="G1123">
        <v>1954</v>
      </c>
      <c r="H1123">
        <v>8048</v>
      </c>
      <c r="I1123" t="s">
        <v>33</v>
      </c>
      <c r="J1123">
        <v>76</v>
      </c>
      <c r="K1123">
        <v>60077</v>
      </c>
      <c r="L1123">
        <v>1502</v>
      </c>
      <c r="M1123">
        <v>8</v>
      </c>
      <c r="N1123">
        <v>2</v>
      </c>
      <c r="O1123">
        <v>1</v>
      </c>
      <c r="P1123" t="s">
        <v>79</v>
      </c>
      <c r="Q1123">
        <v>3</v>
      </c>
      <c r="R1123">
        <v>0</v>
      </c>
      <c r="S1123" t="s">
        <v>22</v>
      </c>
      <c r="T1123">
        <v>2</v>
      </c>
      <c r="U1123">
        <v>0</v>
      </c>
    </row>
    <row r="1124" spans="1:21" x14ac:dyDescent="0.25">
      <c r="A1124">
        <v>9730754</v>
      </c>
      <c r="B1124" t="s">
        <v>15</v>
      </c>
      <c r="C1124" s="1">
        <v>43133</v>
      </c>
      <c r="D1124" s="2">
        <f>YEAR(C1124)</f>
        <v>2018</v>
      </c>
      <c r="E1124">
        <v>320000</v>
      </c>
      <c r="F1124" t="s">
        <v>85</v>
      </c>
      <c r="G1124">
        <v>1954</v>
      </c>
      <c r="H1124">
        <v>3407</v>
      </c>
      <c r="I1124" t="s">
        <v>455</v>
      </c>
      <c r="J1124">
        <v>76</v>
      </c>
      <c r="K1124">
        <v>60076</v>
      </c>
      <c r="L1124">
        <v>1500</v>
      </c>
      <c r="M1124">
        <v>9</v>
      </c>
      <c r="N1124">
        <v>3</v>
      </c>
      <c r="O1124">
        <v>0</v>
      </c>
      <c r="P1124" t="s">
        <v>79</v>
      </c>
      <c r="Q1124">
        <v>3</v>
      </c>
      <c r="R1124">
        <v>1</v>
      </c>
      <c r="S1124" t="s">
        <v>21</v>
      </c>
      <c r="T1124">
        <v>2</v>
      </c>
      <c r="U1124">
        <v>0</v>
      </c>
    </row>
    <row r="1125" spans="1:21" x14ac:dyDescent="0.25">
      <c r="A1125">
        <v>9868902</v>
      </c>
      <c r="B1125" t="s">
        <v>15</v>
      </c>
      <c r="C1125" s="1">
        <v>43220</v>
      </c>
      <c r="D1125" s="2">
        <f>YEAR(C1125)</f>
        <v>2018</v>
      </c>
      <c r="E1125">
        <v>362000</v>
      </c>
      <c r="F1125" t="s">
        <v>85</v>
      </c>
      <c r="G1125">
        <v>1954</v>
      </c>
      <c r="H1125">
        <v>3524</v>
      </c>
      <c r="I1125" t="s">
        <v>176</v>
      </c>
      <c r="J1125">
        <v>76</v>
      </c>
      <c r="K1125">
        <v>60076</v>
      </c>
      <c r="L1125">
        <v>1458</v>
      </c>
      <c r="M1125">
        <v>7</v>
      </c>
      <c r="N1125">
        <v>2</v>
      </c>
      <c r="O1125">
        <v>1</v>
      </c>
      <c r="P1125" t="s">
        <v>79</v>
      </c>
      <c r="Q1125">
        <v>3</v>
      </c>
      <c r="R1125">
        <v>0</v>
      </c>
      <c r="S1125" t="s">
        <v>22</v>
      </c>
      <c r="T1125">
        <v>2</v>
      </c>
      <c r="U1125">
        <v>0</v>
      </c>
    </row>
    <row r="1126" spans="1:21" x14ac:dyDescent="0.25">
      <c r="A1126">
        <v>10010860</v>
      </c>
      <c r="B1126" t="s">
        <v>15</v>
      </c>
      <c r="C1126" s="1">
        <v>43347</v>
      </c>
      <c r="D1126" s="2">
        <f>YEAR(C1126)</f>
        <v>2018</v>
      </c>
      <c r="E1126">
        <v>371000</v>
      </c>
      <c r="F1126" t="s">
        <v>85</v>
      </c>
      <c r="G1126">
        <v>1954</v>
      </c>
      <c r="H1126">
        <v>4956</v>
      </c>
      <c r="I1126" t="s">
        <v>51</v>
      </c>
      <c r="J1126">
        <v>76</v>
      </c>
      <c r="K1126">
        <v>60077</v>
      </c>
      <c r="L1126">
        <v>1453</v>
      </c>
      <c r="M1126">
        <v>9</v>
      </c>
      <c r="N1126">
        <v>2</v>
      </c>
      <c r="O1126">
        <v>0</v>
      </c>
      <c r="P1126" t="s">
        <v>79</v>
      </c>
      <c r="Q1126">
        <v>3</v>
      </c>
      <c r="R1126">
        <v>0</v>
      </c>
      <c r="S1126" t="s">
        <v>21</v>
      </c>
      <c r="T1126">
        <v>1</v>
      </c>
      <c r="U1126">
        <v>0</v>
      </c>
    </row>
    <row r="1127" spans="1:21" x14ac:dyDescent="0.25">
      <c r="A1127">
        <v>9633658</v>
      </c>
      <c r="B1127" t="s">
        <v>15</v>
      </c>
      <c r="C1127" s="1">
        <v>43007</v>
      </c>
      <c r="D1127" s="2">
        <f>YEAR(C1127)</f>
        <v>2017</v>
      </c>
      <c r="E1127">
        <v>280000</v>
      </c>
      <c r="F1127" t="s">
        <v>85</v>
      </c>
      <c r="G1127">
        <v>1954</v>
      </c>
      <c r="H1127">
        <v>7447</v>
      </c>
      <c r="I1127" t="s">
        <v>101</v>
      </c>
      <c r="J1127">
        <v>76</v>
      </c>
      <c r="K1127">
        <v>60076</v>
      </c>
      <c r="L1127">
        <v>1360</v>
      </c>
      <c r="M1127">
        <v>8</v>
      </c>
      <c r="N1127">
        <v>2</v>
      </c>
      <c r="O1127">
        <v>1</v>
      </c>
      <c r="P1127" t="s">
        <v>79</v>
      </c>
      <c r="Q1127">
        <v>3</v>
      </c>
      <c r="R1127">
        <v>1</v>
      </c>
      <c r="S1127" t="s">
        <v>22</v>
      </c>
      <c r="T1127">
        <v>2</v>
      </c>
      <c r="U1127">
        <v>0</v>
      </c>
    </row>
    <row r="1128" spans="1:21" x14ac:dyDescent="0.25">
      <c r="A1128">
        <v>9783007</v>
      </c>
      <c r="B1128" t="s">
        <v>15</v>
      </c>
      <c r="C1128" s="1">
        <v>43081</v>
      </c>
      <c r="D1128" s="2">
        <f>YEAR(C1128)</f>
        <v>2017</v>
      </c>
      <c r="E1128">
        <v>295000</v>
      </c>
      <c r="F1128" t="s">
        <v>85</v>
      </c>
      <c r="G1128">
        <v>1954</v>
      </c>
      <c r="H1128">
        <v>5001</v>
      </c>
      <c r="I1128" t="s">
        <v>198</v>
      </c>
      <c r="J1128">
        <v>76</v>
      </c>
      <c r="K1128">
        <v>60077</v>
      </c>
      <c r="L1128">
        <v>1320</v>
      </c>
      <c r="M1128">
        <v>7</v>
      </c>
      <c r="N1128">
        <v>1</v>
      </c>
      <c r="O1128">
        <v>1</v>
      </c>
      <c r="P1128" t="s">
        <v>79</v>
      </c>
      <c r="Q1128">
        <v>2</v>
      </c>
      <c r="R1128">
        <v>0</v>
      </c>
      <c r="S1128" t="s">
        <v>21</v>
      </c>
      <c r="T1128">
        <v>2</v>
      </c>
      <c r="U1128">
        <v>0</v>
      </c>
    </row>
    <row r="1129" spans="1:21" x14ac:dyDescent="0.25">
      <c r="A1129">
        <v>10025820</v>
      </c>
      <c r="B1129" t="s">
        <v>15</v>
      </c>
      <c r="C1129" s="1">
        <v>43412</v>
      </c>
      <c r="D1129" s="2">
        <f>YEAR(C1129)</f>
        <v>2018</v>
      </c>
      <c r="E1129">
        <v>289000</v>
      </c>
      <c r="F1129" t="s">
        <v>85</v>
      </c>
      <c r="G1129">
        <v>1954</v>
      </c>
      <c r="H1129">
        <v>8331</v>
      </c>
      <c r="I1129" t="s">
        <v>125</v>
      </c>
      <c r="J1129">
        <v>76</v>
      </c>
      <c r="K1129">
        <v>60076</v>
      </c>
      <c r="L1129">
        <v>1300</v>
      </c>
      <c r="M1129">
        <v>8</v>
      </c>
      <c r="N1129">
        <v>2</v>
      </c>
      <c r="O1129">
        <v>1</v>
      </c>
      <c r="P1129" t="s">
        <v>79</v>
      </c>
      <c r="Q1129">
        <v>3</v>
      </c>
      <c r="R1129">
        <v>0</v>
      </c>
      <c r="S1129" t="s">
        <v>22</v>
      </c>
      <c r="T1129">
        <v>2</v>
      </c>
      <c r="U1129">
        <v>0</v>
      </c>
    </row>
    <row r="1130" spans="1:21" x14ac:dyDescent="0.25">
      <c r="A1130">
        <v>9707569</v>
      </c>
      <c r="B1130" t="s">
        <v>15</v>
      </c>
      <c r="C1130" s="1">
        <v>42984</v>
      </c>
      <c r="D1130" s="2">
        <f>YEAR(C1130)</f>
        <v>2017</v>
      </c>
      <c r="E1130">
        <v>359900</v>
      </c>
      <c r="F1130" t="s">
        <v>85</v>
      </c>
      <c r="G1130">
        <v>1954</v>
      </c>
      <c r="H1130">
        <v>8330</v>
      </c>
      <c r="I1130" t="s">
        <v>108</v>
      </c>
      <c r="J1130">
        <v>76</v>
      </c>
      <c r="K1130">
        <v>60076</v>
      </c>
      <c r="L1130">
        <v>1299</v>
      </c>
      <c r="M1130">
        <v>9</v>
      </c>
      <c r="N1130">
        <v>2</v>
      </c>
      <c r="O1130">
        <v>0</v>
      </c>
      <c r="P1130" t="s">
        <v>79</v>
      </c>
      <c r="Q1130">
        <v>3</v>
      </c>
      <c r="R1130">
        <v>0</v>
      </c>
      <c r="S1130" t="s">
        <v>22</v>
      </c>
      <c r="T1130">
        <v>2</v>
      </c>
      <c r="U1130">
        <v>0</v>
      </c>
    </row>
    <row r="1131" spans="1:21" x14ac:dyDescent="0.25">
      <c r="A1131">
        <v>10031218</v>
      </c>
      <c r="B1131" t="s">
        <v>15</v>
      </c>
      <c r="C1131" s="1">
        <v>43413</v>
      </c>
      <c r="D1131" s="2">
        <f>YEAR(C1131)</f>
        <v>2018</v>
      </c>
      <c r="E1131">
        <v>304000</v>
      </c>
      <c r="F1131" t="s">
        <v>85</v>
      </c>
      <c r="G1131">
        <v>1954</v>
      </c>
      <c r="H1131">
        <v>7641</v>
      </c>
      <c r="I1131" t="s">
        <v>108</v>
      </c>
      <c r="J1131">
        <v>76</v>
      </c>
      <c r="K1131">
        <v>60076</v>
      </c>
      <c r="L1131">
        <v>1263</v>
      </c>
      <c r="M1131">
        <v>8</v>
      </c>
      <c r="N1131">
        <v>1</v>
      </c>
      <c r="O1131">
        <v>1</v>
      </c>
      <c r="P1131" t="s">
        <v>79</v>
      </c>
      <c r="Q1131">
        <v>3</v>
      </c>
      <c r="R1131">
        <v>0</v>
      </c>
      <c r="S1131" t="s">
        <v>22</v>
      </c>
      <c r="T1131">
        <v>2</v>
      </c>
      <c r="U1131">
        <v>0</v>
      </c>
    </row>
    <row r="1132" spans="1:21" x14ac:dyDescent="0.25">
      <c r="A1132">
        <v>9582886</v>
      </c>
      <c r="B1132" t="s">
        <v>15</v>
      </c>
      <c r="C1132" s="1">
        <v>42867</v>
      </c>
      <c r="D1132" s="2">
        <f>YEAR(C1132)</f>
        <v>2017</v>
      </c>
      <c r="E1132">
        <v>305000</v>
      </c>
      <c r="F1132" t="s">
        <v>85</v>
      </c>
      <c r="G1132">
        <v>1954</v>
      </c>
      <c r="H1132">
        <v>7918</v>
      </c>
      <c r="I1132" t="s">
        <v>125</v>
      </c>
      <c r="J1132">
        <v>76</v>
      </c>
      <c r="K1132">
        <v>60076</v>
      </c>
      <c r="L1132">
        <v>1200</v>
      </c>
      <c r="M1132">
        <v>6</v>
      </c>
      <c r="N1132">
        <v>1</v>
      </c>
      <c r="O1132">
        <v>0</v>
      </c>
      <c r="P1132" t="s">
        <v>79</v>
      </c>
      <c r="Q1132">
        <v>3</v>
      </c>
      <c r="R1132">
        <v>0</v>
      </c>
      <c r="S1132" t="s">
        <v>22</v>
      </c>
      <c r="T1132">
        <v>2</v>
      </c>
      <c r="U1132">
        <v>0</v>
      </c>
    </row>
    <row r="1133" spans="1:21" x14ac:dyDescent="0.25">
      <c r="A1133">
        <v>9881291</v>
      </c>
      <c r="B1133" t="s">
        <v>15</v>
      </c>
      <c r="C1133" s="1">
        <v>43207</v>
      </c>
      <c r="D1133" s="2">
        <f>YEAR(C1133)</f>
        <v>2018</v>
      </c>
      <c r="E1133">
        <v>310000</v>
      </c>
      <c r="F1133" t="s">
        <v>85</v>
      </c>
      <c r="G1133">
        <v>1954</v>
      </c>
      <c r="H1133">
        <v>8229</v>
      </c>
      <c r="I1133" t="s">
        <v>229</v>
      </c>
      <c r="J1133">
        <v>76</v>
      </c>
      <c r="K1133">
        <v>60076</v>
      </c>
      <c r="L1133">
        <v>1200</v>
      </c>
      <c r="M1133">
        <v>7</v>
      </c>
      <c r="N1133">
        <v>1</v>
      </c>
      <c r="O1133">
        <v>1</v>
      </c>
      <c r="P1133" t="s">
        <v>79</v>
      </c>
      <c r="Q1133">
        <v>3</v>
      </c>
      <c r="R1133">
        <v>0</v>
      </c>
      <c r="S1133" t="s">
        <v>22</v>
      </c>
      <c r="T1133">
        <v>2.1</v>
      </c>
      <c r="U1133">
        <v>0</v>
      </c>
    </row>
    <row r="1134" spans="1:21" x14ac:dyDescent="0.25">
      <c r="A1134">
        <v>9766214</v>
      </c>
      <c r="B1134" t="s">
        <v>15</v>
      </c>
      <c r="C1134" s="1">
        <v>43168</v>
      </c>
      <c r="D1134" s="2">
        <f>YEAR(C1134)</f>
        <v>2018</v>
      </c>
      <c r="E1134">
        <v>375000</v>
      </c>
      <c r="F1134" t="s">
        <v>85</v>
      </c>
      <c r="G1134">
        <v>1954</v>
      </c>
      <c r="H1134">
        <v>4844</v>
      </c>
      <c r="I1134" t="s">
        <v>219</v>
      </c>
      <c r="J1134">
        <v>76</v>
      </c>
      <c r="K1134">
        <v>60077</v>
      </c>
      <c r="L1134">
        <v>1200</v>
      </c>
      <c r="M1134">
        <v>7</v>
      </c>
      <c r="N1134">
        <v>2</v>
      </c>
      <c r="O1134">
        <v>0</v>
      </c>
      <c r="P1134" t="s">
        <v>79</v>
      </c>
      <c r="Q1134">
        <v>3</v>
      </c>
      <c r="R1134">
        <v>0</v>
      </c>
      <c r="S1134" t="s">
        <v>22</v>
      </c>
      <c r="T1134">
        <v>2</v>
      </c>
      <c r="U1134">
        <v>0</v>
      </c>
    </row>
    <row r="1135" spans="1:21" x14ac:dyDescent="0.25">
      <c r="A1135">
        <v>9579046</v>
      </c>
      <c r="B1135" t="s">
        <v>15</v>
      </c>
      <c r="C1135" s="1">
        <v>42860</v>
      </c>
      <c r="D1135" s="2">
        <f>YEAR(C1135)</f>
        <v>2017</v>
      </c>
      <c r="E1135">
        <v>344918</v>
      </c>
      <c r="F1135" t="s">
        <v>85</v>
      </c>
      <c r="G1135">
        <v>1954</v>
      </c>
      <c r="H1135">
        <v>5458</v>
      </c>
      <c r="I1135" t="s">
        <v>213</v>
      </c>
      <c r="J1135">
        <v>76</v>
      </c>
      <c r="K1135">
        <v>60077</v>
      </c>
      <c r="L1135">
        <v>1174</v>
      </c>
      <c r="M1135">
        <v>8</v>
      </c>
      <c r="N1135">
        <v>2</v>
      </c>
      <c r="O1135">
        <v>0</v>
      </c>
      <c r="P1135" t="s">
        <v>79</v>
      </c>
      <c r="Q1135">
        <v>3</v>
      </c>
      <c r="R1135">
        <v>1</v>
      </c>
      <c r="S1135" t="s">
        <v>22</v>
      </c>
      <c r="T1135">
        <v>2</v>
      </c>
      <c r="U1135">
        <v>0</v>
      </c>
    </row>
    <row r="1136" spans="1:21" x14ac:dyDescent="0.25">
      <c r="A1136">
        <v>9825835</v>
      </c>
      <c r="B1136" t="s">
        <v>15</v>
      </c>
      <c r="C1136" s="1">
        <v>43154</v>
      </c>
      <c r="D1136" s="2">
        <f>YEAR(C1136)</f>
        <v>2018</v>
      </c>
      <c r="E1136">
        <v>360000</v>
      </c>
      <c r="F1136" t="s">
        <v>85</v>
      </c>
      <c r="G1136">
        <v>1954</v>
      </c>
      <c r="H1136">
        <v>8711</v>
      </c>
      <c r="I1136" t="s">
        <v>137</v>
      </c>
      <c r="J1136">
        <v>76</v>
      </c>
      <c r="K1136">
        <v>60077</v>
      </c>
      <c r="L1136">
        <v>1170</v>
      </c>
      <c r="M1136">
        <v>8</v>
      </c>
      <c r="N1136">
        <v>2</v>
      </c>
      <c r="O1136">
        <v>0</v>
      </c>
      <c r="P1136" t="s">
        <v>79</v>
      </c>
      <c r="Q1136">
        <v>3</v>
      </c>
      <c r="R1136">
        <v>1</v>
      </c>
      <c r="S1136" t="s">
        <v>22</v>
      </c>
      <c r="T1136">
        <v>2</v>
      </c>
      <c r="U1136">
        <v>0</v>
      </c>
    </row>
    <row r="1137" spans="1:21" x14ac:dyDescent="0.25">
      <c r="A1137">
        <v>9386437</v>
      </c>
      <c r="B1137" t="s">
        <v>15</v>
      </c>
      <c r="C1137" s="1">
        <v>42810</v>
      </c>
      <c r="D1137" s="2">
        <f>YEAR(C1137)</f>
        <v>2017</v>
      </c>
      <c r="E1137">
        <v>295000</v>
      </c>
      <c r="F1137" t="s">
        <v>85</v>
      </c>
      <c r="G1137">
        <v>1954</v>
      </c>
      <c r="H1137">
        <v>5124</v>
      </c>
      <c r="I1137" t="s">
        <v>267</v>
      </c>
      <c r="J1137">
        <v>76</v>
      </c>
      <c r="K1137">
        <v>60077</v>
      </c>
      <c r="L1137">
        <v>1169</v>
      </c>
      <c r="M1137">
        <v>8</v>
      </c>
      <c r="N1137">
        <v>2</v>
      </c>
      <c r="O1137">
        <v>0</v>
      </c>
      <c r="P1137" t="s">
        <v>79</v>
      </c>
      <c r="Q1137">
        <v>3</v>
      </c>
      <c r="R1137">
        <v>0</v>
      </c>
      <c r="S1137" t="s">
        <v>22</v>
      </c>
      <c r="T1137">
        <v>2</v>
      </c>
      <c r="U1137">
        <v>0</v>
      </c>
    </row>
    <row r="1138" spans="1:21" x14ac:dyDescent="0.25">
      <c r="A1138">
        <v>9622937</v>
      </c>
      <c r="B1138" t="s">
        <v>15</v>
      </c>
      <c r="C1138" s="1">
        <v>42936</v>
      </c>
      <c r="D1138" s="2">
        <f>YEAR(C1138)</f>
        <v>2017</v>
      </c>
      <c r="E1138">
        <v>345000</v>
      </c>
      <c r="F1138" t="s">
        <v>85</v>
      </c>
      <c r="G1138">
        <v>1954</v>
      </c>
      <c r="H1138">
        <v>9410</v>
      </c>
      <c r="I1138" t="s">
        <v>214</v>
      </c>
      <c r="J1138">
        <v>76</v>
      </c>
      <c r="K1138">
        <v>60077</v>
      </c>
      <c r="L1138">
        <v>1150</v>
      </c>
      <c r="M1138">
        <v>8</v>
      </c>
      <c r="N1138">
        <v>2</v>
      </c>
      <c r="O1138">
        <v>0</v>
      </c>
      <c r="P1138" t="s">
        <v>79</v>
      </c>
      <c r="Q1138">
        <v>3</v>
      </c>
      <c r="R1138">
        <v>0</v>
      </c>
      <c r="S1138" t="s">
        <v>22</v>
      </c>
      <c r="T1138">
        <v>2</v>
      </c>
      <c r="U1138">
        <v>0</v>
      </c>
    </row>
    <row r="1139" spans="1:21" x14ac:dyDescent="0.25">
      <c r="A1139">
        <v>10007016</v>
      </c>
      <c r="B1139" t="s">
        <v>15</v>
      </c>
      <c r="C1139" s="1">
        <v>43329</v>
      </c>
      <c r="D1139" s="2">
        <f>YEAR(C1139)</f>
        <v>2018</v>
      </c>
      <c r="E1139">
        <v>300000</v>
      </c>
      <c r="F1139" t="s">
        <v>85</v>
      </c>
      <c r="G1139">
        <v>1954</v>
      </c>
      <c r="H1139">
        <v>4041</v>
      </c>
      <c r="I1139" t="s">
        <v>117</v>
      </c>
      <c r="J1139">
        <v>76</v>
      </c>
      <c r="K1139">
        <v>60076</v>
      </c>
      <c r="L1139">
        <v>1136</v>
      </c>
      <c r="M1139">
        <v>8</v>
      </c>
      <c r="N1139">
        <v>1</v>
      </c>
      <c r="O1139">
        <v>1</v>
      </c>
      <c r="P1139" t="s">
        <v>79</v>
      </c>
      <c r="Q1139">
        <v>3</v>
      </c>
      <c r="R1139">
        <v>0</v>
      </c>
      <c r="S1139" t="s">
        <v>19</v>
      </c>
      <c r="T1139">
        <v>0</v>
      </c>
      <c r="U1139">
        <v>0</v>
      </c>
    </row>
    <row r="1140" spans="1:21" x14ac:dyDescent="0.25">
      <c r="A1140">
        <v>10156485</v>
      </c>
      <c r="B1140" t="s">
        <v>15</v>
      </c>
      <c r="C1140" s="1">
        <v>43489</v>
      </c>
      <c r="D1140" s="2">
        <f>YEAR(C1140)</f>
        <v>2019</v>
      </c>
      <c r="E1140">
        <v>244900</v>
      </c>
      <c r="F1140" t="s">
        <v>85</v>
      </c>
      <c r="G1140">
        <v>1954</v>
      </c>
      <c r="H1140">
        <v>5101</v>
      </c>
      <c r="I1140" t="s">
        <v>452</v>
      </c>
      <c r="J1140">
        <v>76</v>
      </c>
      <c r="K1140">
        <v>60077</v>
      </c>
      <c r="L1140">
        <v>1087</v>
      </c>
      <c r="M1140">
        <v>5</v>
      </c>
      <c r="N1140">
        <v>2</v>
      </c>
      <c r="O1140">
        <v>0</v>
      </c>
      <c r="P1140" t="s">
        <v>79</v>
      </c>
      <c r="Q1140">
        <v>3</v>
      </c>
      <c r="R1140">
        <v>0</v>
      </c>
      <c r="S1140" t="s">
        <v>22</v>
      </c>
      <c r="T1140">
        <v>2.5</v>
      </c>
      <c r="U1140">
        <v>0</v>
      </c>
    </row>
    <row r="1141" spans="1:21" x14ac:dyDescent="0.25">
      <c r="A1141">
        <v>9629447</v>
      </c>
      <c r="B1141" t="s">
        <v>15</v>
      </c>
      <c r="C1141" s="1">
        <v>42915</v>
      </c>
      <c r="D1141" s="2">
        <f>YEAR(C1141)</f>
        <v>2017</v>
      </c>
      <c r="E1141">
        <v>339000</v>
      </c>
      <c r="F1141" t="s">
        <v>85</v>
      </c>
      <c r="G1141">
        <v>1954</v>
      </c>
      <c r="H1141">
        <v>5156</v>
      </c>
      <c r="I1141" t="s">
        <v>456</v>
      </c>
      <c r="J1141">
        <v>76</v>
      </c>
      <c r="K1141">
        <v>60077</v>
      </c>
      <c r="L1141">
        <v>1037</v>
      </c>
      <c r="M1141">
        <v>9</v>
      </c>
      <c r="N1141">
        <v>1</v>
      </c>
      <c r="O1141">
        <v>1</v>
      </c>
      <c r="P1141" t="s">
        <v>79</v>
      </c>
      <c r="Q1141">
        <v>3</v>
      </c>
      <c r="R1141">
        <v>1</v>
      </c>
      <c r="S1141" t="s">
        <v>19</v>
      </c>
      <c r="T1141">
        <v>0</v>
      </c>
      <c r="U1141">
        <v>0</v>
      </c>
    </row>
    <row r="1142" spans="1:21" x14ac:dyDescent="0.25">
      <c r="A1142">
        <v>9874578</v>
      </c>
      <c r="B1142" t="s">
        <v>15</v>
      </c>
      <c r="C1142" s="1">
        <v>43202</v>
      </c>
      <c r="D1142" s="2">
        <f>YEAR(C1142)</f>
        <v>2018</v>
      </c>
      <c r="E1142">
        <v>309500</v>
      </c>
      <c r="F1142" t="s">
        <v>85</v>
      </c>
      <c r="G1142">
        <v>1954</v>
      </c>
      <c r="H1142">
        <v>8527</v>
      </c>
      <c r="I1142" t="s">
        <v>202</v>
      </c>
      <c r="J1142">
        <v>76</v>
      </c>
      <c r="K1142">
        <v>60076</v>
      </c>
      <c r="L1142">
        <v>1012</v>
      </c>
      <c r="M1142">
        <v>8</v>
      </c>
      <c r="N1142">
        <v>2</v>
      </c>
      <c r="O1142">
        <v>0</v>
      </c>
      <c r="P1142" t="s">
        <v>79</v>
      </c>
      <c r="Q1142">
        <v>3</v>
      </c>
      <c r="R1142">
        <v>1</v>
      </c>
      <c r="S1142" t="s">
        <v>22</v>
      </c>
      <c r="T1142">
        <v>2</v>
      </c>
      <c r="U1142">
        <v>0</v>
      </c>
    </row>
    <row r="1143" spans="1:21" x14ac:dyDescent="0.25">
      <c r="A1143">
        <v>10108578</v>
      </c>
      <c r="B1143" t="s">
        <v>15</v>
      </c>
      <c r="C1143" s="1">
        <v>43423</v>
      </c>
      <c r="D1143" s="2">
        <f>YEAR(C1143)</f>
        <v>2018</v>
      </c>
      <c r="E1143">
        <v>180000</v>
      </c>
      <c r="F1143" t="s">
        <v>85</v>
      </c>
      <c r="G1143">
        <v>1954</v>
      </c>
      <c r="H1143">
        <v>8522</v>
      </c>
      <c r="I1143" t="s">
        <v>200</v>
      </c>
      <c r="J1143">
        <v>76</v>
      </c>
      <c r="K1143">
        <v>60076</v>
      </c>
      <c r="L1143">
        <v>1000</v>
      </c>
      <c r="M1143">
        <v>6</v>
      </c>
      <c r="N1143">
        <v>1</v>
      </c>
      <c r="O1143">
        <v>1</v>
      </c>
      <c r="P1143" t="s">
        <v>79</v>
      </c>
      <c r="Q1143">
        <v>3</v>
      </c>
      <c r="R1143">
        <v>0</v>
      </c>
      <c r="S1143" t="s">
        <v>22</v>
      </c>
      <c r="T1143">
        <v>2</v>
      </c>
      <c r="U1143">
        <v>0</v>
      </c>
    </row>
    <row r="1144" spans="1:21" x14ac:dyDescent="0.25">
      <c r="A1144">
        <v>9695010</v>
      </c>
      <c r="B1144" t="s">
        <v>15</v>
      </c>
      <c r="C1144" s="1">
        <v>43007</v>
      </c>
      <c r="D1144" s="2">
        <f>YEAR(C1144)</f>
        <v>2017</v>
      </c>
      <c r="E1144">
        <v>250000</v>
      </c>
      <c r="F1144" t="s">
        <v>85</v>
      </c>
      <c r="G1144">
        <v>1954</v>
      </c>
      <c r="H1144">
        <v>5345</v>
      </c>
      <c r="I1144" t="s">
        <v>154</v>
      </c>
      <c r="J1144">
        <v>76</v>
      </c>
      <c r="K1144">
        <v>60077</v>
      </c>
      <c r="L1144">
        <v>1000</v>
      </c>
      <c r="M1144">
        <v>5</v>
      </c>
      <c r="N1144">
        <v>1</v>
      </c>
      <c r="O1144">
        <v>1</v>
      </c>
      <c r="P1144" t="s">
        <v>79</v>
      </c>
      <c r="Q1144">
        <v>3</v>
      </c>
      <c r="R1144">
        <v>0</v>
      </c>
      <c r="S1144" t="s">
        <v>22</v>
      </c>
      <c r="T1144">
        <v>2</v>
      </c>
      <c r="U1144">
        <v>0</v>
      </c>
    </row>
    <row r="1145" spans="1:21" x14ac:dyDescent="0.25">
      <c r="A1145">
        <v>9862778</v>
      </c>
      <c r="B1145" t="s">
        <v>15</v>
      </c>
      <c r="C1145" s="1">
        <v>43273</v>
      </c>
      <c r="D1145" s="2">
        <f>YEAR(C1145)</f>
        <v>2018</v>
      </c>
      <c r="E1145">
        <v>265000</v>
      </c>
      <c r="F1145" t="s">
        <v>85</v>
      </c>
      <c r="G1145">
        <v>1954</v>
      </c>
      <c r="H1145">
        <v>9222</v>
      </c>
      <c r="I1145" t="s">
        <v>233</v>
      </c>
      <c r="J1145">
        <v>76</v>
      </c>
      <c r="K1145">
        <v>60077</v>
      </c>
      <c r="L1145">
        <v>1000</v>
      </c>
      <c r="M1145">
        <v>5</v>
      </c>
      <c r="N1145">
        <v>2</v>
      </c>
      <c r="O1145">
        <v>0</v>
      </c>
      <c r="P1145" t="s">
        <v>79</v>
      </c>
      <c r="Q1145">
        <v>3</v>
      </c>
      <c r="R1145">
        <v>0</v>
      </c>
      <c r="S1145" t="s">
        <v>22</v>
      </c>
      <c r="T1145">
        <v>2</v>
      </c>
      <c r="U1145">
        <v>0</v>
      </c>
    </row>
    <row r="1146" spans="1:21" x14ac:dyDescent="0.25">
      <c r="A1146">
        <v>10138384</v>
      </c>
      <c r="B1146" t="s">
        <v>15</v>
      </c>
      <c r="C1146" s="1">
        <v>43516</v>
      </c>
      <c r="D1146" s="2">
        <f>YEAR(C1146)</f>
        <v>2019</v>
      </c>
      <c r="E1146">
        <v>305000</v>
      </c>
      <c r="F1146" t="s">
        <v>85</v>
      </c>
      <c r="G1146">
        <v>1954</v>
      </c>
      <c r="H1146">
        <v>8305</v>
      </c>
      <c r="I1146" t="s">
        <v>252</v>
      </c>
      <c r="J1146">
        <v>76</v>
      </c>
      <c r="K1146">
        <v>60076</v>
      </c>
      <c r="L1146">
        <v>988</v>
      </c>
      <c r="M1146">
        <v>9</v>
      </c>
      <c r="N1146">
        <v>2</v>
      </c>
      <c r="O1146">
        <v>0</v>
      </c>
      <c r="P1146" t="s">
        <v>79</v>
      </c>
      <c r="Q1146">
        <v>3</v>
      </c>
      <c r="R1146">
        <v>1</v>
      </c>
      <c r="S1146" t="s">
        <v>22</v>
      </c>
      <c r="T1146">
        <v>2</v>
      </c>
      <c r="U1146">
        <v>0</v>
      </c>
    </row>
    <row r="1147" spans="1:21" x14ac:dyDescent="0.25">
      <c r="A1147">
        <v>9834548</v>
      </c>
      <c r="B1147" t="s">
        <v>15</v>
      </c>
      <c r="C1147" s="1">
        <v>43277</v>
      </c>
      <c r="D1147" s="2">
        <f>YEAR(C1147)</f>
        <v>2018</v>
      </c>
      <c r="E1147">
        <v>415000</v>
      </c>
      <c r="F1147" t="s">
        <v>85</v>
      </c>
      <c r="G1147">
        <v>1954</v>
      </c>
      <c r="H1147">
        <v>3951</v>
      </c>
      <c r="I1147" t="s">
        <v>457</v>
      </c>
      <c r="J1147">
        <v>62</v>
      </c>
      <c r="K1147">
        <v>60062</v>
      </c>
      <c r="L1147">
        <v>2200</v>
      </c>
      <c r="M1147">
        <v>9</v>
      </c>
      <c r="N1147">
        <v>2</v>
      </c>
      <c r="O1147">
        <v>0</v>
      </c>
      <c r="P1147" t="s">
        <v>79</v>
      </c>
      <c r="Q1147">
        <v>3</v>
      </c>
      <c r="R1147">
        <v>0</v>
      </c>
      <c r="S1147" t="s">
        <v>22</v>
      </c>
      <c r="T1147">
        <v>3</v>
      </c>
      <c r="U1147">
        <v>0</v>
      </c>
    </row>
    <row r="1148" spans="1:21" x14ac:dyDescent="0.25">
      <c r="A1148">
        <v>9872632</v>
      </c>
      <c r="B1148" t="s">
        <v>15</v>
      </c>
      <c r="C1148" s="1">
        <v>43209</v>
      </c>
      <c r="D1148" s="2">
        <f>YEAR(C1148)</f>
        <v>2018</v>
      </c>
      <c r="E1148">
        <v>362500</v>
      </c>
      <c r="F1148" t="s">
        <v>85</v>
      </c>
      <c r="G1148">
        <v>1954</v>
      </c>
      <c r="H1148">
        <v>1044</v>
      </c>
      <c r="I1148" t="s">
        <v>458</v>
      </c>
      <c r="J1148">
        <v>62</v>
      </c>
      <c r="K1148">
        <v>60062</v>
      </c>
      <c r="L1148">
        <v>1400</v>
      </c>
      <c r="M1148">
        <v>7</v>
      </c>
      <c r="N1148">
        <v>2</v>
      </c>
      <c r="O1148">
        <v>0</v>
      </c>
      <c r="P1148" t="s">
        <v>79</v>
      </c>
      <c r="Q1148">
        <v>3</v>
      </c>
      <c r="R1148">
        <v>0</v>
      </c>
      <c r="S1148" t="s">
        <v>22</v>
      </c>
      <c r="T1148">
        <v>1.5</v>
      </c>
      <c r="U1148">
        <v>0</v>
      </c>
    </row>
    <row r="1149" spans="1:21" x14ac:dyDescent="0.25">
      <c r="A1149">
        <v>9955239</v>
      </c>
      <c r="B1149" t="s">
        <v>15</v>
      </c>
      <c r="C1149" s="1">
        <v>43332</v>
      </c>
      <c r="D1149" s="2">
        <f>YEAR(C1149)</f>
        <v>2018</v>
      </c>
      <c r="E1149">
        <v>371500</v>
      </c>
      <c r="F1149" t="s">
        <v>85</v>
      </c>
      <c r="G1149">
        <v>1954</v>
      </c>
      <c r="H1149">
        <v>1650</v>
      </c>
      <c r="I1149" t="s">
        <v>301</v>
      </c>
      <c r="J1149">
        <v>62</v>
      </c>
      <c r="K1149">
        <v>60062</v>
      </c>
      <c r="L1149">
        <v>1300</v>
      </c>
      <c r="M1149">
        <v>7</v>
      </c>
      <c r="N1149">
        <v>2</v>
      </c>
      <c r="O1149">
        <v>0</v>
      </c>
      <c r="P1149" t="s">
        <v>79</v>
      </c>
      <c r="Q1149">
        <v>3</v>
      </c>
      <c r="R1149">
        <v>0</v>
      </c>
      <c r="S1149" t="s">
        <v>21</v>
      </c>
      <c r="T1149">
        <v>1</v>
      </c>
      <c r="U1149">
        <v>0</v>
      </c>
    </row>
    <row r="1150" spans="1:21" x14ac:dyDescent="0.25">
      <c r="A1150">
        <v>9864896</v>
      </c>
      <c r="B1150" t="s">
        <v>15</v>
      </c>
      <c r="C1150" s="1">
        <v>43208</v>
      </c>
      <c r="D1150" s="2">
        <f>YEAR(C1150)</f>
        <v>2018</v>
      </c>
      <c r="E1150">
        <v>385000</v>
      </c>
      <c r="F1150" t="s">
        <v>85</v>
      </c>
      <c r="G1150">
        <v>1954</v>
      </c>
      <c r="H1150">
        <v>1108</v>
      </c>
      <c r="I1150" t="s">
        <v>185</v>
      </c>
      <c r="J1150">
        <v>62</v>
      </c>
      <c r="K1150">
        <v>60062</v>
      </c>
      <c r="L1150">
        <v>1100</v>
      </c>
      <c r="M1150">
        <v>7</v>
      </c>
      <c r="N1150">
        <v>2</v>
      </c>
      <c r="O1150">
        <v>0</v>
      </c>
      <c r="P1150" t="s">
        <v>79</v>
      </c>
      <c r="Q1150">
        <v>3</v>
      </c>
      <c r="R1150">
        <v>1</v>
      </c>
      <c r="S1150" t="s">
        <v>21</v>
      </c>
      <c r="T1150">
        <v>1</v>
      </c>
      <c r="U1150">
        <v>0</v>
      </c>
    </row>
    <row r="1151" spans="1:21" x14ac:dyDescent="0.25">
      <c r="A1151">
        <v>9571861</v>
      </c>
      <c r="B1151" t="s">
        <v>15</v>
      </c>
      <c r="C1151" s="1">
        <v>42899</v>
      </c>
      <c r="D1151" s="2">
        <f>YEAR(C1151)</f>
        <v>2017</v>
      </c>
      <c r="E1151">
        <v>347000</v>
      </c>
      <c r="F1151" t="s">
        <v>85</v>
      </c>
      <c r="G1151">
        <v>1954</v>
      </c>
      <c r="H1151">
        <v>901</v>
      </c>
      <c r="I1151" t="s">
        <v>208</v>
      </c>
      <c r="J1151">
        <v>62</v>
      </c>
      <c r="K1151">
        <v>60062</v>
      </c>
      <c r="L1151">
        <v>1072</v>
      </c>
      <c r="M1151">
        <v>9</v>
      </c>
      <c r="N1151">
        <v>2</v>
      </c>
      <c r="O1151">
        <v>0</v>
      </c>
      <c r="P1151" t="s">
        <v>79</v>
      </c>
      <c r="Q1151">
        <v>3</v>
      </c>
      <c r="R1151">
        <v>1</v>
      </c>
      <c r="S1151" t="s">
        <v>21</v>
      </c>
      <c r="T1151">
        <v>1</v>
      </c>
      <c r="U1151">
        <v>0</v>
      </c>
    </row>
    <row r="1152" spans="1:21" x14ac:dyDescent="0.25">
      <c r="A1152">
        <v>9904078</v>
      </c>
      <c r="B1152" t="s">
        <v>15</v>
      </c>
      <c r="C1152" s="1">
        <v>43251</v>
      </c>
      <c r="D1152" s="2">
        <f>YEAR(C1152)</f>
        <v>2018</v>
      </c>
      <c r="E1152">
        <v>365000</v>
      </c>
      <c r="F1152" t="s">
        <v>85</v>
      </c>
      <c r="G1152">
        <v>1954</v>
      </c>
      <c r="H1152">
        <v>1104</v>
      </c>
      <c r="I1152" t="s">
        <v>185</v>
      </c>
      <c r="J1152">
        <v>62</v>
      </c>
      <c r="K1152">
        <v>60062</v>
      </c>
      <c r="L1152">
        <v>1068</v>
      </c>
      <c r="M1152">
        <v>7</v>
      </c>
      <c r="N1152">
        <v>2</v>
      </c>
      <c r="O1152">
        <v>0</v>
      </c>
      <c r="P1152" t="s">
        <v>79</v>
      </c>
      <c r="Q1152">
        <v>3</v>
      </c>
      <c r="R1152">
        <v>0</v>
      </c>
      <c r="S1152" t="s">
        <v>21</v>
      </c>
      <c r="T1152">
        <v>1</v>
      </c>
      <c r="U1152">
        <v>0</v>
      </c>
    </row>
    <row r="1153" spans="1:21" x14ac:dyDescent="0.25">
      <c r="A1153">
        <v>9627468</v>
      </c>
      <c r="B1153" t="s">
        <v>15</v>
      </c>
      <c r="C1153" s="1">
        <v>42915</v>
      </c>
      <c r="D1153" s="2">
        <f>YEAR(C1153)</f>
        <v>2017</v>
      </c>
      <c r="E1153">
        <v>515000</v>
      </c>
      <c r="F1153" t="s">
        <v>85</v>
      </c>
      <c r="G1153">
        <v>1955</v>
      </c>
      <c r="H1153">
        <v>8842</v>
      </c>
      <c r="I1153" t="s">
        <v>24</v>
      </c>
      <c r="J1153">
        <v>76</v>
      </c>
      <c r="K1153">
        <v>60076</v>
      </c>
      <c r="L1153">
        <v>3364</v>
      </c>
      <c r="M1153">
        <v>10</v>
      </c>
      <c r="N1153">
        <v>3</v>
      </c>
      <c r="O1153">
        <v>0</v>
      </c>
      <c r="P1153" t="s">
        <v>79</v>
      </c>
      <c r="Q1153">
        <v>3</v>
      </c>
      <c r="R1153">
        <v>2</v>
      </c>
      <c r="S1153" t="s">
        <v>21</v>
      </c>
      <c r="T1153">
        <v>2</v>
      </c>
      <c r="U1153">
        <v>0</v>
      </c>
    </row>
    <row r="1154" spans="1:21" x14ac:dyDescent="0.25">
      <c r="A1154">
        <v>10108734</v>
      </c>
      <c r="B1154" t="s">
        <v>15</v>
      </c>
      <c r="C1154" s="1">
        <v>43405</v>
      </c>
      <c r="D1154" s="2">
        <f>YEAR(C1154)</f>
        <v>2018</v>
      </c>
      <c r="E1154">
        <v>405000</v>
      </c>
      <c r="F1154" t="s">
        <v>85</v>
      </c>
      <c r="G1154">
        <v>1955</v>
      </c>
      <c r="H1154">
        <v>8645</v>
      </c>
      <c r="I1154" t="s">
        <v>112</v>
      </c>
      <c r="J1154">
        <v>76</v>
      </c>
      <c r="K1154">
        <v>60076</v>
      </c>
      <c r="L1154">
        <v>2884</v>
      </c>
      <c r="M1154">
        <v>9</v>
      </c>
      <c r="N1154">
        <v>3</v>
      </c>
      <c r="O1154">
        <v>0</v>
      </c>
      <c r="P1154" t="s">
        <v>79</v>
      </c>
      <c r="Q1154">
        <v>3</v>
      </c>
      <c r="R1154">
        <v>2</v>
      </c>
      <c r="S1154" t="s">
        <v>22</v>
      </c>
      <c r="T1154">
        <v>2</v>
      </c>
      <c r="U1154">
        <v>0</v>
      </c>
    </row>
    <row r="1155" spans="1:21" x14ac:dyDescent="0.25">
      <c r="A1155">
        <v>9701094</v>
      </c>
      <c r="B1155" t="s">
        <v>15</v>
      </c>
      <c r="C1155" s="1">
        <v>43020</v>
      </c>
      <c r="D1155" s="2">
        <f>YEAR(C1155)</f>
        <v>2017</v>
      </c>
      <c r="E1155">
        <v>462000</v>
      </c>
      <c r="F1155" t="s">
        <v>85</v>
      </c>
      <c r="G1155">
        <v>1955</v>
      </c>
      <c r="H1155">
        <v>7409</v>
      </c>
      <c r="I1155" t="s">
        <v>108</v>
      </c>
      <c r="J1155">
        <v>76</v>
      </c>
      <c r="K1155">
        <v>60076</v>
      </c>
      <c r="L1155">
        <v>2600</v>
      </c>
      <c r="M1155">
        <v>10</v>
      </c>
      <c r="N1155">
        <v>3</v>
      </c>
      <c r="O1155">
        <v>1</v>
      </c>
      <c r="P1155" t="s">
        <v>79</v>
      </c>
      <c r="Q1155">
        <v>4</v>
      </c>
      <c r="R1155">
        <v>0</v>
      </c>
      <c r="S1155" t="s">
        <v>21</v>
      </c>
      <c r="T1155">
        <v>4</v>
      </c>
      <c r="U1155">
        <v>0</v>
      </c>
    </row>
    <row r="1156" spans="1:21" x14ac:dyDescent="0.25">
      <c r="A1156">
        <v>9937920</v>
      </c>
      <c r="B1156" t="s">
        <v>15</v>
      </c>
      <c r="C1156" s="1">
        <v>43259</v>
      </c>
      <c r="D1156" s="2">
        <f>YEAR(C1156)</f>
        <v>2018</v>
      </c>
      <c r="E1156">
        <v>435000</v>
      </c>
      <c r="F1156" t="s">
        <v>85</v>
      </c>
      <c r="G1156">
        <v>1955</v>
      </c>
      <c r="H1156">
        <v>9311</v>
      </c>
      <c r="I1156" t="s">
        <v>101</v>
      </c>
      <c r="J1156">
        <v>76</v>
      </c>
      <c r="K1156">
        <v>60076</v>
      </c>
      <c r="L1156">
        <v>2402</v>
      </c>
      <c r="M1156">
        <v>9</v>
      </c>
      <c r="N1156">
        <v>3</v>
      </c>
      <c r="O1156">
        <v>0</v>
      </c>
      <c r="P1156" t="s">
        <v>79</v>
      </c>
      <c r="Q1156">
        <v>3</v>
      </c>
      <c r="R1156">
        <v>1</v>
      </c>
      <c r="S1156" t="s">
        <v>22</v>
      </c>
      <c r="T1156">
        <v>2</v>
      </c>
      <c r="U1156">
        <v>0</v>
      </c>
    </row>
    <row r="1157" spans="1:21" x14ac:dyDescent="0.25">
      <c r="A1157">
        <v>9714505</v>
      </c>
      <c r="B1157" t="s">
        <v>15</v>
      </c>
      <c r="C1157" s="1">
        <v>43035</v>
      </c>
      <c r="D1157" s="2">
        <f>YEAR(C1157)</f>
        <v>2017</v>
      </c>
      <c r="E1157">
        <v>475000</v>
      </c>
      <c r="F1157" t="s">
        <v>85</v>
      </c>
      <c r="G1157">
        <v>1955</v>
      </c>
      <c r="H1157">
        <v>5025</v>
      </c>
      <c r="I1157" t="s">
        <v>253</v>
      </c>
      <c r="J1157">
        <v>76</v>
      </c>
      <c r="K1157">
        <v>60077</v>
      </c>
      <c r="L1157">
        <v>2400</v>
      </c>
      <c r="M1157">
        <v>9</v>
      </c>
      <c r="N1157">
        <v>4</v>
      </c>
      <c r="O1157">
        <v>0</v>
      </c>
      <c r="P1157" t="s">
        <v>79</v>
      </c>
      <c r="Q1157">
        <v>4</v>
      </c>
      <c r="R1157">
        <v>0</v>
      </c>
      <c r="S1157" t="s">
        <v>22</v>
      </c>
      <c r="T1157">
        <v>2.5</v>
      </c>
      <c r="U1157">
        <v>0</v>
      </c>
    </row>
    <row r="1158" spans="1:21" x14ac:dyDescent="0.25">
      <c r="A1158">
        <v>10094336</v>
      </c>
      <c r="B1158" t="s">
        <v>15</v>
      </c>
      <c r="C1158" s="1">
        <v>43412</v>
      </c>
      <c r="D1158" s="2">
        <f>YEAR(C1158)</f>
        <v>2018</v>
      </c>
      <c r="E1158">
        <v>455000</v>
      </c>
      <c r="F1158" t="s">
        <v>85</v>
      </c>
      <c r="G1158">
        <v>1955</v>
      </c>
      <c r="H1158">
        <v>9438</v>
      </c>
      <c r="I1158" t="s">
        <v>112</v>
      </c>
      <c r="J1158">
        <v>76</v>
      </c>
      <c r="K1158">
        <v>60076</v>
      </c>
      <c r="L1158">
        <v>2294</v>
      </c>
      <c r="M1158">
        <v>8</v>
      </c>
      <c r="N1158">
        <v>2</v>
      </c>
      <c r="O1158">
        <v>1</v>
      </c>
      <c r="P1158" t="s">
        <v>79</v>
      </c>
      <c r="Q1158">
        <v>4</v>
      </c>
      <c r="R1158">
        <v>0</v>
      </c>
      <c r="S1158" t="s">
        <v>22</v>
      </c>
      <c r="T1158">
        <v>2</v>
      </c>
      <c r="U1158">
        <v>0</v>
      </c>
    </row>
    <row r="1159" spans="1:21" x14ac:dyDescent="0.25">
      <c r="A1159">
        <v>9513735</v>
      </c>
      <c r="B1159" t="s">
        <v>15</v>
      </c>
      <c r="C1159" s="1">
        <v>42923</v>
      </c>
      <c r="D1159" s="2">
        <f>YEAR(C1159)</f>
        <v>2017</v>
      </c>
      <c r="E1159">
        <v>432000</v>
      </c>
      <c r="F1159" t="s">
        <v>85</v>
      </c>
      <c r="G1159">
        <v>1955</v>
      </c>
      <c r="H1159">
        <v>8315</v>
      </c>
      <c r="I1159" t="s">
        <v>107</v>
      </c>
      <c r="J1159">
        <v>76</v>
      </c>
      <c r="K1159">
        <v>60076</v>
      </c>
      <c r="L1159">
        <v>2166</v>
      </c>
      <c r="M1159">
        <v>8</v>
      </c>
      <c r="N1159">
        <v>2</v>
      </c>
      <c r="O1159">
        <v>2</v>
      </c>
      <c r="P1159" t="s">
        <v>79</v>
      </c>
      <c r="Q1159">
        <v>3</v>
      </c>
      <c r="R1159">
        <v>0</v>
      </c>
      <c r="S1159" t="s">
        <v>21</v>
      </c>
      <c r="T1159">
        <v>1</v>
      </c>
      <c r="U1159">
        <v>0</v>
      </c>
    </row>
    <row r="1160" spans="1:21" x14ac:dyDescent="0.25">
      <c r="A1160">
        <v>9630152</v>
      </c>
      <c r="B1160" t="s">
        <v>15</v>
      </c>
      <c r="C1160" s="1">
        <v>42944</v>
      </c>
      <c r="D1160" s="2">
        <f>YEAR(C1160)</f>
        <v>2017</v>
      </c>
      <c r="E1160">
        <v>310000</v>
      </c>
      <c r="F1160" t="s">
        <v>85</v>
      </c>
      <c r="G1160">
        <v>1955</v>
      </c>
      <c r="H1160">
        <v>3304</v>
      </c>
      <c r="I1160" t="s">
        <v>452</v>
      </c>
      <c r="J1160">
        <v>76</v>
      </c>
      <c r="K1160">
        <v>60076</v>
      </c>
      <c r="L1160">
        <v>2100</v>
      </c>
      <c r="M1160">
        <v>10</v>
      </c>
      <c r="N1160">
        <v>2</v>
      </c>
      <c r="O1160">
        <v>1</v>
      </c>
      <c r="P1160" t="s">
        <v>79</v>
      </c>
      <c r="Q1160">
        <v>3</v>
      </c>
      <c r="R1160">
        <v>3</v>
      </c>
      <c r="S1160" t="s">
        <v>19</v>
      </c>
      <c r="T1160">
        <v>0</v>
      </c>
      <c r="U1160">
        <v>0</v>
      </c>
    </row>
    <row r="1161" spans="1:21" x14ac:dyDescent="0.25">
      <c r="A1161">
        <v>9805186</v>
      </c>
      <c r="B1161" t="s">
        <v>15</v>
      </c>
      <c r="C1161" s="1">
        <v>43130</v>
      </c>
      <c r="D1161" s="2">
        <f>YEAR(C1161)</f>
        <v>2018</v>
      </c>
      <c r="E1161">
        <v>401000</v>
      </c>
      <c r="F1161" t="s">
        <v>85</v>
      </c>
      <c r="G1161">
        <v>1955</v>
      </c>
      <c r="H1161">
        <v>4245</v>
      </c>
      <c r="I1161" t="s">
        <v>164</v>
      </c>
      <c r="J1161">
        <v>76</v>
      </c>
      <c r="K1161">
        <v>60076</v>
      </c>
      <c r="L1161">
        <v>2042</v>
      </c>
      <c r="M1161">
        <v>9</v>
      </c>
      <c r="N1161">
        <v>2</v>
      </c>
      <c r="O1161">
        <v>1</v>
      </c>
      <c r="P1161" t="s">
        <v>79</v>
      </c>
      <c r="Q1161">
        <v>3</v>
      </c>
      <c r="R1161">
        <v>1</v>
      </c>
      <c r="S1161" t="s">
        <v>21</v>
      </c>
      <c r="T1161">
        <v>2</v>
      </c>
      <c r="U1161">
        <v>0</v>
      </c>
    </row>
    <row r="1162" spans="1:21" x14ac:dyDescent="0.25">
      <c r="A1162">
        <v>9727617</v>
      </c>
      <c r="B1162" t="s">
        <v>15</v>
      </c>
      <c r="C1162" s="1">
        <v>43125</v>
      </c>
      <c r="D1162" s="2">
        <f>YEAR(C1162)</f>
        <v>2018</v>
      </c>
      <c r="E1162">
        <v>436500</v>
      </c>
      <c r="F1162" t="s">
        <v>85</v>
      </c>
      <c r="G1162">
        <v>1955</v>
      </c>
      <c r="H1162">
        <v>3841</v>
      </c>
      <c r="I1162" t="s">
        <v>216</v>
      </c>
      <c r="J1162">
        <v>76</v>
      </c>
      <c r="K1162">
        <v>60076</v>
      </c>
      <c r="L1162">
        <v>2000</v>
      </c>
      <c r="M1162">
        <v>7</v>
      </c>
      <c r="N1162">
        <v>2</v>
      </c>
      <c r="O1162">
        <v>0</v>
      </c>
      <c r="P1162" t="s">
        <v>79</v>
      </c>
      <c r="Q1162">
        <v>3</v>
      </c>
      <c r="R1162">
        <v>0</v>
      </c>
      <c r="S1162" t="s">
        <v>22</v>
      </c>
      <c r="T1162">
        <v>2</v>
      </c>
      <c r="U1162">
        <v>0</v>
      </c>
    </row>
    <row r="1163" spans="1:21" x14ac:dyDescent="0.25">
      <c r="A1163">
        <v>9966079</v>
      </c>
      <c r="B1163" t="s">
        <v>15</v>
      </c>
      <c r="C1163" s="1">
        <v>43297</v>
      </c>
      <c r="D1163" s="2">
        <f>YEAR(C1163)</f>
        <v>2018</v>
      </c>
      <c r="E1163">
        <v>340000</v>
      </c>
      <c r="F1163" t="s">
        <v>85</v>
      </c>
      <c r="G1163">
        <v>1955</v>
      </c>
      <c r="H1163">
        <v>9035</v>
      </c>
      <c r="I1163" t="s">
        <v>459</v>
      </c>
      <c r="J1163">
        <v>76</v>
      </c>
      <c r="K1163">
        <v>60077</v>
      </c>
      <c r="L1163">
        <v>1960</v>
      </c>
      <c r="M1163">
        <v>7</v>
      </c>
      <c r="N1163">
        <v>2</v>
      </c>
      <c r="O1163">
        <v>0</v>
      </c>
      <c r="P1163" t="s">
        <v>79</v>
      </c>
      <c r="Q1163">
        <v>3</v>
      </c>
      <c r="R1163">
        <v>2</v>
      </c>
      <c r="S1163" t="s">
        <v>22</v>
      </c>
      <c r="T1163">
        <v>2</v>
      </c>
      <c r="U1163">
        <v>0</v>
      </c>
    </row>
    <row r="1164" spans="1:21" x14ac:dyDescent="0.25">
      <c r="A1164">
        <v>9567976</v>
      </c>
      <c r="B1164" t="s">
        <v>15</v>
      </c>
      <c r="C1164" s="1">
        <v>42873</v>
      </c>
      <c r="D1164" s="2">
        <f>YEAR(C1164)</f>
        <v>2017</v>
      </c>
      <c r="E1164">
        <v>525000</v>
      </c>
      <c r="F1164" t="s">
        <v>85</v>
      </c>
      <c r="G1164">
        <v>1955</v>
      </c>
      <c r="H1164">
        <v>9036</v>
      </c>
      <c r="I1164" t="s">
        <v>123</v>
      </c>
      <c r="J1164">
        <v>76</v>
      </c>
      <c r="K1164">
        <v>60076</v>
      </c>
      <c r="L1164">
        <v>1959</v>
      </c>
      <c r="M1164">
        <v>10</v>
      </c>
      <c r="N1164">
        <v>4</v>
      </c>
      <c r="O1164">
        <v>0</v>
      </c>
      <c r="P1164" t="s">
        <v>79</v>
      </c>
      <c r="Q1164">
        <v>4</v>
      </c>
      <c r="R1164">
        <v>1</v>
      </c>
      <c r="S1164" t="s">
        <v>21</v>
      </c>
      <c r="T1164">
        <v>1</v>
      </c>
      <c r="U1164">
        <v>0</v>
      </c>
    </row>
    <row r="1165" spans="1:21" x14ac:dyDescent="0.25">
      <c r="A1165">
        <v>10126934</v>
      </c>
      <c r="B1165" t="s">
        <v>15</v>
      </c>
      <c r="C1165" s="1">
        <v>43510</v>
      </c>
      <c r="D1165" s="2">
        <f>YEAR(C1165)</f>
        <v>2019</v>
      </c>
      <c r="E1165">
        <v>480000</v>
      </c>
      <c r="F1165" t="s">
        <v>85</v>
      </c>
      <c r="G1165">
        <v>1955</v>
      </c>
      <c r="H1165">
        <v>4317</v>
      </c>
      <c r="I1165" t="s">
        <v>267</v>
      </c>
      <c r="J1165">
        <v>76</v>
      </c>
      <c r="K1165">
        <v>60076</v>
      </c>
      <c r="L1165">
        <v>1944</v>
      </c>
      <c r="M1165">
        <v>8</v>
      </c>
      <c r="N1165">
        <v>3</v>
      </c>
      <c r="O1165">
        <v>0</v>
      </c>
      <c r="P1165" t="s">
        <v>79</v>
      </c>
      <c r="Q1165">
        <v>4</v>
      </c>
      <c r="R1165">
        <v>0</v>
      </c>
      <c r="S1165" t="s">
        <v>22</v>
      </c>
      <c r="T1165">
        <v>2</v>
      </c>
      <c r="U1165">
        <v>0</v>
      </c>
    </row>
    <row r="1166" spans="1:21" x14ac:dyDescent="0.25">
      <c r="A1166">
        <v>9667931</v>
      </c>
      <c r="B1166" t="s">
        <v>15</v>
      </c>
      <c r="C1166" s="1">
        <v>43033</v>
      </c>
      <c r="D1166" s="2">
        <f>YEAR(C1166)</f>
        <v>2017</v>
      </c>
      <c r="E1166">
        <v>329000</v>
      </c>
      <c r="F1166" t="s">
        <v>85</v>
      </c>
      <c r="G1166">
        <v>1955</v>
      </c>
      <c r="H1166">
        <v>8146</v>
      </c>
      <c r="I1166" t="s">
        <v>152</v>
      </c>
      <c r="J1166">
        <v>76</v>
      </c>
      <c r="K1166">
        <v>60076</v>
      </c>
      <c r="L1166">
        <v>1918</v>
      </c>
      <c r="M1166">
        <v>8</v>
      </c>
      <c r="N1166">
        <v>2</v>
      </c>
      <c r="O1166">
        <v>0</v>
      </c>
      <c r="P1166" t="s">
        <v>79</v>
      </c>
      <c r="Q1166">
        <v>3</v>
      </c>
      <c r="R1166">
        <v>0</v>
      </c>
      <c r="S1166" t="s">
        <v>22</v>
      </c>
      <c r="T1166">
        <v>2.5</v>
      </c>
      <c r="U1166">
        <v>0</v>
      </c>
    </row>
    <row r="1167" spans="1:21" x14ac:dyDescent="0.25">
      <c r="A1167">
        <v>9778834</v>
      </c>
      <c r="B1167" t="s">
        <v>15</v>
      </c>
      <c r="C1167" s="1">
        <v>43047</v>
      </c>
      <c r="D1167" s="2">
        <f>YEAR(C1167)</f>
        <v>2017</v>
      </c>
      <c r="E1167">
        <v>340000</v>
      </c>
      <c r="F1167" t="s">
        <v>85</v>
      </c>
      <c r="G1167">
        <v>1955</v>
      </c>
      <c r="H1167">
        <v>9438</v>
      </c>
      <c r="I1167" t="s">
        <v>112</v>
      </c>
      <c r="J1167">
        <v>76</v>
      </c>
      <c r="K1167">
        <v>60076</v>
      </c>
      <c r="L1167">
        <v>1875</v>
      </c>
      <c r="M1167">
        <v>8</v>
      </c>
      <c r="N1167">
        <v>2</v>
      </c>
      <c r="O1167">
        <v>1</v>
      </c>
      <c r="P1167" t="s">
        <v>79</v>
      </c>
      <c r="Q1167">
        <v>4</v>
      </c>
      <c r="R1167">
        <v>0</v>
      </c>
      <c r="S1167" t="s">
        <v>22</v>
      </c>
      <c r="T1167">
        <v>2</v>
      </c>
      <c r="U1167">
        <v>0</v>
      </c>
    </row>
    <row r="1168" spans="1:21" x14ac:dyDescent="0.25">
      <c r="A1168">
        <v>10084715</v>
      </c>
      <c r="B1168" t="s">
        <v>15</v>
      </c>
      <c r="C1168" s="1">
        <v>43410</v>
      </c>
      <c r="D1168" s="2">
        <f>YEAR(C1168)</f>
        <v>2018</v>
      </c>
      <c r="E1168">
        <v>305000</v>
      </c>
      <c r="F1168" t="s">
        <v>85</v>
      </c>
      <c r="G1168">
        <v>1955</v>
      </c>
      <c r="H1168">
        <v>9229</v>
      </c>
      <c r="I1168" t="s">
        <v>184</v>
      </c>
      <c r="J1168">
        <v>76</v>
      </c>
      <c r="K1168">
        <v>60077</v>
      </c>
      <c r="L1168">
        <v>1800</v>
      </c>
      <c r="M1168">
        <v>7</v>
      </c>
      <c r="N1168">
        <v>2</v>
      </c>
      <c r="O1168">
        <v>0</v>
      </c>
      <c r="P1168" t="s">
        <v>79</v>
      </c>
      <c r="Q1168">
        <v>3</v>
      </c>
      <c r="R1168">
        <v>0</v>
      </c>
      <c r="S1168" t="s">
        <v>22</v>
      </c>
      <c r="T1168">
        <v>2</v>
      </c>
      <c r="U1168">
        <v>0</v>
      </c>
    </row>
    <row r="1169" spans="1:21" x14ac:dyDescent="0.25">
      <c r="A1169">
        <v>9998082</v>
      </c>
      <c r="B1169" t="s">
        <v>15</v>
      </c>
      <c r="C1169" s="1">
        <v>43516</v>
      </c>
      <c r="D1169" s="2">
        <f>YEAR(C1169)</f>
        <v>2019</v>
      </c>
      <c r="E1169">
        <v>297770</v>
      </c>
      <c r="F1169" t="s">
        <v>85</v>
      </c>
      <c r="G1169">
        <v>1955</v>
      </c>
      <c r="H1169">
        <v>3604</v>
      </c>
      <c r="I1169" t="s">
        <v>122</v>
      </c>
      <c r="J1169">
        <v>76</v>
      </c>
      <c r="K1169">
        <v>60076</v>
      </c>
      <c r="L1169">
        <v>1667</v>
      </c>
      <c r="M1169">
        <v>11</v>
      </c>
      <c r="N1169">
        <v>3</v>
      </c>
      <c r="O1169">
        <v>0</v>
      </c>
      <c r="P1169" t="s">
        <v>79</v>
      </c>
      <c r="Q1169">
        <v>3</v>
      </c>
      <c r="R1169">
        <v>1</v>
      </c>
      <c r="S1169" t="s">
        <v>19</v>
      </c>
      <c r="T1169">
        <v>0</v>
      </c>
      <c r="U1169">
        <v>0</v>
      </c>
    </row>
    <row r="1170" spans="1:21" x14ac:dyDescent="0.25">
      <c r="A1170">
        <v>9863788</v>
      </c>
      <c r="B1170" t="s">
        <v>15</v>
      </c>
      <c r="C1170" s="1">
        <v>43250</v>
      </c>
      <c r="D1170" s="2">
        <f>YEAR(C1170)</f>
        <v>2018</v>
      </c>
      <c r="E1170">
        <v>317500</v>
      </c>
      <c r="F1170" t="s">
        <v>85</v>
      </c>
      <c r="G1170">
        <v>1955</v>
      </c>
      <c r="H1170">
        <v>4727</v>
      </c>
      <c r="I1170" t="s">
        <v>366</v>
      </c>
      <c r="J1170">
        <v>76</v>
      </c>
      <c r="K1170">
        <v>60076</v>
      </c>
      <c r="L1170">
        <v>1591</v>
      </c>
      <c r="M1170">
        <v>8</v>
      </c>
      <c r="N1170">
        <v>2</v>
      </c>
      <c r="O1170">
        <v>1</v>
      </c>
      <c r="P1170" t="s">
        <v>79</v>
      </c>
      <c r="Q1170">
        <v>3</v>
      </c>
      <c r="R1170">
        <v>0</v>
      </c>
      <c r="S1170" t="s">
        <v>21</v>
      </c>
      <c r="T1170">
        <v>2</v>
      </c>
      <c r="U1170">
        <v>0</v>
      </c>
    </row>
    <row r="1171" spans="1:21" x14ac:dyDescent="0.25">
      <c r="A1171">
        <v>9984805</v>
      </c>
      <c r="B1171" t="s">
        <v>15</v>
      </c>
      <c r="C1171" s="1">
        <v>43342</v>
      </c>
      <c r="D1171" s="2">
        <f>YEAR(C1171)</f>
        <v>2018</v>
      </c>
      <c r="E1171">
        <v>299000</v>
      </c>
      <c r="F1171" t="s">
        <v>85</v>
      </c>
      <c r="G1171">
        <v>1955</v>
      </c>
      <c r="H1171">
        <v>9327</v>
      </c>
      <c r="I1171" t="s">
        <v>47</v>
      </c>
      <c r="J1171">
        <v>76</v>
      </c>
      <c r="K1171">
        <v>60077</v>
      </c>
      <c r="L1171">
        <v>1506</v>
      </c>
      <c r="M1171">
        <v>6</v>
      </c>
      <c r="N1171">
        <v>2</v>
      </c>
      <c r="O1171">
        <v>0</v>
      </c>
      <c r="P1171" t="s">
        <v>79</v>
      </c>
      <c r="Q1171">
        <v>2</v>
      </c>
      <c r="R1171">
        <v>0</v>
      </c>
      <c r="S1171" t="s">
        <v>21</v>
      </c>
      <c r="T1171">
        <v>2</v>
      </c>
      <c r="U1171">
        <v>0</v>
      </c>
    </row>
    <row r="1172" spans="1:21" x14ac:dyDescent="0.25">
      <c r="A1172">
        <v>9559403</v>
      </c>
      <c r="B1172" t="s">
        <v>15</v>
      </c>
      <c r="C1172" s="1">
        <v>42870</v>
      </c>
      <c r="D1172" s="2">
        <f>YEAR(C1172)</f>
        <v>2017</v>
      </c>
      <c r="E1172">
        <v>384000</v>
      </c>
      <c r="F1172" t="s">
        <v>85</v>
      </c>
      <c r="G1172">
        <v>1955</v>
      </c>
      <c r="H1172">
        <v>8123</v>
      </c>
      <c r="I1172" t="s">
        <v>152</v>
      </c>
      <c r="J1172">
        <v>76</v>
      </c>
      <c r="K1172">
        <v>60076</v>
      </c>
      <c r="L1172">
        <v>1503</v>
      </c>
      <c r="M1172">
        <v>7</v>
      </c>
      <c r="N1172">
        <v>2</v>
      </c>
      <c r="O1172">
        <v>0</v>
      </c>
      <c r="P1172" t="s">
        <v>79</v>
      </c>
      <c r="Q1172">
        <v>3</v>
      </c>
      <c r="R1172">
        <v>0</v>
      </c>
      <c r="S1172" t="s">
        <v>21</v>
      </c>
      <c r="T1172">
        <v>1</v>
      </c>
      <c r="U1172">
        <v>0</v>
      </c>
    </row>
    <row r="1173" spans="1:21" x14ac:dyDescent="0.25">
      <c r="A1173">
        <v>10049275</v>
      </c>
      <c r="B1173" t="s">
        <v>15</v>
      </c>
      <c r="C1173" s="1">
        <v>43418</v>
      </c>
      <c r="D1173" s="2">
        <f>YEAR(C1173)</f>
        <v>2018</v>
      </c>
      <c r="E1173">
        <v>285000</v>
      </c>
      <c r="F1173" t="s">
        <v>85</v>
      </c>
      <c r="G1173">
        <v>1955</v>
      </c>
      <c r="H1173">
        <v>8517</v>
      </c>
      <c r="I1173" t="s">
        <v>460</v>
      </c>
      <c r="J1173">
        <v>76</v>
      </c>
      <c r="K1173">
        <v>60076</v>
      </c>
      <c r="L1173">
        <v>1503</v>
      </c>
      <c r="M1173">
        <v>8</v>
      </c>
      <c r="N1173">
        <v>2</v>
      </c>
      <c r="O1173">
        <v>0</v>
      </c>
      <c r="P1173" t="s">
        <v>79</v>
      </c>
      <c r="Q1173">
        <v>3</v>
      </c>
      <c r="R1173">
        <v>0</v>
      </c>
      <c r="S1173" t="s">
        <v>22</v>
      </c>
      <c r="T1173">
        <v>1.5</v>
      </c>
      <c r="U1173">
        <v>0</v>
      </c>
    </row>
    <row r="1174" spans="1:21" x14ac:dyDescent="0.25">
      <c r="A1174">
        <v>10162433</v>
      </c>
      <c r="B1174" t="s">
        <v>15</v>
      </c>
      <c r="C1174" s="1">
        <v>43507</v>
      </c>
      <c r="D1174" s="2">
        <f>YEAR(C1174)</f>
        <v>2019</v>
      </c>
      <c r="E1174">
        <v>325000</v>
      </c>
      <c r="F1174" t="s">
        <v>85</v>
      </c>
      <c r="G1174">
        <v>1955</v>
      </c>
      <c r="H1174">
        <v>4120</v>
      </c>
      <c r="I1174" t="s">
        <v>150</v>
      </c>
      <c r="J1174">
        <v>76</v>
      </c>
      <c r="K1174">
        <v>60076</v>
      </c>
      <c r="L1174">
        <v>1489</v>
      </c>
      <c r="M1174">
        <v>10</v>
      </c>
      <c r="N1174">
        <v>3</v>
      </c>
      <c r="O1174">
        <v>0</v>
      </c>
      <c r="P1174" t="s">
        <v>79</v>
      </c>
      <c r="Q1174">
        <v>3</v>
      </c>
      <c r="R1174">
        <v>1</v>
      </c>
      <c r="S1174" t="s">
        <v>21</v>
      </c>
      <c r="T1174">
        <v>2</v>
      </c>
      <c r="U1174">
        <v>0</v>
      </c>
    </row>
    <row r="1175" spans="1:21" x14ac:dyDescent="0.25">
      <c r="A1175">
        <v>10024099</v>
      </c>
      <c r="B1175" t="s">
        <v>15</v>
      </c>
      <c r="C1175" s="1">
        <v>43353</v>
      </c>
      <c r="D1175" s="2">
        <f>YEAR(C1175)</f>
        <v>2018</v>
      </c>
      <c r="E1175">
        <v>419000</v>
      </c>
      <c r="F1175" t="s">
        <v>85</v>
      </c>
      <c r="G1175">
        <v>1955</v>
      </c>
      <c r="H1175">
        <v>8052</v>
      </c>
      <c r="I1175" t="s">
        <v>123</v>
      </c>
      <c r="J1175">
        <v>76</v>
      </c>
      <c r="K1175">
        <v>60076</v>
      </c>
      <c r="L1175">
        <v>1407</v>
      </c>
      <c r="M1175">
        <v>8</v>
      </c>
      <c r="N1175">
        <v>2</v>
      </c>
      <c r="O1175">
        <v>1</v>
      </c>
      <c r="P1175" t="s">
        <v>79</v>
      </c>
      <c r="Q1175">
        <v>3</v>
      </c>
      <c r="R1175">
        <v>0</v>
      </c>
      <c r="S1175" t="s">
        <v>22</v>
      </c>
      <c r="T1175">
        <v>2.5</v>
      </c>
      <c r="U1175">
        <v>0</v>
      </c>
    </row>
    <row r="1176" spans="1:21" x14ac:dyDescent="0.25">
      <c r="A1176">
        <v>9618578</v>
      </c>
      <c r="B1176" t="s">
        <v>15</v>
      </c>
      <c r="C1176" s="1">
        <v>42916</v>
      </c>
      <c r="D1176" s="2">
        <f>YEAR(C1176)</f>
        <v>2017</v>
      </c>
      <c r="E1176">
        <v>355000</v>
      </c>
      <c r="F1176" t="s">
        <v>85</v>
      </c>
      <c r="G1176">
        <v>1955</v>
      </c>
      <c r="H1176">
        <v>8706</v>
      </c>
      <c r="I1176" t="s">
        <v>97</v>
      </c>
      <c r="J1176">
        <v>76</v>
      </c>
      <c r="K1176">
        <v>60076</v>
      </c>
      <c r="L1176">
        <v>1400</v>
      </c>
      <c r="M1176">
        <v>8</v>
      </c>
      <c r="N1176">
        <v>2</v>
      </c>
      <c r="O1176">
        <v>0</v>
      </c>
      <c r="P1176" t="s">
        <v>79</v>
      </c>
      <c r="Q1176">
        <v>3</v>
      </c>
      <c r="R1176">
        <v>0</v>
      </c>
      <c r="S1176" t="s">
        <v>22</v>
      </c>
      <c r="T1176">
        <v>2.5</v>
      </c>
      <c r="U1176">
        <v>0</v>
      </c>
    </row>
    <row r="1177" spans="1:21" x14ac:dyDescent="0.25">
      <c r="A1177">
        <v>9635569</v>
      </c>
      <c r="B1177" t="s">
        <v>15</v>
      </c>
      <c r="C1177" s="1">
        <v>43048</v>
      </c>
      <c r="D1177" s="2">
        <f>YEAR(C1177)</f>
        <v>2017</v>
      </c>
      <c r="E1177">
        <v>405000</v>
      </c>
      <c r="F1177" t="s">
        <v>85</v>
      </c>
      <c r="G1177">
        <v>1955</v>
      </c>
      <c r="H1177">
        <v>4455</v>
      </c>
      <c r="I1177" t="s">
        <v>55</v>
      </c>
      <c r="J1177">
        <v>76</v>
      </c>
      <c r="K1177">
        <v>60076</v>
      </c>
      <c r="L1177">
        <v>1394</v>
      </c>
      <c r="M1177">
        <v>9</v>
      </c>
      <c r="N1177">
        <v>2</v>
      </c>
      <c r="O1177">
        <v>0</v>
      </c>
      <c r="P1177" t="s">
        <v>79</v>
      </c>
      <c r="Q1177">
        <v>3</v>
      </c>
      <c r="R1177">
        <v>1</v>
      </c>
      <c r="S1177" t="s">
        <v>21</v>
      </c>
      <c r="T1177">
        <v>2</v>
      </c>
      <c r="U1177">
        <v>0</v>
      </c>
    </row>
    <row r="1178" spans="1:21" x14ac:dyDescent="0.25">
      <c r="A1178">
        <v>9368931</v>
      </c>
      <c r="B1178" t="s">
        <v>15</v>
      </c>
      <c r="C1178" s="1">
        <v>42839</v>
      </c>
      <c r="D1178" s="2">
        <f>YEAR(C1178)</f>
        <v>2017</v>
      </c>
      <c r="E1178">
        <v>310000</v>
      </c>
      <c r="F1178" t="s">
        <v>85</v>
      </c>
      <c r="G1178">
        <v>1955</v>
      </c>
      <c r="H1178">
        <v>3833</v>
      </c>
      <c r="I1178" t="s">
        <v>338</v>
      </c>
      <c r="J1178">
        <v>76</v>
      </c>
      <c r="K1178">
        <v>60076</v>
      </c>
      <c r="L1178">
        <v>1394</v>
      </c>
      <c r="M1178">
        <v>7</v>
      </c>
      <c r="N1178">
        <v>2</v>
      </c>
      <c r="O1178">
        <v>1</v>
      </c>
      <c r="P1178" t="s">
        <v>79</v>
      </c>
      <c r="Q1178">
        <v>3</v>
      </c>
      <c r="R1178">
        <v>1</v>
      </c>
      <c r="S1178" t="s">
        <v>22</v>
      </c>
      <c r="T1178">
        <v>2.5</v>
      </c>
      <c r="U1178">
        <v>0</v>
      </c>
    </row>
    <row r="1179" spans="1:21" x14ac:dyDescent="0.25">
      <c r="A1179">
        <v>9891338</v>
      </c>
      <c r="B1179" t="s">
        <v>15</v>
      </c>
      <c r="C1179" s="1">
        <v>43236</v>
      </c>
      <c r="D1179" s="2">
        <f>YEAR(C1179)</f>
        <v>2018</v>
      </c>
      <c r="E1179">
        <v>364000</v>
      </c>
      <c r="F1179" t="s">
        <v>85</v>
      </c>
      <c r="G1179">
        <v>1955</v>
      </c>
      <c r="H1179">
        <v>7601</v>
      </c>
      <c r="I1179" t="s">
        <v>23</v>
      </c>
      <c r="J1179">
        <v>76</v>
      </c>
      <c r="K1179">
        <v>60076</v>
      </c>
      <c r="L1179">
        <v>1258</v>
      </c>
      <c r="M1179">
        <v>9</v>
      </c>
      <c r="N1179">
        <v>2</v>
      </c>
      <c r="O1179">
        <v>1</v>
      </c>
      <c r="P1179" t="s">
        <v>79</v>
      </c>
      <c r="Q1179">
        <v>3</v>
      </c>
      <c r="R1179">
        <v>0</v>
      </c>
      <c r="S1179" t="s">
        <v>21</v>
      </c>
      <c r="T1179">
        <v>2</v>
      </c>
      <c r="U1179">
        <v>0</v>
      </c>
    </row>
    <row r="1180" spans="1:21" x14ac:dyDescent="0.25">
      <c r="A1180">
        <v>10113231</v>
      </c>
      <c r="B1180" t="s">
        <v>15</v>
      </c>
      <c r="C1180" s="1">
        <v>43524</v>
      </c>
      <c r="D1180" s="2">
        <f>YEAR(C1180)</f>
        <v>2019</v>
      </c>
      <c r="E1180">
        <v>284000</v>
      </c>
      <c r="F1180" t="s">
        <v>85</v>
      </c>
      <c r="G1180">
        <v>1955</v>
      </c>
      <c r="H1180">
        <v>8357</v>
      </c>
      <c r="I1180" t="s">
        <v>89</v>
      </c>
      <c r="J1180">
        <v>76</v>
      </c>
      <c r="K1180">
        <v>60076</v>
      </c>
      <c r="L1180">
        <v>1240</v>
      </c>
      <c r="M1180">
        <v>7</v>
      </c>
      <c r="N1180">
        <v>2</v>
      </c>
      <c r="O1180">
        <v>0</v>
      </c>
      <c r="P1180" t="s">
        <v>79</v>
      </c>
      <c r="Q1180">
        <v>3</v>
      </c>
      <c r="R1180">
        <v>0</v>
      </c>
      <c r="S1180" t="s">
        <v>21</v>
      </c>
      <c r="T1180">
        <v>1</v>
      </c>
      <c r="U1180">
        <v>0</v>
      </c>
    </row>
    <row r="1181" spans="1:21" x14ac:dyDescent="0.25">
      <c r="A1181">
        <v>9755850</v>
      </c>
      <c r="B1181" t="s">
        <v>15</v>
      </c>
      <c r="C1181" s="1">
        <v>43028</v>
      </c>
      <c r="D1181" s="2">
        <f>YEAR(C1181)</f>
        <v>2017</v>
      </c>
      <c r="E1181">
        <v>240000</v>
      </c>
      <c r="F1181" t="s">
        <v>85</v>
      </c>
      <c r="G1181">
        <v>1955</v>
      </c>
      <c r="H1181">
        <v>8420</v>
      </c>
      <c r="I1181" t="s">
        <v>137</v>
      </c>
      <c r="J1181">
        <v>76</v>
      </c>
      <c r="K1181">
        <v>60077</v>
      </c>
      <c r="L1181">
        <v>1214</v>
      </c>
      <c r="M1181">
        <v>7</v>
      </c>
      <c r="N1181">
        <v>1</v>
      </c>
      <c r="O1181">
        <v>1</v>
      </c>
      <c r="P1181" t="s">
        <v>79</v>
      </c>
      <c r="Q1181">
        <v>3</v>
      </c>
      <c r="R1181">
        <v>0</v>
      </c>
      <c r="S1181" t="s">
        <v>22</v>
      </c>
      <c r="T1181">
        <v>2</v>
      </c>
      <c r="U1181">
        <v>0</v>
      </c>
    </row>
    <row r="1182" spans="1:21" x14ac:dyDescent="0.25">
      <c r="A1182">
        <v>9815051</v>
      </c>
      <c r="B1182" t="s">
        <v>15</v>
      </c>
      <c r="C1182" s="1">
        <v>43157</v>
      </c>
      <c r="D1182" s="2">
        <f>YEAR(C1182)</f>
        <v>2018</v>
      </c>
      <c r="E1182">
        <v>350000</v>
      </c>
      <c r="F1182" t="s">
        <v>85</v>
      </c>
      <c r="G1182">
        <v>1955</v>
      </c>
      <c r="H1182">
        <v>8420</v>
      </c>
      <c r="I1182" t="s">
        <v>137</v>
      </c>
      <c r="J1182">
        <v>76</v>
      </c>
      <c r="K1182">
        <v>60077</v>
      </c>
      <c r="L1182">
        <v>1214</v>
      </c>
      <c r="M1182">
        <v>8</v>
      </c>
      <c r="N1182">
        <v>2</v>
      </c>
      <c r="O1182">
        <v>0</v>
      </c>
      <c r="P1182" t="s">
        <v>79</v>
      </c>
      <c r="Q1182">
        <v>3</v>
      </c>
      <c r="R1182">
        <v>0</v>
      </c>
      <c r="S1182" t="s">
        <v>22</v>
      </c>
      <c r="T1182">
        <v>2</v>
      </c>
      <c r="U1182">
        <v>0</v>
      </c>
    </row>
    <row r="1183" spans="1:21" x14ac:dyDescent="0.25">
      <c r="A1183">
        <v>9929825</v>
      </c>
      <c r="B1183" t="s">
        <v>15</v>
      </c>
      <c r="C1183" s="1">
        <v>43308</v>
      </c>
      <c r="D1183" s="2">
        <f>YEAR(C1183)</f>
        <v>2018</v>
      </c>
      <c r="E1183">
        <v>320000</v>
      </c>
      <c r="F1183" t="s">
        <v>85</v>
      </c>
      <c r="G1183">
        <v>1955</v>
      </c>
      <c r="H1183">
        <v>4214</v>
      </c>
      <c r="I1183" t="s">
        <v>38</v>
      </c>
      <c r="J1183">
        <v>76</v>
      </c>
      <c r="K1183">
        <v>60076</v>
      </c>
      <c r="L1183">
        <v>1203</v>
      </c>
      <c r="M1183">
        <v>8</v>
      </c>
      <c r="N1183">
        <v>2</v>
      </c>
      <c r="O1183">
        <v>1</v>
      </c>
      <c r="P1183" t="s">
        <v>79</v>
      </c>
      <c r="Q1183">
        <v>3</v>
      </c>
      <c r="R1183">
        <v>1</v>
      </c>
      <c r="S1183" t="s">
        <v>21</v>
      </c>
      <c r="T1183">
        <v>1</v>
      </c>
      <c r="U1183">
        <v>0</v>
      </c>
    </row>
    <row r="1184" spans="1:21" x14ac:dyDescent="0.25">
      <c r="A1184">
        <v>9985482</v>
      </c>
      <c r="B1184" t="s">
        <v>15</v>
      </c>
      <c r="C1184" s="1">
        <v>43292</v>
      </c>
      <c r="D1184" s="2">
        <f>YEAR(C1184)</f>
        <v>2018</v>
      </c>
      <c r="E1184">
        <v>310000</v>
      </c>
      <c r="F1184" t="s">
        <v>85</v>
      </c>
      <c r="G1184">
        <v>1955</v>
      </c>
      <c r="H1184">
        <v>7817</v>
      </c>
      <c r="I1184" t="s">
        <v>89</v>
      </c>
      <c r="J1184">
        <v>76</v>
      </c>
      <c r="K1184">
        <v>60076</v>
      </c>
      <c r="L1184">
        <v>1166</v>
      </c>
      <c r="M1184">
        <v>7</v>
      </c>
      <c r="N1184">
        <v>2</v>
      </c>
      <c r="O1184">
        <v>0</v>
      </c>
      <c r="P1184" t="s">
        <v>79</v>
      </c>
      <c r="Q1184">
        <v>3</v>
      </c>
      <c r="R1184">
        <v>0</v>
      </c>
      <c r="S1184" t="s">
        <v>22</v>
      </c>
      <c r="T1184">
        <v>2</v>
      </c>
      <c r="U1184">
        <v>0</v>
      </c>
    </row>
    <row r="1185" spans="1:21" x14ac:dyDescent="0.25">
      <c r="A1185">
        <v>9972037</v>
      </c>
      <c r="B1185" t="s">
        <v>15</v>
      </c>
      <c r="C1185" s="1">
        <v>43406</v>
      </c>
      <c r="D1185" s="2">
        <f>YEAR(C1185)</f>
        <v>2018</v>
      </c>
      <c r="E1185">
        <v>260000</v>
      </c>
      <c r="F1185" t="s">
        <v>85</v>
      </c>
      <c r="G1185">
        <v>1955</v>
      </c>
      <c r="H1185">
        <v>7920</v>
      </c>
      <c r="I1185" t="s">
        <v>98</v>
      </c>
      <c r="J1185">
        <v>76</v>
      </c>
      <c r="K1185">
        <v>60076</v>
      </c>
      <c r="L1185">
        <v>1142</v>
      </c>
      <c r="M1185">
        <v>8</v>
      </c>
      <c r="N1185">
        <v>2</v>
      </c>
      <c r="O1185">
        <v>0</v>
      </c>
      <c r="P1185" t="s">
        <v>79</v>
      </c>
      <c r="Q1185">
        <v>3</v>
      </c>
      <c r="R1185">
        <v>1</v>
      </c>
      <c r="S1185" t="s">
        <v>22</v>
      </c>
      <c r="T1185">
        <v>2</v>
      </c>
      <c r="U1185">
        <v>0</v>
      </c>
    </row>
    <row r="1186" spans="1:21" x14ac:dyDescent="0.25">
      <c r="A1186">
        <v>9570925</v>
      </c>
      <c r="B1186" t="s">
        <v>15</v>
      </c>
      <c r="C1186" s="1">
        <v>42857</v>
      </c>
      <c r="D1186" s="2">
        <f>YEAR(C1186)</f>
        <v>2017</v>
      </c>
      <c r="E1186">
        <v>315000</v>
      </c>
      <c r="F1186" t="s">
        <v>85</v>
      </c>
      <c r="G1186">
        <v>1955</v>
      </c>
      <c r="H1186">
        <v>7809</v>
      </c>
      <c r="I1186" t="s">
        <v>107</v>
      </c>
      <c r="J1186">
        <v>76</v>
      </c>
      <c r="K1186">
        <v>60076</v>
      </c>
      <c r="L1186">
        <v>1140</v>
      </c>
      <c r="M1186">
        <v>7</v>
      </c>
      <c r="N1186">
        <v>2</v>
      </c>
      <c r="O1186">
        <v>0</v>
      </c>
      <c r="P1186" t="s">
        <v>79</v>
      </c>
      <c r="Q1186">
        <v>3</v>
      </c>
      <c r="R1186">
        <v>0</v>
      </c>
      <c r="S1186" t="s">
        <v>22</v>
      </c>
      <c r="T1186">
        <v>2</v>
      </c>
      <c r="U1186">
        <v>0</v>
      </c>
    </row>
    <row r="1187" spans="1:21" x14ac:dyDescent="0.25">
      <c r="A1187">
        <v>9685656</v>
      </c>
      <c r="B1187" t="s">
        <v>15</v>
      </c>
      <c r="C1187" s="1">
        <v>42991</v>
      </c>
      <c r="D1187" s="2">
        <f>YEAR(C1187)</f>
        <v>2017</v>
      </c>
      <c r="E1187">
        <v>290000</v>
      </c>
      <c r="F1187" t="s">
        <v>85</v>
      </c>
      <c r="G1187">
        <v>1955</v>
      </c>
      <c r="H1187">
        <v>8247</v>
      </c>
      <c r="I1187" t="s">
        <v>461</v>
      </c>
      <c r="J1187">
        <v>76</v>
      </c>
      <c r="K1187">
        <v>60076</v>
      </c>
      <c r="L1187">
        <v>1129</v>
      </c>
      <c r="M1187">
        <v>8</v>
      </c>
      <c r="N1187">
        <v>2</v>
      </c>
      <c r="O1187">
        <v>0</v>
      </c>
      <c r="P1187" t="s">
        <v>79</v>
      </c>
      <c r="Q1187">
        <v>3</v>
      </c>
      <c r="R1187">
        <v>0</v>
      </c>
      <c r="S1187" t="s">
        <v>19</v>
      </c>
      <c r="T1187">
        <v>0</v>
      </c>
      <c r="U1187">
        <v>0</v>
      </c>
    </row>
    <row r="1188" spans="1:21" x14ac:dyDescent="0.25">
      <c r="A1188">
        <v>9639329</v>
      </c>
      <c r="B1188" t="s">
        <v>15</v>
      </c>
      <c r="C1188" s="1">
        <v>42927</v>
      </c>
      <c r="D1188" s="2">
        <f>YEAR(C1188)</f>
        <v>2017</v>
      </c>
      <c r="E1188">
        <v>324900</v>
      </c>
      <c r="F1188" t="s">
        <v>85</v>
      </c>
      <c r="G1188">
        <v>1955</v>
      </c>
      <c r="H1188">
        <v>7742</v>
      </c>
      <c r="I1188" t="s">
        <v>97</v>
      </c>
      <c r="J1188">
        <v>76</v>
      </c>
      <c r="K1188">
        <v>60076</v>
      </c>
      <c r="L1188">
        <v>1104</v>
      </c>
      <c r="M1188">
        <v>8</v>
      </c>
      <c r="N1188">
        <v>2</v>
      </c>
      <c r="O1188">
        <v>0</v>
      </c>
      <c r="P1188" t="s">
        <v>79</v>
      </c>
      <c r="Q1188">
        <v>3</v>
      </c>
      <c r="R1188">
        <v>1</v>
      </c>
      <c r="S1188" t="s">
        <v>22</v>
      </c>
      <c r="T1188">
        <v>2</v>
      </c>
      <c r="U1188">
        <v>0</v>
      </c>
    </row>
    <row r="1189" spans="1:21" x14ac:dyDescent="0.25">
      <c r="A1189">
        <v>9673031</v>
      </c>
      <c r="B1189" t="s">
        <v>15</v>
      </c>
      <c r="C1189" s="1">
        <v>42976</v>
      </c>
      <c r="D1189" s="2">
        <f>YEAR(C1189)</f>
        <v>2017</v>
      </c>
      <c r="E1189">
        <v>280000</v>
      </c>
      <c r="F1189" t="s">
        <v>85</v>
      </c>
      <c r="G1189">
        <v>1955</v>
      </c>
      <c r="H1189">
        <v>9311</v>
      </c>
      <c r="I1189" t="s">
        <v>47</v>
      </c>
      <c r="J1189">
        <v>76</v>
      </c>
      <c r="K1189">
        <v>60077</v>
      </c>
      <c r="L1189">
        <v>1091</v>
      </c>
      <c r="M1189">
        <v>7</v>
      </c>
      <c r="N1189">
        <v>1</v>
      </c>
      <c r="O1189">
        <v>1</v>
      </c>
      <c r="P1189" t="s">
        <v>79</v>
      </c>
      <c r="Q1189">
        <v>3</v>
      </c>
      <c r="R1189">
        <v>0</v>
      </c>
      <c r="S1189" t="s">
        <v>22</v>
      </c>
      <c r="T1189">
        <v>2</v>
      </c>
      <c r="U1189">
        <v>0</v>
      </c>
    </row>
    <row r="1190" spans="1:21" x14ac:dyDescent="0.25">
      <c r="A1190">
        <v>9603306</v>
      </c>
      <c r="B1190" t="s">
        <v>15</v>
      </c>
      <c r="C1190" s="1">
        <v>42914</v>
      </c>
      <c r="D1190" s="2">
        <f>YEAR(C1190)</f>
        <v>2017</v>
      </c>
      <c r="E1190">
        <v>402000</v>
      </c>
      <c r="F1190" t="s">
        <v>85</v>
      </c>
      <c r="G1190">
        <v>1955</v>
      </c>
      <c r="H1190">
        <v>7518</v>
      </c>
      <c r="I1190" t="s">
        <v>102</v>
      </c>
      <c r="J1190">
        <v>76</v>
      </c>
      <c r="K1190">
        <v>60076</v>
      </c>
      <c r="L1190">
        <v>1060</v>
      </c>
      <c r="M1190">
        <v>9</v>
      </c>
      <c r="N1190">
        <v>2</v>
      </c>
      <c r="O1190">
        <v>0</v>
      </c>
      <c r="P1190" t="s">
        <v>79</v>
      </c>
      <c r="Q1190">
        <v>3</v>
      </c>
      <c r="R1190">
        <v>2</v>
      </c>
      <c r="S1190" t="s">
        <v>22</v>
      </c>
      <c r="T1190">
        <v>2</v>
      </c>
      <c r="U1190">
        <v>0</v>
      </c>
    </row>
    <row r="1191" spans="1:21" x14ac:dyDescent="0.25">
      <c r="A1191">
        <v>9339542</v>
      </c>
      <c r="B1191" t="s">
        <v>15</v>
      </c>
      <c r="C1191" s="1">
        <v>42915</v>
      </c>
      <c r="D1191" s="2">
        <f>YEAR(C1191)</f>
        <v>2017</v>
      </c>
      <c r="E1191">
        <v>225000</v>
      </c>
      <c r="F1191" t="s">
        <v>85</v>
      </c>
      <c r="G1191">
        <v>1955</v>
      </c>
      <c r="H1191">
        <v>5050</v>
      </c>
      <c r="I1191" t="s">
        <v>449</v>
      </c>
      <c r="J1191">
        <v>76</v>
      </c>
      <c r="K1191">
        <v>60077</v>
      </c>
      <c r="L1191">
        <v>900</v>
      </c>
      <c r="M1191">
        <v>6</v>
      </c>
      <c r="N1191">
        <v>2</v>
      </c>
      <c r="O1191">
        <v>0</v>
      </c>
      <c r="P1191" t="s">
        <v>79</v>
      </c>
      <c r="Q1191">
        <v>2</v>
      </c>
      <c r="R1191">
        <v>0</v>
      </c>
      <c r="S1191" t="s">
        <v>22</v>
      </c>
      <c r="T1191">
        <v>2</v>
      </c>
      <c r="U1191">
        <v>0</v>
      </c>
    </row>
    <row r="1192" spans="1:21" x14ac:dyDescent="0.25">
      <c r="A1192">
        <v>9933380</v>
      </c>
      <c r="B1192" t="s">
        <v>15</v>
      </c>
      <c r="C1192" s="1">
        <v>43342</v>
      </c>
      <c r="D1192" s="2">
        <f>YEAR(C1192)</f>
        <v>2018</v>
      </c>
      <c r="E1192">
        <v>585000</v>
      </c>
      <c r="F1192" t="s">
        <v>85</v>
      </c>
      <c r="G1192">
        <v>1955</v>
      </c>
      <c r="H1192">
        <v>1729</v>
      </c>
      <c r="I1192" t="s">
        <v>211</v>
      </c>
      <c r="J1192">
        <v>62</v>
      </c>
      <c r="K1192">
        <v>60062</v>
      </c>
      <c r="L1192">
        <v>2566</v>
      </c>
      <c r="M1192">
        <v>9</v>
      </c>
      <c r="N1192">
        <v>3</v>
      </c>
      <c r="O1192">
        <v>1</v>
      </c>
      <c r="P1192" t="s">
        <v>79</v>
      </c>
      <c r="Q1192">
        <v>5</v>
      </c>
      <c r="R1192">
        <v>0</v>
      </c>
      <c r="S1192" t="s">
        <v>21</v>
      </c>
      <c r="T1192">
        <v>1.5</v>
      </c>
      <c r="U1192">
        <v>0</v>
      </c>
    </row>
    <row r="1193" spans="1:21" x14ac:dyDescent="0.25">
      <c r="A1193">
        <v>10027122</v>
      </c>
      <c r="B1193" t="s">
        <v>15</v>
      </c>
      <c r="C1193" s="1">
        <v>43349</v>
      </c>
      <c r="D1193" s="2">
        <f>YEAR(C1193)</f>
        <v>2018</v>
      </c>
      <c r="E1193">
        <v>385000</v>
      </c>
      <c r="F1193" t="s">
        <v>85</v>
      </c>
      <c r="G1193">
        <v>1955</v>
      </c>
      <c r="H1193">
        <v>1728</v>
      </c>
      <c r="I1193" t="s">
        <v>211</v>
      </c>
      <c r="J1193">
        <v>62</v>
      </c>
      <c r="K1193">
        <v>60062</v>
      </c>
      <c r="L1193">
        <v>2000</v>
      </c>
      <c r="M1193">
        <v>5</v>
      </c>
      <c r="N1193">
        <v>2</v>
      </c>
      <c r="O1193">
        <v>0</v>
      </c>
      <c r="P1193" t="s">
        <v>79</v>
      </c>
      <c r="Q1193">
        <v>2</v>
      </c>
      <c r="R1193">
        <v>1</v>
      </c>
      <c r="S1193" t="s">
        <v>21</v>
      </c>
      <c r="T1193">
        <v>1</v>
      </c>
      <c r="U1193">
        <v>0</v>
      </c>
    </row>
    <row r="1194" spans="1:21" x14ac:dyDescent="0.25">
      <c r="A1194">
        <v>9950676</v>
      </c>
      <c r="B1194" t="s">
        <v>15</v>
      </c>
      <c r="C1194" s="1">
        <v>43319</v>
      </c>
      <c r="D1194" s="2">
        <f>YEAR(C1194)</f>
        <v>2018</v>
      </c>
      <c r="E1194">
        <v>420450</v>
      </c>
      <c r="F1194" t="s">
        <v>85</v>
      </c>
      <c r="G1194">
        <v>1955</v>
      </c>
      <c r="H1194">
        <v>1039</v>
      </c>
      <c r="I1194" t="s">
        <v>458</v>
      </c>
      <c r="J1194">
        <v>62</v>
      </c>
      <c r="K1194">
        <v>60062</v>
      </c>
      <c r="L1194">
        <v>1663</v>
      </c>
      <c r="M1194">
        <v>8</v>
      </c>
      <c r="N1194">
        <v>2</v>
      </c>
      <c r="O1194">
        <v>0</v>
      </c>
      <c r="P1194" t="s">
        <v>79</v>
      </c>
      <c r="Q1194">
        <v>3</v>
      </c>
      <c r="R1194">
        <v>1</v>
      </c>
      <c r="S1194" t="s">
        <v>21</v>
      </c>
      <c r="T1194">
        <v>2</v>
      </c>
      <c r="U1194">
        <v>0</v>
      </c>
    </row>
    <row r="1195" spans="1:21" x14ac:dyDescent="0.25">
      <c r="A1195">
        <v>9848466</v>
      </c>
      <c r="B1195" t="s">
        <v>15</v>
      </c>
      <c r="C1195" s="1">
        <v>43241</v>
      </c>
      <c r="D1195" s="2">
        <f>YEAR(C1195)</f>
        <v>2018</v>
      </c>
      <c r="E1195">
        <v>425000</v>
      </c>
      <c r="F1195" t="s">
        <v>85</v>
      </c>
      <c r="G1195">
        <v>1955</v>
      </c>
      <c r="H1195">
        <v>1942</v>
      </c>
      <c r="I1195" t="s">
        <v>463</v>
      </c>
      <c r="J1195">
        <v>62</v>
      </c>
      <c r="K1195">
        <v>60062</v>
      </c>
      <c r="L1195">
        <v>1600</v>
      </c>
      <c r="M1195">
        <v>8</v>
      </c>
      <c r="N1195">
        <v>1</v>
      </c>
      <c r="O1195">
        <v>1</v>
      </c>
      <c r="P1195" t="s">
        <v>79</v>
      </c>
      <c r="Q1195">
        <v>3</v>
      </c>
      <c r="R1195">
        <v>0</v>
      </c>
      <c r="S1195" t="s">
        <v>21</v>
      </c>
      <c r="T1195">
        <v>1.5</v>
      </c>
      <c r="U1195">
        <v>0</v>
      </c>
    </row>
    <row r="1196" spans="1:21" x14ac:dyDescent="0.25">
      <c r="A1196">
        <v>9818165</v>
      </c>
      <c r="B1196" t="s">
        <v>15</v>
      </c>
      <c r="C1196" s="1">
        <v>43152</v>
      </c>
      <c r="D1196" s="2">
        <f>YEAR(C1196)</f>
        <v>2018</v>
      </c>
      <c r="E1196">
        <v>395000</v>
      </c>
      <c r="F1196" t="s">
        <v>85</v>
      </c>
      <c r="G1196">
        <v>1955</v>
      </c>
      <c r="H1196">
        <v>1922</v>
      </c>
      <c r="I1196" t="s">
        <v>69</v>
      </c>
      <c r="J1196">
        <v>62</v>
      </c>
      <c r="K1196">
        <v>60062</v>
      </c>
      <c r="L1196">
        <v>1594</v>
      </c>
      <c r="M1196">
        <v>8</v>
      </c>
      <c r="N1196">
        <v>2</v>
      </c>
      <c r="O1196">
        <v>1</v>
      </c>
      <c r="P1196" t="s">
        <v>79</v>
      </c>
      <c r="Q1196">
        <v>4</v>
      </c>
      <c r="R1196">
        <v>0</v>
      </c>
      <c r="S1196" t="s">
        <v>21</v>
      </c>
      <c r="T1196">
        <v>1</v>
      </c>
      <c r="U1196">
        <v>0</v>
      </c>
    </row>
    <row r="1197" spans="1:21" x14ac:dyDescent="0.25">
      <c r="A1197">
        <v>9725869</v>
      </c>
      <c r="B1197" t="s">
        <v>15</v>
      </c>
      <c r="C1197" s="1">
        <v>42989</v>
      </c>
      <c r="D1197" s="2">
        <f>YEAR(C1197)</f>
        <v>2017</v>
      </c>
      <c r="E1197">
        <v>400000</v>
      </c>
      <c r="F1197" t="s">
        <v>85</v>
      </c>
      <c r="G1197">
        <v>1955</v>
      </c>
      <c r="H1197">
        <v>1212</v>
      </c>
      <c r="I1197" t="s">
        <v>110</v>
      </c>
      <c r="J1197">
        <v>62</v>
      </c>
      <c r="K1197">
        <v>60062</v>
      </c>
      <c r="L1197">
        <v>1176</v>
      </c>
      <c r="M1197">
        <v>7</v>
      </c>
      <c r="N1197">
        <v>1</v>
      </c>
      <c r="O1197">
        <v>1</v>
      </c>
      <c r="P1197" t="s">
        <v>79</v>
      </c>
      <c r="Q1197">
        <v>3</v>
      </c>
      <c r="R1197">
        <v>0</v>
      </c>
      <c r="S1197" t="s">
        <v>22</v>
      </c>
      <c r="T1197">
        <v>1</v>
      </c>
      <c r="U1197">
        <v>0</v>
      </c>
    </row>
    <row r="1198" spans="1:21" x14ac:dyDescent="0.25">
      <c r="A1198">
        <v>9833559</v>
      </c>
      <c r="B1198" t="s">
        <v>15</v>
      </c>
      <c r="C1198" s="1">
        <v>43188</v>
      </c>
      <c r="D1198" s="2">
        <f>YEAR(C1198)</f>
        <v>2018</v>
      </c>
      <c r="E1198">
        <v>334900</v>
      </c>
      <c r="F1198" t="s">
        <v>85</v>
      </c>
      <c r="G1198">
        <v>1955</v>
      </c>
      <c r="H1198">
        <v>1033</v>
      </c>
      <c r="I1198" t="s">
        <v>458</v>
      </c>
      <c r="J1198">
        <v>62</v>
      </c>
      <c r="K1198">
        <v>60062</v>
      </c>
      <c r="L1198">
        <v>1072</v>
      </c>
      <c r="M1198">
        <v>8</v>
      </c>
      <c r="N1198">
        <v>2</v>
      </c>
      <c r="O1198">
        <v>0</v>
      </c>
      <c r="P1198" t="s">
        <v>79</v>
      </c>
      <c r="Q1198">
        <v>3</v>
      </c>
      <c r="R1198">
        <v>1</v>
      </c>
      <c r="S1198" t="s">
        <v>21</v>
      </c>
      <c r="T1198">
        <v>1</v>
      </c>
      <c r="U1198">
        <v>0</v>
      </c>
    </row>
    <row r="1199" spans="1:21" x14ac:dyDescent="0.25">
      <c r="A1199">
        <v>9697177</v>
      </c>
      <c r="B1199" t="s">
        <v>15</v>
      </c>
      <c r="C1199" s="1">
        <v>43066</v>
      </c>
      <c r="D1199" s="2">
        <f>YEAR(C1199)</f>
        <v>2017</v>
      </c>
      <c r="E1199">
        <v>660500</v>
      </c>
      <c r="F1199" t="s">
        <v>85</v>
      </c>
      <c r="G1199">
        <v>1956</v>
      </c>
      <c r="H1199">
        <v>9504</v>
      </c>
      <c r="I1199" t="s">
        <v>107</v>
      </c>
      <c r="J1199">
        <v>76</v>
      </c>
      <c r="K1199">
        <v>60076</v>
      </c>
      <c r="L1199">
        <v>3500</v>
      </c>
      <c r="M1199">
        <v>13</v>
      </c>
      <c r="N1199">
        <v>3</v>
      </c>
      <c r="O1199">
        <v>1</v>
      </c>
      <c r="P1199" t="s">
        <v>79</v>
      </c>
      <c r="Q1199">
        <v>5</v>
      </c>
      <c r="R1199">
        <v>0</v>
      </c>
      <c r="S1199" t="s">
        <v>22</v>
      </c>
      <c r="T1199">
        <v>3</v>
      </c>
      <c r="U1199">
        <v>0</v>
      </c>
    </row>
    <row r="1200" spans="1:21" x14ac:dyDescent="0.25">
      <c r="A1200">
        <v>10115942</v>
      </c>
      <c r="B1200" t="s">
        <v>15</v>
      </c>
      <c r="C1200" s="1">
        <v>43501</v>
      </c>
      <c r="D1200" s="2">
        <f>YEAR(C1200)</f>
        <v>2019</v>
      </c>
      <c r="E1200">
        <v>340000</v>
      </c>
      <c r="F1200" t="s">
        <v>85</v>
      </c>
      <c r="G1200">
        <v>1956</v>
      </c>
      <c r="H1200">
        <v>8419</v>
      </c>
      <c r="I1200" t="s">
        <v>152</v>
      </c>
      <c r="J1200">
        <v>76</v>
      </c>
      <c r="K1200">
        <v>60076</v>
      </c>
      <c r="L1200">
        <v>3155</v>
      </c>
      <c r="M1200">
        <v>7</v>
      </c>
      <c r="N1200">
        <v>4</v>
      </c>
      <c r="O1200">
        <v>0</v>
      </c>
      <c r="P1200" t="s">
        <v>79</v>
      </c>
      <c r="Q1200">
        <v>4</v>
      </c>
      <c r="R1200">
        <v>0</v>
      </c>
      <c r="S1200" t="s">
        <v>21</v>
      </c>
      <c r="T1200">
        <v>4</v>
      </c>
      <c r="U1200">
        <v>0</v>
      </c>
    </row>
    <row r="1201" spans="1:21" x14ac:dyDescent="0.25">
      <c r="A1201">
        <v>9953437</v>
      </c>
      <c r="B1201" t="s">
        <v>15</v>
      </c>
      <c r="C1201" s="1">
        <v>43279</v>
      </c>
      <c r="D1201" s="2">
        <f>YEAR(C1201)</f>
        <v>2018</v>
      </c>
      <c r="E1201">
        <v>540000</v>
      </c>
      <c r="F1201" t="s">
        <v>85</v>
      </c>
      <c r="G1201">
        <v>1956</v>
      </c>
      <c r="H1201">
        <v>5010</v>
      </c>
      <c r="I1201" t="s">
        <v>187</v>
      </c>
      <c r="J1201">
        <v>76</v>
      </c>
      <c r="K1201">
        <v>60077</v>
      </c>
      <c r="L1201">
        <v>2940</v>
      </c>
      <c r="M1201">
        <v>9</v>
      </c>
      <c r="N1201">
        <v>4</v>
      </c>
      <c r="O1201">
        <v>0</v>
      </c>
      <c r="P1201" t="s">
        <v>79</v>
      </c>
      <c r="Q1201">
        <v>5</v>
      </c>
      <c r="R1201">
        <v>0</v>
      </c>
      <c r="S1201" t="s">
        <v>22</v>
      </c>
      <c r="T1201">
        <v>2</v>
      </c>
      <c r="U1201">
        <v>0</v>
      </c>
    </row>
    <row r="1202" spans="1:21" x14ac:dyDescent="0.25">
      <c r="A1202">
        <v>9500877</v>
      </c>
      <c r="B1202" t="s">
        <v>15</v>
      </c>
      <c r="C1202" s="1">
        <v>42923</v>
      </c>
      <c r="D1202" s="2">
        <f>YEAR(C1202)</f>
        <v>2017</v>
      </c>
      <c r="E1202">
        <v>550000</v>
      </c>
      <c r="F1202" t="s">
        <v>85</v>
      </c>
      <c r="G1202">
        <v>1956</v>
      </c>
      <c r="H1202">
        <v>9344</v>
      </c>
      <c r="I1202" t="s">
        <v>123</v>
      </c>
      <c r="J1202">
        <v>76</v>
      </c>
      <c r="K1202">
        <v>60076</v>
      </c>
      <c r="L1202">
        <v>2700</v>
      </c>
      <c r="M1202">
        <v>8</v>
      </c>
      <c r="N1202">
        <v>3</v>
      </c>
      <c r="O1202">
        <v>0</v>
      </c>
      <c r="P1202" t="s">
        <v>79</v>
      </c>
      <c r="Q1202">
        <v>3</v>
      </c>
      <c r="R1202">
        <v>1</v>
      </c>
      <c r="S1202" t="s">
        <v>21</v>
      </c>
      <c r="T1202">
        <v>1</v>
      </c>
      <c r="U1202">
        <v>0</v>
      </c>
    </row>
    <row r="1203" spans="1:21" x14ac:dyDescent="0.25">
      <c r="A1203">
        <v>9952920</v>
      </c>
      <c r="B1203" t="s">
        <v>15</v>
      </c>
      <c r="C1203" s="1">
        <v>43308</v>
      </c>
      <c r="D1203" s="2">
        <f>YEAR(C1203)</f>
        <v>2018</v>
      </c>
      <c r="E1203">
        <v>462000</v>
      </c>
      <c r="F1203" t="s">
        <v>85</v>
      </c>
      <c r="G1203">
        <v>1956</v>
      </c>
      <c r="H1203">
        <v>5236</v>
      </c>
      <c r="I1203" t="s">
        <v>464</v>
      </c>
      <c r="J1203">
        <v>76</v>
      </c>
      <c r="K1203">
        <v>60077</v>
      </c>
      <c r="L1203">
        <v>2700</v>
      </c>
      <c r="M1203">
        <v>10</v>
      </c>
      <c r="N1203">
        <v>3</v>
      </c>
      <c r="O1203">
        <v>1</v>
      </c>
      <c r="P1203" t="s">
        <v>79</v>
      </c>
      <c r="Q1203">
        <v>5</v>
      </c>
      <c r="R1203">
        <v>0</v>
      </c>
      <c r="S1203" t="s">
        <v>22</v>
      </c>
      <c r="T1203">
        <v>2</v>
      </c>
      <c r="U1203">
        <v>0</v>
      </c>
    </row>
    <row r="1204" spans="1:21" x14ac:dyDescent="0.25">
      <c r="A1204">
        <v>9585481</v>
      </c>
      <c r="B1204" t="s">
        <v>15</v>
      </c>
      <c r="C1204" s="1">
        <v>42863</v>
      </c>
      <c r="D1204" s="2">
        <f>YEAR(C1204)</f>
        <v>2017</v>
      </c>
      <c r="E1204">
        <v>389000</v>
      </c>
      <c r="F1204" t="s">
        <v>85</v>
      </c>
      <c r="G1204">
        <v>1956</v>
      </c>
      <c r="H1204">
        <v>8910</v>
      </c>
      <c r="I1204" t="s">
        <v>24</v>
      </c>
      <c r="J1204">
        <v>76</v>
      </c>
      <c r="K1204">
        <v>60076</v>
      </c>
      <c r="L1204">
        <v>2474</v>
      </c>
      <c r="M1204">
        <v>9</v>
      </c>
      <c r="N1204">
        <v>3</v>
      </c>
      <c r="O1204">
        <v>0</v>
      </c>
      <c r="P1204" t="s">
        <v>79</v>
      </c>
      <c r="Q1204">
        <v>3</v>
      </c>
      <c r="R1204">
        <v>1</v>
      </c>
      <c r="S1204" t="s">
        <v>21</v>
      </c>
      <c r="T1204">
        <v>2</v>
      </c>
      <c r="U1204">
        <v>0</v>
      </c>
    </row>
    <row r="1205" spans="1:21" x14ac:dyDescent="0.25">
      <c r="A1205">
        <v>9476251</v>
      </c>
      <c r="B1205" t="s">
        <v>15</v>
      </c>
      <c r="C1205" s="1">
        <v>42975</v>
      </c>
      <c r="D1205" s="2">
        <f>YEAR(C1205)</f>
        <v>2017</v>
      </c>
      <c r="E1205">
        <v>405000</v>
      </c>
      <c r="F1205" t="s">
        <v>85</v>
      </c>
      <c r="G1205">
        <v>1956</v>
      </c>
      <c r="H1205">
        <v>3850</v>
      </c>
      <c r="I1205" t="s">
        <v>221</v>
      </c>
      <c r="J1205">
        <v>76</v>
      </c>
      <c r="K1205">
        <v>60076</v>
      </c>
      <c r="L1205">
        <v>2400</v>
      </c>
      <c r="M1205">
        <v>9</v>
      </c>
      <c r="N1205">
        <v>3</v>
      </c>
      <c r="O1205">
        <v>1</v>
      </c>
      <c r="P1205" t="s">
        <v>79</v>
      </c>
      <c r="Q1205">
        <v>4</v>
      </c>
      <c r="R1205">
        <v>1</v>
      </c>
      <c r="S1205" t="s">
        <v>22</v>
      </c>
      <c r="T1205">
        <v>2.5</v>
      </c>
      <c r="U1205">
        <v>0</v>
      </c>
    </row>
    <row r="1206" spans="1:21" x14ac:dyDescent="0.25">
      <c r="A1206">
        <v>9645449</v>
      </c>
      <c r="B1206" t="s">
        <v>15</v>
      </c>
      <c r="C1206" s="1">
        <v>42983</v>
      </c>
      <c r="D1206" s="2">
        <f>YEAR(C1206)</f>
        <v>2017</v>
      </c>
      <c r="E1206">
        <v>494900</v>
      </c>
      <c r="F1206" t="s">
        <v>85</v>
      </c>
      <c r="G1206">
        <v>1956</v>
      </c>
      <c r="H1206">
        <v>7715</v>
      </c>
      <c r="I1206" t="s">
        <v>148</v>
      </c>
      <c r="J1206">
        <v>76</v>
      </c>
      <c r="K1206">
        <v>60076</v>
      </c>
      <c r="L1206">
        <v>2000</v>
      </c>
      <c r="M1206">
        <v>9</v>
      </c>
      <c r="N1206">
        <v>3</v>
      </c>
      <c r="O1206">
        <v>0</v>
      </c>
      <c r="P1206" t="s">
        <v>79</v>
      </c>
      <c r="Q1206">
        <v>3</v>
      </c>
      <c r="R1206">
        <v>1</v>
      </c>
      <c r="S1206" t="s">
        <v>22</v>
      </c>
      <c r="T1206">
        <v>2</v>
      </c>
      <c r="U1206">
        <v>0</v>
      </c>
    </row>
    <row r="1207" spans="1:21" x14ac:dyDescent="0.25">
      <c r="A1207">
        <v>10055388</v>
      </c>
      <c r="B1207" t="s">
        <v>15</v>
      </c>
      <c r="C1207" s="1">
        <v>43398</v>
      </c>
      <c r="D1207" s="2">
        <f>YEAR(C1207)</f>
        <v>2018</v>
      </c>
      <c r="E1207">
        <v>345000</v>
      </c>
      <c r="F1207" t="s">
        <v>85</v>
      </c>
      <c r="G1207">
        <v>1956</v>
      </c>
      <c r="H1207">
        <v>8339</v>
      </c>
      <c r="I1207" t="s">
        <v>465</v>
      </c>
      <c r="J1207">
        <v>76</v>
      </c>
      <c r="K1207">
        <v>60076</v>
      </c>
      <c r="L1207">
        <v>2000</v>
      </c>
      <c r="M1207">
        <v>11</v>
      </c>
      <c r="N1207">
        <v>3</v>
      </c>
      <c r="O1207">
        <v>0</v>
      </c>
      <c r="P1207" t="s">
        <v>79</v>
      </c>
      <c r="Q1207">
        <v>4</v>
      </c>
      <c r="R1207">
        <v>0</v>
      </c>
      <c r="S1207" t="s">
        <v>22</v>
      </c>
      <c r="T1207">
        <v>2.5</v>
      </c>
      <c r="U1207">
        <v>0</v>
      </c>
    </row>
    <row r="1208" spans="1:21" x14ac:dyDescent="0.25">
      <c r="A1208">
        <v>9494795</v>
      </c>
      <c r="B1208" t="s">
        <v>15</v>
      </c>
      <c r="C1208" s="1">
        <v>42902</v>
      </c>
      <c r="D1208" s="2">
        <f>YEAR(C1208)</f>
        <v>2017</v>
      </c>
      <c r="E1208">
        <v>273888</v>
      </c>
      <c r="F1208" t="s">
        <v>85</v>
      </c>
      <c r="G1208">
        <v>1956</v>
      </c>
      <c r="H1208">
        <v>8939</v>
      </c>
      <c r="I1208" t="s">
        <v>222</v>
      </c>
      <c r="J1208">
        <v>76</v>
      </c>
      <c r="K1208">
        <v>60076</v>
      </c>
      <c r="L1208">
        <v>1960</v>
      </c>
      <c r="M1208">
        <v>8</v>
      </c>
      <c r="N1208">
        <v>3</v>
      </c>
      <c r="O1208">
        <v>1</v>
      </c>
      <c r="P1208" t="s">
        <v>79</v>
      </c>
      <c r="Q1208">
        <v>4</v>
      </c>
      <c r="R1208">
        <v>0</v>
      </c>
      <c r="S1208" t="s">
        <v>19</v>
      </c>
      <c r="T1208">
        <v>0</v>
      </c>
      <c r="U1208">
        <v>0</v>
      </c>
    </row>
    <row r="1209" spans="1:21" x14ac:dyDescent="0.25">
      <c r="A1209">
        <v>9778068</v>
      </c>
      <c r="B1209" t="s">
        <v>15</v>
      </c>
      <c r="C1209" s="1">
        <v>43201</v>
      </c>
      <c r="D1209" s="2">
        <f>YEAR(C1209)</f>
        <v>2018</v>
      </c>
      <c r="E1209">
        <v>475250</v>
      </c>
      <c r="F1209" t="s">
        <v>85</v>
      </c>
      <c r="G1209">
        <v>1956</v>
      </c>
      <c r="H1209">
        <v>9301</v>
      </c>
      <c r="I1209" t="s">
        <v>123</v>
      </c>
      <c r="J1209">
        <v>76</v>
      </c>
      <c r="K1209">
        <v>60076</v>
      </c>
      <c r="L1209">
        <v>1870</v>
      </c>
      <c r="M1209">
        <v>11</v>
      </c>
      <c r="N1209">
        <v>3</v>
      </c>
      <c r="O1209">
        <v>0</v>
      </c>
      <c r="P1209" t="s">
        <v>79</v>
      </c>
      <c r="Q1209">
        <v>4</v>
      </c>
      <c r="R1209">
        <v>2</v>
      </c>
      <c r="S1209" t="s">
        <v>21</v>
      </c>
      <c r="T1209">
        <v>2.5</v>
      </c>
      <c r="U1209">
        <v>0</v>
      </c>
    </row>
    <row r="1210" spans="1:21" x14ac:dyDescent="0.25">
      <c r="A1210">
        <v>9668188</v>
      </c>
      <c r="B1210" t="s">
        <v>15</v>
      </c>
      <c r="C1210" s="1">
        <v>43088</v>
      </c>
      <c r="D1210" s="2">
        <f>YEAR(C1210)</f>
        <v>2017</v>
      </c>
      <c r="E1210">
        <v>360000</v>
      </c>
      <c r="F1210" t="s">
        <v>85</v>
      </c>
      <c r="G1210">
        <v>1956</v>
      </c>
      <c r="H1210">
        <v>8625</v>
      </c>
      <c r="I1210" t="s">
        <v>175</v>
      </c>
      <c r="J1210">
        <v>76</v>
      </c>
      <c r="K1210">
        <v>60076</v>
      </c>
      <c r="L1210">
        <v>1850</v>
      </c>
      <c r="M1210">
        <v>8</v>
      </c>
      <c r="N1210">
        <v>2</v>
      </c>
      <c r="O1210">
        <v>1</v>
      </c>
      <c r="P1210" t="s">
        <v>79</v>
      </c>
      <c r="Q1210">
        <v>4</v>
      </c>
      <c r="R1210">
        <v>0</v>
      </c>
      <c r="S1210" t="s">
        <v>22</v>
      </c>
      <c r="T1210">
        <v>2</v>
      </c>
      <c r="U1210">
        <v>0</v>
      </c>
    </row>
    <row r="1211" spans="1:21" x14ac:dyDescent="0.25">
      <c r="A1211">
        <v>9519378</v>
      </c>
      <c r="B1211" t="s">
        <v>15</v>
      </c>
      <c r="C1211" s="1">
        <v>42864</v>
      </c>
      <c r="D1211" s="2">
        <f>YEAR(C1211)</f>
        <v>2017</v>
      </c>
      <c r="E1211">
        <v>355000</v>
      </c>
      <c r="F1211" t="s">
        <v>85</v>
      </c>
      <c r="G1211">
        <v>1956</v>
      </c>
      <c r="H1211">
        <v>9332</v>
      </c>
      <c r="I1211" t="s">
        <v>123</v>
      </c>
      <c r="J1211">
        <v>76</v>
      </c>
      <c r="K1211">
        <v>60076</v>
      </c>
      <c r="L1211">
        <v>1833</v>
      </c>
      <c r="M1211">
        <v>8</v>
      </c>
      <c r="N1211">
        <v>2</v>
      </c>
      <c r="O1211">
        <v>0</v>
      </c>
      <c r="P1211" t="s">
        <v>79</v>
      </c>
      <c r="Q1211">
        <v>3</v>
      </c>
      <c r="R1211">
        <v>0</v>
      </c>
      <c r="S1211" t="s">
        <v>22</v>
      </c>
      <c r="T1211">
        <v>2</v>
      </c>
      <c r="U1211">
        <v>0</v>
      </c>
    </row>
    <row r="1212" spans="1:21" x14ac:dyDescent="0.25">
      <c r="A1212">
        <v>9748425</v>
      </c>
      <c r="B1212" t="s">
        <v>15</v>
      </c>
      <c r="C1212" s="1">
        <v>43042</v>
      </c>
      <c r="D1212" s="2">
        <f>YEAR(C1212)</f>
        <v>2017</v>
      </c>
      <c r="E1212">
        <v>379500</v>
      </c>
      <c r="F1212" t="s">
        <v>85</v>
      </c>
      <c r="G1212">
        <v>1956</v>
      </c>
      <c r="H1212">
        <v>8445</v>
      </c>
      <c r="I1212" t="s">
        <v>184</v>
      </c>
      <c r="J1212">
        <v>76</v>
      </c>
      <c r="K1212">
        <v>60077</v>
      </c>
      <c r="L1212">
        <v>1800</v>
      </c>
      <c r="M1212">
        <v>9</v>
      </c>
      <c r="N1212">
        <v>3</v>
      </c>
      <c r="O1212">
        <v>1</v>
      </c>
      <c r="P1212" t="s">
        <v>79</v>
      </c>
      <c r="Q1212">
        <v>3</v>
      </c>
      <c r="R1212">
        <v>2</v>
      </c>
      <c r="S1212" t="s">
        <v>22</v>
      </c>
      <c r="T1212">
        <v>2</v>
      </c>
      <c r="U1212">
        <v>0</v>
      </c>
    </row>
    <row r="1213" spans="1:21" x14ac:dyDescent="0.25">
      <c r="A1213">
        <v>9486688</v>
      </c>
      <c r="B1213" t="s">
        <v>15</v>
      </c>
      <c r="C1213" s="1">
        <v>42797</v>
      </c>
      <c r="D1213" s="2">
        <f>YEAR(C1213)</f>
        <v>2017</v>
      </c>
      <c r="E1213">
        <v>485000</v>
      </c>
      <c r="F1213" t="s">
        <v>85</v>
      </c>
      <c r="G1213">
        <v>1956</v>
      </c>
      <c r="H1213">
        <v>8715</v>
      </c>
      <c r="I1213" t="s">
        <v>112</v>
      </c>
      <c r="J1213">
        <v>76</v>
      </c>
      <c r="K1213">
        <v>60076</v>
      </c>
      <c r="L1213">
        <v>1722</v>
      </c>
      <c r="M1213">
        <v>11</v>
      </c>
      <c r="N1213">
        <v>3</v>
      </c>
      <c r="O1213">
        <v>0</v>
      </c>
      <c r="P1213" t="s">
        <v>79</v>
      </c>
      <c r="Q1213">
        <v>3</v>
      </c>
      <c r="R1213">
        <v>0</v>
      </c>
      <c r="S1213" t="s">
        <v>22</v>
      </c>
      <c r="T1213">
        <v>2</v>
      </c>
      <c r="U1213">
        <v>0</v>
      </c>
    </row>
    <row r="1214" spans="1:21" x14ac:dyDescent="0.25">
      <c r="A1214">
        <v>9754134</v>
      </c>
      <c r="B1214" t="s">
        <v>15</v>
      </c>
      <c r="C1214" s="1">
        <v>43182</v>
      </c>
      <c r="D1214" s="2">
        <f>YEAR(C1214)</f>
        <v>2018</v>
      </c>
      <c r="E1214">
        <v>279000</v>
      </c>
      <c r="F1214" t="s">
        <v>85</v>
      </c>
      <c r="G1214">
        <v>1956</v>
      </c>
      <c r="H1214">
        <v>5221</v>
      </c>
      <c r="I1214" t="s">
        <v>176</v>
      </c>
      <c r="J1214">
        <v>76</v>
      </c>
      <c r="K1214">
        <v>60077</v>
      </c>
      <c r="L1214">
        <v>1708</v>
      </c>
      <c r="M1214">
        <v>7</v>
      </c>
      <c r="N1214">
        <v>2</v>
      </c>
      <c r="O1214">
        <v>0</v>
      </c>
      <c r="P1214" t="s">
        <v>79</v>
      </c>
      <c r="Q1214">
        <v>3</v>
      </c>
      <c r="R1214">
        <v>0</v>
      </c>
      <c r="S1214" t="s">
        <v>22</v>
      </c>
      <c r="T1214">
        <v>2</v>
      </c>
      <c r="U1214">
        <v>0</v>
      </c>
    </row>
    <row r="1215" spans="1:21" x14ac:dyDescent="0.25">
      <c r="A1215">
        <v>9608527</v>
      </c>
      <c r="B1215" t="s">
        <v>15</v>
      </c>
      <c r="C1215" s="1">
        <v>42901</v>
      </c>
      <c r="D1215" s="2">
        <f>YEAR(C1215)</f>
        <v>2017</v>
      </c>
      <c r="E1215">
        <v>358000</v>
      </c>
      <c r="F1215" t="s">
        <v>85</v>
      </c>
      <c r="G1215">
        <v>1956</v>
      </c>
      <c r="H1215">
        <v>5028</v>
      </c>
      <c r="I1215" t="s">
        <v>176</v>
      </c>
      <c r="J1215">
        <v>76</v>
      </c>
      <c r="K1215">
        <v>60077</v>
      </c>
      <c r="L1215">
        <v>1700</v>
      </c>
      <c r="M1215">
        <v>8</v>
      </c>
      <c r="N1215">
        <v>2</v>
      </c>
      <c r="O1215">
        <v>0</v>
      </c>
      <c r="P1215" t="s">
        <v>79</v>
      </c>
      <c r="Q1215">
        <v>3</v>
      </c>
      <c r="R1215">
        <v>1</v>
      </c>
      <c r="S1215" t="s">
        <v>22</v>
      </c>
      <c r="T1215">
        <v>1.1000000000000001</v>
      </c>
      <c r="U1215">
        <v>0</v>
      </c>
    </row>
    <row r="1216" spans="1:21" x14ac:dyDescent="0.25">
      <c r="A1216">
        <v>9703966</v>
      </c>
      <c r="B1216" t="s">
        <v>15</v>
      </c>
      <c r="C1216" s="1">
        <v>42998</v>
      </c>
      <c r="D1216" s="2">
        <f>YEAR(C1216)</f>
        <v>2017</v>
      </c>
      <c r="E1216">
        <v>295000</v>
      </c>
      <c r="F1216" t="s">
        <v>85</v>
      </c>
      <c r="G1216">
        <v>1956</v>
      </c>
      <c r="H1216">
        <v>5249</v>
      </c>
      <c r="I1216" t="s">
        <v>177</v>
      </c>
      <c r="J1216">
        <v>76</v>
      </c>
      <c r="K1216">
        <v>60077</v>
      </c>
      <c r="L1216">
        <v>1600</v>
      </c>
      <c r="M1216">
        <v>7</v>
      </c>
      <c r="N1216">
        <v>2</v>
      </c>
      <c r="O1216">
        <v>1</v>
      </c>
      <c r="P1216" t="s">
        <v>79</v>
      </c>
      <c r="Q1216">
        <v>3</v>
      </c>
      <c r="R1216">
        <v>0</v>
      </c>
      <c r="S1216" t="s">
        <v>22</v>
      </c>
      <c r="T1216">
        <v>2</v>
      </c>
      <c r="U1216">
        <v>0</v>
      </c>
    </row>
    <row r="1217" spans="1:21" x14ac:dyDescent="0.25">
      <c r="A1217">
        <v>9927982</v>
      </c>
      <c r="B1217" t="s">
        <v>15</v>
      </c>
      <c r="C1217" s="1">
        <v>43244</v>
      </c>
      <c r="D1217" s="2">
        <f>YEAR(C1217)</f>
        <v>2018</v>
      </c>
      <c r="E1217">
        <v>277500</v>
      </c>
      <c r="F1217" t="s">
        <v>85</v>
      </c>
      <c r="G1217">
        <v>1956</v>
      </c>
      <c r="H1217">
        <v>4501</v>
      </c>
      <c r="I1217" t="s">
        <v>55</v>
      </c>
      <c r="J1217">
        <v>76</v>
      </c>
      <c r="K1217">
        <v>60076</v>
      </c>
      <c r="L1217">
        <v>1526</v>
      </c>
      <c r="M1217">
        <v>7</v>
      </c>
      <c r="N1217">
        <v>2</v>
      </c>
      <c r="O1217">
        <v>0</v>
      </c>
      <c r="P1217" t="s">
        <v>79</v>
      </c>
      <c r="Q1217">
        <v>3</v>
      </c>
      <c r="R1217">
        <v>0</v>
      </c>
      <c r="S1217" t="s">
        <v>21</v>
      </c>
      <c r="T1217">
        <v>2</v>
      </c>
      <c r="U1217">
        <v>0</v>
      </c>
    </row>
    <row r="1218" spans="1:21" x14ac:dyDescent="0.25">
      <c r="A1218">
        <v>10129107</v>
      </c>
      <c r="B1218" t="s">
        <v>15</v>
      </c>
      <c r="C1218" s="1">
        <v>43511</v>
      </c>
      <c r="D1218" s="2">
        <f>YEAR(C1218)</f>
        <v>2019</v>
      </c>
      <c r="E1218">
        <v>447000</v>
      </c>
      <c r="F1218" t="s">
        <v>85</v>
      </c>
      <c r="G1218">
        <v>1956</v>
      </c>
      <c r="H1218">
        <v>4501</v>
      </c>
      <c r="I1218" t="s">
        <v>55</v>
      </c>
      <c r="J1218">
        <v>76</v>
      </c>
      <c r="K1218">
        <v>60076</v>
      </c>
      <c r="L1218">
        <v>1526</v>
      </c>
      <c r="M1218">
        <v>8</v>
      </c>
      <c r="N1218">
        <v>3</v>
      </c>
      <c r="O1218">
        <v>0</v>
      </c>
      <c r="P1218" t="s">
        <v>79</v>
      </c>
      <c r="Q1218">
        <v>3</v>
      </c>
      <c r="R1218">
        <v>0</v>
      </c>
      <c r="S1218" t="s">
        <v>21</v>
      </c>
      <c r="T1218">
        <v>2</v>
      </c>
      <c r="U1218">
        <v>0</v>
      </c>
    </row>
    <row r="1219" spans="1:21" x14ac:dyDescent="0.25">
      <c r="A1219">
        <v>9647589</v>
      </c>
      <c r="B1219" t="s">
        <v>15</v>
      </c>
      <c r="C1219" s="1">
        <v>42937</v>
      </c>
      <c r="D1219" s="2">
        <f>YEAR(C1219)</f>
        <v>2017</v>
      </c>
      <c r="E1219">
        <v>260000</v>
      </c>
      <c r="F1219" t="s">
        <v>85</v>
      </c>
      <c r="G1219">
        <v>1956</v>
      </c>
      <c r="H1219">
        <v>8524</v>
      </c>
      <c r="I1219" t="s">
        <v>466</v>
      </c>
      <c r="J1219">
        <v>76</v>
      </c>
      <c r="K1219">
        <v>60076</v>
      </c>
      <c r="L1219">
        <v>1506</v>
      </c>
      <c r="M1219">
        <v>8</v>
      </c>
      <c r="N1219">
        <v>1</v>
      </c>
      <c r="O1219">
        <v>1</v>
      </c>
      <c r="P1219" t="s">
        <v>79</v>
      </c>
      <c r="Q1219">
        <v>2</v>
      </c>
      <c r="R1219">
        <v>0</v>
      </c>
      <c r="S1219" t="s">
        <v>22</v>
      </c>
      <c r="T1219">
        <v>2</v>
      </c>
      <c r="U1219">
        <v>0</v>
      </c>
    </row>
    <row r="1220" spans="1:21" x14ac:dyDescent="0.25">
      <c r="A1220">
        <v>10117378</v>
      </c>
      <c r="B1220" t="s">
        <v>15</v>
      </c>
      <c r="C1220" s="1">
        <v>43440</v>
      </c>
      <c r="D1220" s="2">
        <f>YEAR(C1220)</f>
        <v>2018</v>
      </c>
      <c r="E1220">
        <v>302000</v>
      </c>
      <c r="F1220" t="s">
        <v>85</v>
      </c>
      <c r="G1220">
        <v>1956</v>
      </c>
      <c r="H1220">
        <v>9325</v>
      </c>
      <c r="I1220" t="s">
        <v>33</v>
      </c>
      <c r="J1220">
        <v>76</v>
      </c>
      <c r="K1220">
        <v>60077</v>
      </c>
      <c r="L1220">
        <v>1475</v>
      </c>
      <c r="M1220">
        <v>8</v>
      </c>
      <c r="N1220">
        <v>3</v>
      </c>
      <c r="O1220">
        <v>0</v>
      </c>
      <c r="P1220" t="s">
        <v>79</v>
      </c>
      <c r="Q1220">
        <v>3</v>
      </c>
      <c r="R1220">
        <v>1</v>
      </c>
      <c r="S1220" t="s">
        <v>22</v>
      </c>
      <c r="T1220">
        <v>2.5</v>
      </c>
      <c r="U1220">
        <v>0</v>
      </c>
    </row>
    <row r="1221" spans="1:21" x14ac:dyDescent="0.25">
      <c r="A1221">
        <v>9723040</v>
      </c>
      <c r="B1221" t="s">
        <v>15</v>
      </c>
      <c r="C1221" s="1">
        <v>43033</v>
      </c>
      <c r="D1221" s="2">
        <f>YEAR(C1221)</f>
        <v>2017</v>
      </c>
      <c r="E1221">
        <v>360000</v>
      </c>
      <c r="F1221" t="s">
        <v>85</v>
      </c>
      <c r="G1221">
        <v>1956</v>
      </c>
      <c r="H1221">
        <v>8635</v>
      </c>
      <c r="I1221" t="s">
        <v>214</v>
      </c>
      <c r="J1221">
        <v>76</v>
      </c>
      <c r="K1221">
        <v>60077</v>
      </c>
      <c r="L1221">
        <v>1440</v>
      </c>
      <c r="M1221">
        <v>7</v>
      </c>
      <c r="N1221">
        <v>2</v>
      </c>
      <c r="O1221">
        <v>0</v>
      </c>
      <c r="P1221" t="s">
        <v>79</v>
      </c>
      <c r="Q1221">
        <v>2</v>
      </c>
      <c r="R1221">
        <v>1</v>
      </c>
      <c r="S1221" t="s">
        <v>21</v>
      </c>
      <c r="T1221">
        <v>2</v>
      </c>
      <c r="U1221">
        <v>0</v>
      </c>
    </row>
    <row r="1222" spans="1:21" x14ac:dyDescent="0.25">
      <c r="A1222">
        <v>9579154</v>
      </c>
      <c r="B1222" t="s">
        <v>15</v>
      </c>
      <c r="C1222" s="1">
        <v>42902</v>
      </c>
      <c r="D1222" s="2">
        <f>YEAR(C1222)</f>
        <v>2017</v>
      </c>
      <c r="E1222">
        <v>379000</v>
      </c>
      <c r="F1222" t="s">
        <v>85</v>
      </c>
      <c r="G1222">
        <v>1956</v>
      </c>
      <c r="H1222">
        <v>8514</v>
      </c>
      <c r="I1222" t="s">
        <v>460</v>
      </c>
      <c r="J1222">
        <v>76</v>
      </c>
      <c r="K1222">
        <v>60076</v>
      </c>
      <c r="L1222">
        <v>1421</v>
      </c>
      <c r="M1222">
        <v>7</v>
      </c>
      <c r="N1222">
        <v>2</v>
      </c>
      <c r="O1222">
        <v>1</v>
      </c>
      <c r="P1222" t="s">
        <v>79</v>
      </c>
      <c r="Q1222">
        <v>3</v>
      </c>
      <c r="R1222">
        <v>1</v>
      </c>
      <c r="S1222" t="s">
        <v>22</v>
      </c>
      <c r="T1222">
        <v>1</v>
      </c>
      <c r="U1222">
        <v>0</v>
      </c>
    </row>
    <row r="1223" spans="1:21" x14ac:dyDescent="0.25">
      <c r="A1223">
        <v>10029730</v>
      </c>
      <c r="B1223" t="s">
        <v>15</v>
      </c>
      <c r="C1223" s="1">
        <v>43445</v>
      </c>
      <c r="D1223" s="2">
        <f>YEAR(C1223)</f>
        <v>2018</v>
      </c>
      <c r="E1223">
        <v>258000</v>
      </c>
      <c r="F1223" t="s">
        <v>85</v>
      </c>
      <c r="G1223">
        <v>1956</v>
      </c>
      <c r="H1223">
        <v>3320</v>
      </c>
      <c r="I1223" t="s">
        <v>176</v>
      </c>
      <c r="J1223">
        <v>76</v>
      </c>
      <c r="K1223">
        <v>60076</v>
      </c>
      <c r="L1223">
        <v>1400</v>
      </c>
      <c r="M1223">
        <v>7</v>
      </c>
      <c r="N1223">
        <v>1</v>
      </c>
      <c r="O1223">
        <v>2</v>
      </c>
      <c r="P1223" t="s">
        <v>79</v>
      </c>
      <c r="Q1223">
        <v>3</v>
      </c>
      <c r="R1223">
        <v>0</v>
      </c>
      <c r="S1223" t="s">
        <v>19</v>
      </c>
      <c r="T1223">
        <v>0</v>
      </c>
      <c r="U1223">
        <v>0</v>
      </c>
    </row>
    <row r="1224" spans="1:21" x14ac:dyDescent="0.25">
      <c r="A1224">
        <v>9586342</v>
      </c>
      <c r="B1224" t="s">
        <v>15</v>
      </c>
      <c r="C1224" s="1">
        <v>42874</v>
      </c>
      <c r="D1224" s="2">
        <f>YEAR(C1224)</f>
        <v>2017</v>
      </c>
      <c r="E1224">
        <v>270000</v>
      </c>
      <c r="F1224" t="s">
        <v>85</v>
      </c>
      <c r="G1224">
        <v>1956</v>
      </c>
      <c r="H1224">
        <v>3333</v>
      </c>
      <c r="I1224" t="s">
        <v>451</v>
      </c>
      <c r="J1224">
        <v>76</v>
      </c>
      <c r="K1224">
        <v>60076</v>
      </c>
      <c r="L1224">
        <v>1373</v>
      </c>
      <c r="M1224">
        <v>7</v>
      </c>
      <c r="N1224">
        <v>2</v>
      </c>
      <c r="O1224">
        <v>0</v>
      </c>
      <c r="P1224" t="s">
        <v>79</v>
      </c>
      <c r="Q1224">
        <v>3</v>
      </c>
      <c r="R1224">
        <v>0</v>
      </c>
      <c r="S1224" t="s">
        <v>22</v>
      </c>
      <c r="T1224">
        <v>2</v>
      </c>
      <c r="U1224">
        <v>0</v>
      </c>
    </row>
    <row r="1225" spans="1:21" x14ac:dyDescent="0.25">
      <c r="A1225">
        <v>9962945</v>
      </c>
      <c r="B1225" t="s">
        <v>15</v>
      </c>
      <c r="C1225" s="1">
        <v>43343</v>
      </c>
      <c r="D1225" s="2">
        <f>YEAR(C1225)</f>
        <v>2018</v>
      </c>
      <c r="E1225">
        <v>318000</v>
      </c>
      <c r="F1225" t="s">
        <v>85</v>
      </c>
      <c r="G1225">
        <v>1956</v>
      </c>
      <c r="H1225">
        <v>7535</v>
      </c>
      <c r="I1225" t="s">
        <v>214</v>
      </c>
      <c r="J1225">
        <v>76</v>
      </c>
      <c r="K1225">
        <v>60077</v>
      </c>
      <c r="L1225">
        <v>1372</v>
      </c>
      <c r="M1225">
        <v>8</v>
      </c>
      <c r="N1225">
        <v>2</v>
      </c>
      <c r="O1225">
        <v>0</v>
      </c>
      <c r="P1225" t="s">
        <v>79</v>
      </c>
      <c r="Q1225">
        <v>3</v>
      </c>
      <c r="R1225">
        <v>1</v>
      </c>
      <c r="S1225" t="s">
        <v>21</v>
      </c>
      <c r="T1225">
        <v>2</v>
      </c>
      <c r="U1225">
        <v>0</v>
      </c>
    </row>
    <row r="1226" spans="1:21" x14ac:dyDescent="0.25">
      <c r="A1226">
        <v>9374702</v>
      </c>
      <c r="B1226" t="s">
        <v>15</v>
      </c>
      <c r="C1226" s="1">
        <v>42844</v>
      </c>
      <c r="D1226" s="2">
        <f>YEAR(C1226)</f>
        <v>2017</v>
      </c>
      <c r="E1226">
        <v>367500</v>
      </c>
      <c r="F1226" t="s">
        <v>85</v>
      </c>
      <c r="G1226">
        <v>1956</v>
      </c>
      <c r="H1226">
        <v>7446</v>
      </c>
      <c r="I1226" t="s">
        <v>97</v>
      </c>
      <c r="J1226">
        <v>76</v>
      </c>
      <c r="K1226">
        <v>60076</v>
      </c>
      <c r="L1226">
        <v>1368</v>
      </c>
      <c r="M1226">
        <v>9</v>
      </c>
      <c r="N1226">
        <v>2</v>
      </c>
      <c r="O1226">
        <v>0</v>
      </c>
      <c r="P1226" t="s">
        <v>79</v>
      </c>
      <c r="Q1226">
        <v>3</v>
      </c>
      <c r="R1226">
        <v>1</v>
      </c>
      <c r="S1226" t="s">
        <v>22</v>
      </c>
      <c r="T1226">
        <v>2.5</v>
      </c>
      <c r="U1226">
        <v>0</v>
      </c>
    </row>
    <row r="1227" spans="1:21" x14ac:dyDescent="0.25">
      <c r="A1227">
        <v>9841900</v>
      </c>
      <c r="B1227" t="s">
        <v>15</v>
      </c>
      <c r="C1227" s="1">
        <v>43245</v>
      </c>
      <c r="D1227" s="2">
        <f>YEAR(C1227)</f>
        <v>2018</v>
      </c>
      <c r="E1227">
        <v>350000</v>
      </c>
      <c r="F1227" t="s">
        <v>85</v>
      </c>
      <c r="G1227">
        <v>1956</v>
      </c>
      <c r="H1227">
        <v>5117</v>
      </c>
      <c r="I1227" t="s">
        <v>240</v>
      </c>
      <c r="J1227">
        <v>76</v>
      </c>
      <c r="K1227">
        <v>60077</v>
      </c>
      <c r="L1227">
        <v>1338</v>
      </c>
      <c r="M1227">
        <v>9</v>
      </c>
      <c r="N1227">
        <v>3</v>
      </c>
      <c r="O1227">
        <v>0</v>
      </c>
      <c r="P1227" t="s">
        <v>79</v>
      </c>
      <c r="Q1227">
        <v>3</v>
      </c>
      <c r="R1227">
        <v>2</v>
      </c>
      <c r="S1227" t="s">
        <v>22</v>
      </c>
      <c r="T1227">
        <v>2</v>
      </c>
      <c r="U1227">
        <v>0</v>
      </c>
    </row>
    <row r="1228" spans="1:21" x14ac:dyDescent="0.25">
      <c r="A1228">
        <v>9570692</v>
      </c>
      <c r="B1228" t="s">
        <v>15</v>
      </c>
      <c r="C1228" s="1">
        <v>42886</v>
      </c>
      <c r="D1228" s="2">
        <f>YEAR(C1228)</f>
        <v>2017</v>
      </c>
      <c r="E1228">
        <v>315000</v>
      </c>
      <c r="F1228" t="s">
        <v>85</v>
      </c>
      <c r="G1228">
        <v>1956</v>
      </c>
      <c r="H1228">
        <v>4322</v>
      </c>
      <c r="I1228" t="s">
        <v>199</v>
      </c>
      <c r="J1228">
        <v>76</v>
      </c>
      <c r="K1228">
        <v>60076</v>
      </c>
      <c r="L1228">
        <v>1319</v>
      </c>
      <c r="M1228">
        <v>9</v>
      </c>
      <c r="N1228">
        <v>2</v>
      </c>
      <c r="O1228">
        <v>0</v>
      </c>
      <c r="P1228" t="s">
        <v>79</v>
      </c>
      <c r="Q1228">
        <v>3</v>
      </c>
      <c r="R1228">
        <v>1</v>
      </c>
      <c r="S1228" t="s">
        <v>22</v>
      </c>
      <c r="T1228">
        <v>2</v>
      </c>
      <c r="U1228">
        <v>0</v>
      </c>
    </row>
    <row r="1229" spans="1:21" x14ac:dyDescent="0.25">
      <c r="A1229">
        <v>9905860</v>
      </c>
      <c r="B1229" t="s">
        <v>15</v>
      </c>
      <c r="C1229" s="1">
        <v>43222</v>
      </c>
      <c r="D1229" s="2">
        <f>YEAR(C1229)</f>
        <v>2018</v>
      </c>
      <c r="E1229">
        <v>278000</v>
      </c>
      <c r="F1229" t="s">
        <v>85</v>
      </c>
      <c r="G1229">
        <v>1956</v>
      </c>
      <c r="H1229">
        <v>4032</v>
      </c>
      <c r="I1229" t="s">
        <v>467</v>
      </c>
      <c r="J1229">
        <v>76</v>
      </c>
      <c r="K1229">
        <v>60076</v>
      </c>
      <c r="L1229">
        <v>1312</v>
      </c>
      <c r="M1229">
        <v>8</v>
      </c>
      <c r="N1229">
        <v>3</v>
      </c>
      <c r="O1229">
        <v>0</v>
      </c>
      <c r="P1229" t="s">
        <v>79</v>
      </c>
      <c r="Q1229">
        <v>4</v>
      </c>
      <c r="R1229">
        <v>1</v>
      </c>
      <c r="S1229" t="s">
        <v>22</v>
      </c>
      <c r="T1229">
        <v>2</v>
      </c>
      <c r="U1229">
        <v>0</v>
      </c>
    </row>
    <row r="1230" spans="1:21" x14ac:dyDescent="0.25">
      <c r="A1230">
        <v>10028392</v>
      </c>
      <c r="B1230" t="s">
        <v>15</v>
      </c>
      <c r="C1230" s="1">
        <v>43369</v>
      </c>
      <c r="D1230" s="2">
        <f>YEAR(C1230)</f>
        <v>2018</v>
      </c>
      <c r="E1230">
        <v>316500</v>
      </c>
      <c r="F1230" t="s">
        <v>85</v>
      </c>
      <c r="G1230">
        <v>1956</v>
      </c>
      <c r="H1230">
        <v>5138</v>
      </c>
      <c r="I1230" t="s">
        <v>176</v>
      </c>
      <c r="J1230">
        <v>76</v>
      </c>
      <c r="K1230">
        <v>60077</v>
      </c>
      <c r="L1230">
        <v>1310</v>
      </c>
      <c r="M1230">
        <v>8</v>
      </c>
      <c r="N1230">
        <v>2</v>
      </c>
      <c r="O1230">
        <v>1</v>
      </c>
      <c r="P1230" t="s">
        <v>79</v>
      </c>
      <c r="Q1230">
        <v>3</v>
      </c>
      <c r="R1230">
        <v>1</v>
      </c>
      <c r="S1230" t="s">
        <v>22</v>
      </c>
      <c r="T1230">
        <v>1</v>
      </c>
      <c r="U1230">
        <v>0</v>
      </c>
    </row>
    <row r="1231" spans="1:21" x14ac:dyDescent="0.25">
      <c r="A1231">
        <v>9675244</v>
      </c>
      <c r="B1231" t="s">
        <v>15</v>
      </c>
      <c r="C1231" s="1">
        <v>43087</v>
      </c>
      <c r="D1231" s="2">
        <f>YEAR(C1231)</f>
        <v>2017</v>
      </c>
      <c r="E1231">
        <v>316000</v>
      </c>
      <c r="F1231" t="s">
        <v>85</v>
      </c>
      <c r="G1231">
        <v>1956</v>
      </c>
      <c r="H1231">
        <v>8705</v>
      </c>
      <c r="I1231" t="s">
        <v>98</v>
      </c>
      <c r="J1231">
        <v>76</v>
      </c>
      <c r="K1231">
        <v>60076</v>
      </c>
      <c r="L1231">
        <v>1305</v>
      </c>
      <c r="M1231">
        <v>7</v>
      </c>
      <c r="N1231">
        <v>1</v>
      </c>
      <c r="O1231">
        <v>1</v>
      </c>
      <c r="P1231" t="s">
        <v>79</v>
      </c>
      <c r="Q1231">
        <v>3</v>
      </c>
      <c r="R1231">
        <v>0</v>
      </c>
      <c r="S1231" t="s">
        <v>22</v>
      </c>
      <c r="T1231">
        <v>2</v>
      </c>
      <c r="U1231">
        <v>0</v>
      </c>
    </row>
    <row r="1232" spans="1:21" x14ac:dyDescent="0.25">
      <c r="A1232">
        <v>10093465</v>
      </c>
      <c r="B1232" t="s">
        <v>15</v>
      </c>
      <c r="C1232" s="1">
        <v>43420</v>
      </c>
      <c r="D1232" s="2">
        <f>YEAR(C1232)</f>
        <v>2018</v>
      </c>
      <c r="E1232">
        <v>260000</v>
      </c>
      <c r="F1232" t="s">
        <v>85</v>
      </c>
      <c r="G1232">
        <v>1956</v>
      </c>
      <c r="H1232">
        <v>7440</v>
      </c>
      <c r="I1232" t="s">
        <v>112</v>
      </c>
      <c r="J1232">
        <v>76</v>
      </c>
      <c r="K1232">
        <v>60076</v>
      </c>
      <c r="L1232">
        <v>1305</v>
      </c>
      <c r="M1232">
        <v>7</v>
      </c>
      <c r="N1232">
        <v>2</v>
      </c>
      <c r="O1232">
        <v>0</v>
      </c>
      <c r="P1232" t="s">
        <v>79</v>
      </c>
      <c r="Q1232">
        <v>3</v>
      </c>
      <c r="R1232">
        <v>0</v>
      </c>
      <c r="S1232" t="s">
        <v>19</v>
      </c>
      <c r="T1232">
        <v>0</v>
      </c>
      <c r="U1232">
        <v>0</v>
      </c>
    </row>
    <row r="1233" spans="1:21" x14ac:dyDescent="0.25">
      <c r="A1233">
        <v>9708858</v>
      </c>
      <c r="B1233" t="s">
        <v>15</v>
      </c>
      <c r="C1233" s="1">
        <v>42998</v>
      </c>
      <c r="D1233" s="2">
        <f>YEAR(C1233)</f>
        <v>2017</v>
      </c>
      <c r="E1233">
        <v>310000</v>
      </c>
      <c r="F1233" t="s">
        <v>85</v>
      </c>
      <c r="G1233">
        <v>1956</v>
      </c>
      <c r="H1233">
        <v>4939</v>
      </c>
      <c r="I1233" t="s">
        <v>39</v>
      </c>
      <c r="J1233">
        <v>76</v>
      </c>
      <c r="K1233">
        <v>60077</v>
      </c>
      <c r="L1233">
        <v>1300</v>
      </c>
      <c r="M1233">
        <v>9</v>
      </c>
      <c r="N1233">
        <v>2</v>
      </c>
      <c r="O1233">
        <v>1</v>
      </c>
      <c r="P1233" t="s">
        <v>79</v>
      </c>
      <c r="Q1233">
        <v>3</v>
      </c>
      <c r="R1233">
        <v>1</v>
      </c>
      <c r="S1233" t="s">
        <v>22</v>
      </c>
      <c r="T1233">
        <v>2</v>
      </c>
      <c r="U1233">
        <v>0</v>
      </c>
    </row>
    <row r="1234" spans="1:21" x14ac:dyDescent="0.25">
      <c r="A1234">
        <v>9612887</v>
      </c>
      <c r="B1234" t="s">
        <v>15</v>
      </c>
      <c r="C1234" s="1">
        <v>42892</v>
      </c>
      <c r="D1234" s="2">
        <f>YEAR(C1234)</f>
        <v>2017</v>
      </c>
      <c r="E1234">
        <v>335000</v>
      </c>
      <c r="F1234" t="s">
        <v>85</v>
      </c>
      <c r="G1234">
        <v>1956</v>
      </c>
      <c r="H1234">
        <v>5448</v>
      </c>
      <c r="I1234" t="s">
        <v>117</v>
      </c>
      <c r="J1234">
        <v>76</v>
      </c>
      <c r="K1234">
        <v>60077</v>
      </c>
      <c r="L1234">
        <v>1272</v>
      </c>
      <c r="M1234">
        <v>9</v>
      </c>
      <c r="N1234">
        <v>2</v>
      </c>
      <c r="O1234">
        <v>0</v>
      </c>
      <c r="P1234" t="s">
        <v>79</v>
      </c>
      <c r="Q1234">
        <v>3</v>
      </c>
      <c r="R1234">
        <v>2</v>
      </c>
      <c r="S1234" t="s">
        <v>22</v>
      </c>
      <c r="T1234">
        <v>2</v>
      </c>
      <c r="U1234">
        <v>0</v>
      </c>
    </row>
    <row r="1235" spans="1:21" x14ac:dyDescent="0.25">
      <c r="A1235">
        <v>9562140</v>
      </c>
      <c r="B1235" t="s">
        <v>15</v>
      </c>
      <c r="C1235" s="1">
        <v>42852</v>
      </c>
      <c r="D1235" s="2">
        <f>YEAR(C1235)</f>
        <v>2017</v>
      </c>
      <c r="E1235">
        <v>312500</v>
      </c>
      <c r="F1235" t="s">
        <v>85</v>
      </c>
      <c r="G1235">
        <v>1956</v>
      </c>
      <c r="H1235">
        <v>3846</v>
      </c>
      <c r="I1235" t="s">
        <v>187</v>
      </c>
      <c r="J1235">
        <v>76</v>
      </c>
      <c r="K1235">
        <v>60076</v>
      </c>
      <c r="L1235">
        <v>1248</v>
      </c>
      <c r="M1235">
        <v>7</v>
      </c>
      <c r="N1235">
        <v>2</v>
      </c>
      <c r="O1235">
        <v>0</v>
      </c>
      <c r="P1235" t="s">
        <v>79</v>
      </c>
      <c r="Q1235">
        <v>3</v>
      </c>
      <c r="R1235">
        <v>0</v>
      </c>
      <c r="S1235" t="s">
        <v>22</v>
      </c>
      <c r="T1235">
        <v>2</v>
      </c>
      <c r="U1235">
        <v>0</v>
      </c>
    </row>
    <row r="1236" spans="1:21" x14ac:dyDescent="0.25">
      <c r="A1236">
        <v>9895149</v>
      </c>
      <c r="B1236" t="s">
        <v>15</v>
      </c>
      <c r="C1236" s="1">
        <v>43318</v>
      </c>
      <c r="D1236" s="2">
        <f>YEAR(C1236)</f>
        <v>2018</v>
      </c>
      <c r="E1236">
        <v>355000</v>
      </c>
      <c r="F1236" t="s">
        <v>85</v>
      </c>
      <c r="G1236">
        <v>1956</v>
      </c>
      <c r="H1236">
        <v>5004</v>
      </c>
      <c r="I1236" t="s">
        <v>176</v>
      </c>
      <c r="J1236">
        <v>76</v>
      </c>
      <c r="K1236">
        <v>60077</v>
      </c>
      <c r="L1236">
        <v>1222</v>
      </c>
      <c r="M1236">
        <v>8</v>
      </c>
      <c r="N1236">
        <v>2</v>
      </c>
      <c r="O1236">
        <v>0</v>
      </c>
      <c r="P1236" t="s">
        <v>79</v>
      </c>
      <c r="Q1236">
        <v>3</v>
      </c>
      <c r="R1236">
        <v>1</v>
      </c>
      <c r="S1236" t="s">
        <v>19</v>
      </c>
      <c r="T1236">
        <v>0</v>
      </c>
      <c r="U1236">
        <v>0</v>
      </c>
    </row>
    <row r="1237" spans="1:21" x14ac:dyDescent="0.25">
      <c r="A1237">
        <v>9377762</v>
      </c>
      <c r="B1237" t="s">
        <v>15</v>
      </c>
      <c r="C1237" s="1">
        <v>42804</v>
      </c>
      <c r="D1237" s="2">
        <f>YEAR(C1237)</f>
        <v>2017</v>
      </c>
      <c r="E1237">
        <v>351000</v>
      </c>
      <c r="F1237" t="s">
        <v>85</v>
      </c>
      <c r="G1237">
        <v>1956</v>
      </c>
      <c r="H1237">
        <v>9301</v>
      </c>
      <c r="I1237" t="s">
        <v>33</v>
      </c>
      <c r="J1237">
        <v>76</v>
      </c>
      <c r="K1237">
        <v>60077</v>
      </c>
      <c r="L1237">
        <v>1200</v>
      </c>
      <c r="M1237">
        <v>7</v>
      </c>
      <c r="N1237">
        <v>2</v>
      </c>
      <c r="O1237">
        <v>0</v>
      </c>
      <c r="P1237" t="s">
        <v>79</v>
      </c>
      <c r="Q1237">
        <v>2</v>
      </c>
      <c r="R1237">
        <v>2</v>
      </c>
      <c r="S1237" t="s">
        <v>21</v>
      </c>
      <c r="T1237">
        <v>2.5</v>
      </c>
      <c r="U1237">
        <v>0</v>
      </c>
    </row>
    <row r="1238" spans="1:21" x14ac:dyDescent="0.25">
      <c r="A1238">
        <v>10024636</v>
      </c>
      <c r="B1238" t="s">
        <v>15</v>
      </c>
      <c r="C1238" s="1">
        <v>43441</v>
      </c>
      <c r="D1238" s="2">
        <f>YEAR(C1238)</f>
        <v>2018</v>
      </c>
      <c r="E1238">
        <v>291500</v>
      </c>
      <c r="F1238" t="s">
        <v>85</v>
      </c>
      <c r="G1238">
        <v>1956</v>
      </c>
      <c r="H1238">
        <v>4411</v>
      </c>
      <c r="I1238" t="s">
        <v>38</v>
      </c>
      <c r="J1238">
        <v>76</v>
      </c>
      <c r="K1238">
        <v>60076</v>
      </c>
      <c r="L1238">
        <v>1200</v>
      </c>
      <c r="M1238">
        <v>5</v>
      </c>
      <c r="N1238">
        <v>1</v>
      </c>
      <c r="O1238">
        <v>2</v>
      </c>
      <c r="P1238" t="s">
        <v>79</v>
      </c>
      <c r="Q1238">
        <v>3</v>
      </c>
      <c r="R1238">
        <v>0</v>
      </c>
      <c r="S1238" t="s">
        <v>22</v>
      </c>
      <c r="T1238">
        <v>1.5</v>
      </c>
      <c r="U1238">
        <v>0</v>
      </c>
    </row>
    <row r="1239" spans="1:21" x14ac:dyDescent="0.25">
      <c r="A1239">
        <v>9504375</v>
      </c>
      <c r="B1239" t="s">
        <v>15</v>
      </c>
      <c r="C1239" s="1">
        <v>42835</v>
      </c>
      <c r="D1239" s="2">
        <f>YEAR(C1239)</f>
        <v>2017</v>
      </c>
      <c r="E1239">
        <v>348000</v>
      </c>
      <c r="F1239" t="s">
        <v>85</v>
      </c>
      <c r="G1239">
        <v>1956</v>
      </c>
      <c r="H1239">
        <v>5044</v>
      </c>
      <c r="I1239" t="s">
        <v>269</v>
      </c>
      <c r="J1239">
        <v>76</v>
      </c>
      <c r="K1239">
        <v>60077</v>
      </c>
      <c r="L1239">
        <v>1184</v>
      </c>
      <c r="M1239">
        <v>7</v>
      </c>
      <c r="N1239">
        <v>2</v>
      </c>
      <c r="O1239">
        <v>0</v>
      </c>
      <c r="P1239" t="s">
        <v>79</v>
      </c>
      <c r="Q1239">
        <v>3</v>
      </c>
      <c r="R1239">
        <v>0</v>
      </c>
      <c r="S1239" t="s">
        <v>22</v>
      </c>
      <c r="T1239">
        <v>2</v>
      </c>
      <c r="U1239">
        <v>0</v>
      </c>
    </row>
    <row r="1240" spans="1:21" x14ac:dyDescent="0.25">
      <c r="A1240">
        <v>9648803</v>
      </c>
      <c r="B1240" t="s">
        <v>15</v>
      </c>
      <c r="C1240" s="1">
        <v>42944</v>
      </c>
      <c r="D1240" s="2">
        <f>YEAR(C1240)</f>
        <v>2017</v>
      </c>
      <c r="E1240">
        <v>315000</v>
      </c>
      <c r="F1240" t="s">
        <v>85</v>
      </c>
      <c r="G1240">
        <v>1956</v>
      </c>
      <c r="H1240">
        <v>8118</v>
      </c>
      <c r="I1240" t="s">
        <v>23</v>
      </c>
      <c r="J1240">
        <v>76</v>
      </c>
      <c r="K1240">
        <v>60076</v>
      </c>
      <c r="L1240">
        <v>1161</v>
      </c>
      <c r="M1240">
        <v>9</v>
      </c>
      <c r="N1240">
        <v>1</v>
      </c>
      <c r="O1240">
        <v>1</v>
      </c>
      <c r="P1240" t="s">
        <v>79</v>
      </c>
      <c r="Q1240">
        <v>3</v>
      </c>
      <c r="R1240">
        <v>1</v>
      </c>
      <c r="S1240" t="s">
        <v>22</v>
      </c>
      <c r="T1240">
        <v>1.5</v>
      </c>
      <c r="U1240">
        <v>0</v>
      </c>
    </row>
    <row r="1241" spans="1:21" x14ac:dyDescent="0.25">
      <c r="A1241">
        <v>10013776</v>
      </c>
      <c r="B1241" t="s">
        <v>15</v>
      </c>
      <c r="C1241" s="1">
        <v>43318</v>
      </c>
      <c r="D1241" s="2">
        <f>YEAR(C1241)</f>
        <v>2018</v>
      </c>
      <c r="E1241">
        <v>232000</v>
      </c>
      <c r="F1241" t="s">
        <v>85</v>
      </c>
      <c r="G1241">
        <v>1956</v>
      </c>
      <c r="H1241">
        <v>5139</v>
      </c>
      <c r="I1241" t="s">
        <v>38</v>
      </c>
      <c r="J1241">
        <v>76</v>
      </c>
      <c r="K1241">
        <v>60076</v>
      </c>
      <c r="L1241">
        <v>1152</v>
      </c>
      <c r="M1241">
        <v>7</v>
      </c>
      <c r="N1241">
        <v>2</v>
      </c>
      <c r="O1241">
        <v>0</v>
      </c>
      <c r="P1241" t="s">
        <v>79</v>
      </c>
      <c r="Q1241">
        <v>3</v>
      </c>
      <c r="R1241">
        <v>0</v>
      </c>
      <c r="S1241" t="s">
        <v>22</v>
      </c>
      <c r="T1241">
        <v>1.5</v>
      </c>
      <c r="U1241">
        <v>0</v>
      </c>
    </row>
    <row r="1242" spans="1:21" x14ac:dyDescent="0.25">
      <c r="A1242">
        <v>9604765</v>
      </c>
      <c r="B1242" t="s">
        <v>15</v>
      </c>
      <c r="C1242" s="1">
        <v>42942</v>
      </c>
      <c r="D1242" s="2">
        <f>YEAR(C1242)</f>
        <v>2017</v>
      </c>
      <c r="E1242">
        <v>302000</v>
      </c>
      <c r="F1242" t="s">
        <v>85</v>
      </c>
      <c r="G1242">
        <v>1956</v>
      </c>
      <c r="H1242">
        <v>5432</v>
      </c>
      <c r="I1242" t="s">
        <v>151</v>
      </c>
      <c r="J1242">
        <v>76</v>
      </c>
      <c r="K1242">
        <v>60077</v>
      </c>
      <c r="L1242">
        <v>1140</v>
      </c>
      <c r="M1242">
        <v>8</v>
      </c>
      <c r="N1242">
        <v>2</v>
      </c>
      <c r="O1242">
        <v>1</v>
      </c>
      <c r="P1242" t="s">
        <v>79</v>
      </c>
      <c r="Q1242">
        <v>3</v>
      </c>
      <c r="R1242">
        <v>0</v>
      </c>
      <c r="S1242" t="s">
        <v>22</v>
      </c>
      <c r="T1242">
        <v>1.5</v>
      </c>
      <c r="U1242">
        <v>0</v>
      </c>
    </row>
    <row r="1243" spans="1:21" x14ac:dyDescent="0.25">
      <c r="A1243">
        <v>9571890</v>
      </c>
      <c r="B1243" t="s">
        <v>15</v>
      </c>
      <c r="C1243" s="1">
        <v>42816</v>
      </c>
      <c r="D1243" s="2">
        <f>YEAR(C1243)</f>
        <v>2017</v>
      </c>
      <c r="E1243">
        <v>232000</v>
      </c>
      <c r="F1243" t="s">
        <v>85</v>
      </c>
      <c r="G1243">
        <v>1956</v>
      </c>
      <c r="H1243">
        <v>8453</v>
      </c>
      <c r="I1243" t="s">
        <v>465</v>
      </c>
      <c r="J1243">
        <v>76</v>
      </c>
      <c r="K1243">
        <v>60076</v>
      </c>
      <c r="L1243">
        <v>1037</v>
      </c>
      <c r="M1243">
        <v>7</v>
      </c>
      <c r="N1243">
        <v>2</v>
      </c>
      <c r="O1243">
        <v>0</v>
      </c>
      <c r="P1243" t="s">
        <v>79</v>
      </c>
      <c r="Q1243">
        <v>3</v>
      </c>
      <c r="R1243">
        <v>0</v>
      </c>
      <c r="S1243" t="s">
        <v>19</v>
      </c>
      <c r="T1243">
        <v>0</v>
      </c>
      <c r="U1243">
        <v>0</v>
      </c>
    </row>
    <row r="1244" spans="1:21" x14ac:dyDescent="0.25">
      <c r="A1244">
        <v>9750494</v>
      </c>
      <c r="B1244" t="s">
        <v>15</v>
      </c>
      <c r="C1244" s="1">
        <v>43088</v>
      </c>
      <c r="D1244" s="2">
        <f>YEAR(C1244)</f>
        <v>2017</v>
      </c>
      <c r="E1244">
        <v>264000</v>
      </c>
      <c r="F1244" t="s">
        <v>85</v>
      </c>
      <c r="G1244">
        <v>1956</v>
      </c>
      <c r="H1244">
        <v>5359</v>
      </c>
      <c r="I1244" t="s">
        <v>468</v>
      </c>
      <c r="J1244">
        <v>76</v>
      </c>
      <c r="K1244">
        <v>60077</v>
      </c>
      <c r="L1244">
        <v>1006</v>
      </c>
      <c r="M1244">
        <v>7</v>
      </c>
      <c r="N1244">
        <v>2</v>
      </c>
      <c r="O1244">
        <v>0</v>
      </c>
      <c r="P1244" t="s">
        <v>79</v>
      </c>
      <c r="Q1244">
        <v>2</v>
      </c>
      <c r="R1244">
        <v>1</v>
      </c>
      <c r="S1244" t="s">
        <v>22</v>
      </c>
      <c r="T1244">
        <v>2</v>
      </c>
      <c r="U1244">
        <v>0</v>
      </c>
    </row>
    <row r="1245" spans="1:21" x14ac:dyDescent="0.25">
      <c r="A1245">
        <v>9655810</v>
      </c>
      <c r="B1245" t="s">
        <v>15</v>
      </c>
      <c r="C1245" s="1">
        <v>42933</v>
      </c>
      <c r="D1245" s="2">
        <f>YEAR(C1245)</f>
        <v>2017</v>
      </c>
      <c r="E1245">
        <v>287000</v>
      </c>
      <c r="F1245" t="s">
        <v>85</v>
      </c>
      <c r="G1245">
        <v>1956</v>
      </c>
      <c r="H1245">
        <v>8742</v>
      </c>
      <c r="I1245" t="s">
        <v>153</v>
      </c>
      <c r="J1245">
        <v>76</v>
      </c>
      <c r="K1245">
        <v>60076</v>
      </c>
      <c r="L1245">
        <v>1000</v>
      </c>
      <c r="M1245">
        <v>8</v>
      </c>
      <c r="N1245">
        <v>2</v>
      </c>
      <c r="O1245">
        <v>0</v>
      </c>
      <c r="P1245" t="s">
        <v>79</v>
      </c>
      <c r="Q1245">
        <v>3</v>
      </c>
      <c r="R1245">
        <v>1</v>
      </c>
      <c r="S1245" t="s">
        <v>22</v>
      </c>
      <c r="T1245">
        <v>2</v>
      </c>
      <c r="U1245">
        <v>0</v>
      </c>
    </row>
    <row r="1246" spans="1:21" x14ac:dyDescent="0.25">
      <c r="A1246">
        <v>9500427</v>
      </c>
      <c r="B1246" t="s">
        <v>15</v>
      </c>
      <c r="C1246" s="1">
        <v>42824</v>
      </c>
      <c r="D1246" s="2">
        <f>YEAR(C1246)</f>
        <v>2017</v>
      </c>
      <c r="E1246">
        <v>288000</v>
      </c>
      <c r="F1246" t="s">
        <v>85</v>
      </c>
      <c r="G1246">
        <v>1956</v>
      </c>
      <c r="H1246">
        <v>3521</v>
      </c>
      <c r="I1246" t="s">
        <v>38</v>
      </c>
      <c r="J1246">
        <v>76</v>
      </c>
      <c r="K1246">
        <v>60076</v>
      </c>
      <c r="L1246">
        <v>1000</v>
      </c>
      <c r="M1246">
        <v>6</v>
      </c>
      <c r="N1246">
        <v>1</v>
      </c>
      <c r="O1246">
        <v>1</v>
      </c>
      <c r="P1246" t="s">
        <v>79</v>
      </c>
      <c r="Q1246">
        <v>2</v>
      </c>
      <c r="R1246">
        <v>1</v>
      </c>
      <c r="S1246" t="s">
        <v>22</v>
      </c>
      <c r="T1246">
        <v>2</v>
      </c>
      <c r="U1246">
        <v>0</v>
      </c>
    </row>
    <row r="1247" spans="1:21" x14ac:dyDescent="0.25">
      <c r="A1247">
        <v>9565015</v>
      </c>
      <c r="B1247" t="s">
        <v>15</v>
      </c>
      <c r="C1247" s="1">
        <v>42944</v>
      </c>
      <c r="D1247" s="2">
        <f>YEAR(C1247)</f>
        <v>2017</v>
      </c>
      <c r="E1247">
        <v>180000</v>
      </c>
      <c r="F1247" t="s">
        <v>85</v>
      </c>
      <c r="G1247">
        <v>1956</v>
      </c>
      <c r="H1247">
        <v>5144</v>
      </c>
      <c r="I1247" t="s">
        <v>267</v>
      </c>
      <c r="J1247">
        <v>76</v>
      </c>
      <c r="K1247">
        <v>60077</v>
      </c>
      <c r="L1247">
        <v>968</v>
      </c>
      <c r="M1247">
        <v>5</v>
      </c>
      <c r="N1247">
        <v>2</v>
      </c>
      <c r="O1247">
        <v>0</v>
      </c>
      <c r="P1247" t="s">
        <v>79</v>
      </c>
      <c r="Q1247">
        <v>2</v>
      </c>
      <c r="R1247">
        <v>0</v>
      </c>
      <c r="S1247" t="s">
        <v>22</v>
      </c>
      <c r="T1247">
        <v>2</v>
      </c>
      <c r="U1247">
        <v>0</v>
      </c>
    </row>
    <row r="1248" spans="1:21" x14ac:dyDescent="0.25">
      <c r="A1248">
        <v>10113163</v>
      </c>
      <c r="B1248" t="s">
        <v>15</v>
      </c>
      <c r="C1248" s="1">
        <v>43418</v>
      </c>
      <c r="D1248" s="2">
        <f>YEAR(C1248)</f>
        <v>2018</v>
      </c>
      <c r="E1248">
        <v>262000</v>
      </c>
      <c r="F1248" t="s">
        <v>85</v>
      </c>
      <c r="G1248">
        <v>1956</v>
      </c>
      <c r="H1248">
        <v>7836</v>
      </c>
      <c r="I1248" t="s">
        <v>130</v>
      </c>
      <c r="J1248">
        <v>76</v>
      </c>
      <c r="K1248">
        <v>60076</v>
      </c>
      <c r="L1248">
        <v>919</v>
      </c>
      <c r="M1248">
        <v>8</v>
      </c>
      <c r="N1248">
        <v>2</v>
      </c>
      <c r="O1248">
        <v>0</v>
      </c>
      <c r="P1248" t="s">
        <v>79</v>
      </c>
      <c r="Q1248">
        <v>3</v>
      </c>
      <c r="R1248">
        <v>0</v>
      </c>
      <c r="S1248" t="s">
        <v>22</v>
      </c>
      <c r="T1248">
        <v>2.5</v>
      </c>
      <c r="U1248">
        <v>0</v>
      </c>
    </row>
    <row r="1249" spans="1:21" x14ac:dyDescent="0.25">
      <c r="A1249">
        <v>9861577</v>
      </c>
      <c r="B1249" t="s">
        <v>15</v>
      </c>
      <c r="C1249" s="1">
        <v>43238</v>
      </c>
      <c r="D1249" s="2">
        <f>YEAR(C1249)</f>
        <v>2018</v>
      </c>
      <c r="E1249">
        <v>565000</v>
      </c>
      <c r="F1249" t="s">
        <v>85</v>
      </c>
      <c r="G1249">
        <v>1956</v>
      </c>
      <c r="H1249">
        <v>859</v>
      </c>
      <c r="I1249" t="s">
        <v>471</v>
      </c>
      <c r="J1249">
        <v>62</v>
      </c>
      <c r="K1249">
        <v>60062</v>
      </c>
      <c r="L1249">
        <v>3300</v>
      </c>
      <c r="M1249">
        <v>9</v>
      </c>
      <c r="N1249">
        <v>3</v>
      </c>
      <c r="O1249">
        <v>1</v>
      </c>
      <c r="P1249" t="s">
        <v>79</v>
      </c>
      <c r="Q1249">
        <v>3</v>
      </c>
      <c r="R1249">
        <v>0</v>
      </c>
      <c r="S1249" t="s">
        <v>21</v>
      </c>
      <c r="T1249">
        <v>2</v>
      </c>
      <c r="U1249">
        <v>0</v>
      </c>
    </row>
    <row r="1250" spans="1:21" x14ac:dyDescent="0.25">
      <c r="A1250">
        <v>9974486</v>
      </c>
      <c r="B1250" t="s">
        <v>15</v>
      </c>
      <c r="C1250" s="1">
        <v>43518</v>
      </c>
      <c r="D1250" s="2">
        <f>YEAR(C1250)</f>
        <v>2019</v>
      </c>
      <c r="E1250">
        <v>305000</v>
      </c>
      <c r="F1250" t="s">
        <v>85</v>
      </c>
      <c r="G1250">
        <v>1956</v>
      </c>
      <c r="H1250">
        <v>4585</v>
      </c>
      <c r="I1250" t="s">
        <v>236</v>
      </c>
      <c r="J1250">
        <v>62</v>
      </c>
      <c r="K1250">
        <v>60062</v>
      </c>
      <c r="L1250">
        <v>2408</v>
      </c>
      <c r="M1250">
        <v>6</v>
      </c>
      <c r="N1250">
        <v>2</v>
      </c>
      <c r="O1250">
        <v>1</v>
      </c>
      <c r="P1250" t="s">
        <v>79</v>
      </c>
      <c r="Q1250">
        <v>3</v>
      </c>
      <c r="R1250">
        <v>0</v>
      </c>
      <c r="S1250" t="s">
        <v>21</v>
      </c>
      <c r="T1250">
        <v>2</v>
      </c>
      <c r="U1250">
        <v>0</v>
      </c>
    </row>
    <row r="1251" spans="1:21" x14ac:dyDescent="0.25">
      <c r="A1251">
        <v>9613976</v>
      </c>
      <c r="B1251" t="s">
        <v>15</v>
      </c>
      <c r="C1251" s="1">
        <v>43035</v>
      </c>
      <c r="D1251" s="2">
        <f>YEAR(C1251)</f>
        <v>2017</v>
      </c>
      <c r="E1251">
        <v>402000</v>
      </c>
      <c r="F1251" t="s">
        <v>85</v>
      </c>
      <c r="G1251">
        <v>1956</v>
      </c>
      <c r="H1251">
        <v>813</v>
      </c>
      <c r="I1251" t="s">
        <v>205</v>
      </c>
      <c r="J1251">
        <v>62</v>
      </c>
      <c r="K1251">
        <v>60062</v>
      </c>
      <c r="L1251">
        <v>2100</v>
      </c>
      <c r="M1251">
        <v>10</v>
      </c>
      <c r="N1251">
        <v>2</v>
      </c>
      <c r="O1251">
        <v>0</v>
      </c>
      <c r="P1251" t="s">
        <v>79</v>
      </c>
      <c r="Q1251">
        <v>4</v>
      </c>
      <c r="R1251">
        <v>0</v>
      </c>
      <c r="S1251" t="s">
        <v>22</v>
      </c>
      <c r="T1251">
        <v>2.5</v>
      </c>
      <c r="U1251">
        <v>0</v>
      </c>
    </row>
    <row r="1252" spans="1:21" x14ac:dyDescent="0.25">
      <c r="A1252">
        <v>9844697</v>
      </c>
      <c r="B1252" t="s">
        <v>15</v>
      </c>
      <c r="C1252" s="1">
        <v>43189</v>
      </c>
      <c r="D1252" s="2">
        <f>YEAR(C1252)</f>
        <v>2018</v>
      </c>
      <c r="E1252">
        <v>435000</v>
      </c>
      <c r="F1252" t="s">
        <v>85</v>
      </c>
      <c r="G1252">
        <v>1956</v>
      </c>
      <c r="H1252">
        <v>3484</v>
      </c>
      <c r="I1252" t="s">
        <v>228</v>
      </c>
      <c r="J1252">
        <v>62</v>
      </c>
      <c r="K1252">
        <v>60062</v>
      </c>
      <c r="L1252">
        <v>2000</v>
      </c>
      <c r="M1252">
        <v>8</v>
      </c>
      <c r="N1252">
        <v>2</v>
      </c>
      <c r="O1252">
        <v>0</v>
      </c>
      <c r="P1252" t="s">
        <v>79</v>
      </c>
      <c r="Q1252">
        <v>4</v>
      </c>
      <c r="R1252">
        <v>0</v>
      </c>
      <c r="S1252" t="s">
        <v>21</v>
      </c>
      <c r="T1252">
        <v>1</v>
      </c>
      <c r="U1252">
        <v>0</v>
      </c>
    </row>
    <row r="1253" spans="1:21" x14ac:dyDescent="0.25">
      <c r="A1253">
        <v>9635998</v>
      </c>
      <c r="B1253" t="s">
        <v>15</v>
      </c>
      <c r="C1253" s="1">
        <v>43014</v>
      </c>
      <c r="D1253" s="2">
        <f>YEAR(C1253)</f>
        <v>2017</v>
      </c>
      <c r="E1253">
        <v>360000</v>
      </c>
      <c r="F1253" t="s">
        <v>85</v>
      </c>
      <c r="G1253">
        <v>1956</v>
      </c>
      <c r="H1253">
        <v>4055</v>
      </c>
      <c r="I1253" t="s">
        <v>472</v>
      </c>
      <c r="J1253">
        <v>62</v>
      </c>
      <c r="K1253">
        <v>60062</v>
      </c>
      <c r="L1253">
        <v>1591</v>
      </c>
      <c r="M1253">
        <v>10</v>
      </c>
      <c r="N1253">
        <v>3</v>
      </c>
      <c r="O1253">
        <v>0</v>
      </c>
      <c r="P1253" t="s">
        <v>79</v>
      </c>
      <c r="Q1253">
        <v>3</v>
      </c>
      <c r="R1253">
        <v>1</v>
      </c>
      <c r="S1253" t="s">
        <v>21</v>
      </c>
      <c r="T1253">
        <v>2.5</v>
      </c>
      <c r="U1253">
        <v>0</v>
      </c>
    </row>
    <row r="1254" spans="1:21" x14ac:dyDescent="0.25">
      <c r="A1254">
        <v>9844922</v>
      </c>
      <c r="B1254" t="s">
        <v>15</v>
      </c>
      <c r="C1254" s="1">
        <v>43207</v>
      </c>
      <c r="D1254" s="2">
        <f>YEAR(C1254)</f>
        <v>2018</v>
      </c>
      <c r="E1254">
        <v>415000</v>
      </c>
      <c r="F1254" t="s">
        <v>85</v>
      </c>
      <c r="G1254">
        <v>1956</v>
      </c>
      <c r="H1254">
        <v>1960</v>
      </c>
      <c r="I1254" t="s">
        <v>469</v>
      </c>
      <c r="J1254">
        <v>62</v>
      </c>
      <c r="K1254">
        <v>60062</v>
      </c>
      <c r="L1254">
        <v>1116</v>
      </c>
      <c r="M1254">
        <v>8</v>
      </c>
      <c r="N1254">
        <v>2</v>
      </c>
      <c r="O1254">
        <v>0</v>
      </c>
      <c r="P1254" t="s">
        <v>79</v>
      </c>
      <c r="Q1254">
        <v>3</v>
      </c>
      <c r="R1254">
        <v>1</v>
      </c>
      <c r="S1254" t="s">
        <v>21</v>
      </c>
      <c r="T1254">
        <v>1</v>
      </c>
      <c r="U1254">
        <v>0</v>
      </c>
    </row>
    <row r="1255" spans="1:21" x14ac:dyDescent="0.25">
      <c r="A1255">
        <v>9610538</v>
      </c>
      <c r="B1255" t="s">
        <v>15</v>
      </c>
      <c r="C1255" s="1">
        <v>42936</v>
      </c>
      <c r="D1255" s="2">
        <f>YEAR(C1255)</f>
        <v>2017</v>
      </c>
      <c r="E1255">
        <v>368500</v>
      </c>
      <c r="F1255" t="s">
        <v>85</v>
      </c>
      <c r="G1255">
        <v>1956</v>
      </c>
      <c r="H1255">
        <v>836</v>
      </c>
      <c r="I1255" t="s">
        <v>208</v>
      </c>
      <c r="J1255">
        <v>62</v>
      </c>
      <c r="K1255">
        <v>60062</v>
      </c>
      <c r="L1255">
        <v>1072</v>
      </c>
      <c r="M1255">
        <v>8</v>
      </c>
      <c r="N1255">
        <v>2</v>
      </c>
      <c r="O1255">
        <v>0</v>
      </c>
      <c r="P1255" t="s">
        <v>79</v>
      </c>
      <c r="Q1255">
        <v>3</v>
      </c>
      <c r="R1255">
        <v>0</v>
      </c>
      <c r="S1255" t="s">
        <v>21</v>
      </c>
      <c r="T1255">
        <v>1</v>
      </c>
      <c r="U1255">
        <v>0</v>
      </c>
    </row>
    <row r="1256" spans="1:21" x14ac:dyDescent="0.25">
      <c r="A1256">
        <v>9976758</v>
      </c>
      <c r="B1256" t="s">
        <v>15</v>
      </c>
      <c r="C1256" s="1">
        <v>43381</v>
      </c>
      <c r="D1256" s="2">
        <f>YEAR(C1256)</f>
        <v>2018</v>
      </c>
      <c r="E1256">
        <v>454000</v>
      </c>
      <c r="F1256" t="s">
        <v>85</v>
      </c>
      <c r="G1256">
        <v>1957</v>
      </c>
      <c r="H1256">
        <v>4239</v>
      </c>
      <c r="I1256" t="s">
        <v>109</v>
      </c>
      <c r="J1256">
        <v>76</v>
      </c>
      <c r="K1256">
        <v>60076</v>
      </c>
      <c r="L1256">
        <v>3000</v>
      </c>
      <c r="M1256">
        <v>10</v>
      </c>
      <c r="N1256">
        <v>3</v>
      </c>
      <c r="O1256">
        <v>0</v>
      </c>
      <c r="P1256" t="s">
        <v>79</v>
      </c>
      <c r="Q1256">
        <v>5</v>
      </c>
      <c r="R1256">
        <v>0</v>
      </c>
      <c r="S1256" t="s">
        <v>21</v>
      </c>
      <c r="T1256">
        <v>1</v>
      </c>
      <c r="U1256">
        <v>0</v>
      </c>
    </row>
    <row r="1257" spans="1:21" x14ac:dyDescent="0.25">
      <c r="A1257">
        <v>10102994</v>
      </c>
      <c r="B1257" t="s">
        <v>15</v>
      </c>
      <c r="C1257" s="1">
        <v>43448</v>
      </c>
      <c r="D1257" s="2">
        <f>YEAR(C1257)</f>
        <v>2018</v>
      </c>
      <c r="E1257">
        <v>350000</v>
      </c>
      <c r="F1257" t="s">
        <v>85</v>
      </c>
      <c r="G1257">
        <v>1957</v>
      </c>
      <c r="H1257">
        <v>9042</v>
      </c>
      <c r="I1257" t="s">
        <v>123</v>
      </c>
      <c r="J1257">
        <v>76</v>
      </c>
      <c r="K1257">
        <v>60076</v>
      </c>
      <c r="L1257">
        <v>2955</v>
      </c>
      <c r="M1257">
        <v>7</v>
      </c>
      <c r="N1257">
        <v>2</v>
      </c>
      <c r="O1257">
        <v>1</v>
      </c>
      <c r="P1257" t="s">
        <v>79</v>
      </c>
      <c r="Q1257">
        <v>3</v>
      </c>
      <c r="R1257">
        <v>0</v>
      </c>
      <c r="S1257" t="s">
        <v>21</v>
      </c>
      <c r="T1257">
        <v>1</v>
      </c>
      <c r="U1257">
        <v>0</v>
      </c>
    </row>
    <row r="1258" spans="1:21" x14ac:dyDescent="0.25">
      <c r="A1258">
        <v>9764741</v>
      </c>
      <c r="B1258" t="s">
        <v>15</v>
      </c>
      <c r="C1258" s="1">
        <v>43126</v>
      </c>
      <c r="D1258" s="2">
        <f>YEAR(C1258)</f>
        <v>2018</v>
      </c>
      <c r="E1258">
        <v>425500</v>
      </c>
      <c r="F1258" t="s">
        <v>85</v>
      </c>
      <c r="G1258">
        <v>1957</v>
      </c>
      <c r="H1258">
        <v>8334</v>
      </c>
      <c r="I1258" t="s">
        <v>84</v>
      </c>
      <c r="J1258">
        <v>76</v>
      </c>
      <c r="K1258">
        <v>60076</v>
      </c>
      <c r="L1258">
        <v>2449</v>
      </c>
      <c r="M1258">
        <v>10</v>
      </c>
      <c r="N1258">
        <v>3</v>
      </c>
      <c r="O1258">
        <v>0</v>
      </c>
      <c r="P1258" t="s">
        <v>79</v>
      </c>
      <c r="Q1258">
        <v>3</v>
      </c>
      <c r="R1258">
        <v>1</v>
      </c>
      <c r="S1258" t="s">
        <v>22</v>
      </c>
      <c r="T1258">
        <v>2</v>
      </c>
      <c r="U1258">
        <v>0</v>
      </c>
    </row>
    <row r="1259" spans="1:21" x14ac:dyDescent="0.25">
      <c r="A1259">
        <v>10028287</v>
      </c>
      <c r="B1259" t="s">
        <v>15</v>
      </c>
      <c r="C1259" s="1">
        <v>43383</v>
      </c>
      <c r="D1259" s="2">
        <f>YEAR(C1259)</f>
        <v>2018</v>
      </c>
      <c r="E1259">
        <v>296000</v>
      </c>
      <c r="F1259" t="s">
        <v>85</v>
      </c>
      <c r="G1259">
        <v>1957</v>
      </c>
      <c r="H1259">
        <v>9650</v>
      </c>
      <c r="I1259" t="s">
        <v>123</v>
      </c>
      <c r="J1259">
        <v>76</v>
      </c>
      <c r="K1259">
        <v>60076</v>
      </c>
      <c r="L1259">
        <v>2320</v>
      </c>
      <c r="M1259">
        <v>10</v>
      </c>
      <c r="N1259">
        <v>2</v>
      </c>
      <c r="O1259">
        <v>0</v>
      </c>
      <c r="P1259" t="s">
        <v>79</v>
      </c>
      <c r="Q1259">
        <v>3</v>
      </c>
      <c r="R1259">
        <v>1</v>
      </c>
      <c r="S1259" t="s">
        <v>19</v>
      </c>
      <c r="T1259">
        <v>0</v>
      </c>
      <c r="U1259">
        <v>0</v>
      </c>
    </row>
    <row r="1260" spans="1:21" x14ac:dyDescent="0.25">
      <c r="A1260">
        <v>9691672</v>
      </c>
      <c r="B1260" t="s">
        <v>15</v>
      </c>
      <c r="C1260" s="1">
        <v>43098</v>
      </c>
      <c r="D1260" s="2">
        <f>YEAR(C1260)</f>
        <v>2017</v>
      </c>
      <c r="E1260">
        <v>305000</v>
      </c>
      <c r="F1260" t="s">
        <v>85</v>
      </c>
      <c r="G1260">
        <v>1957</v>
      </c>
      <c r="H1260">
        <v>8716</v>
      </c>
      <c r="I1260" t="s">
        <v>130</v>
      </c>
      <c r="J1260">
        <v>76</v>
      </c>
      <c r="K1260">
        <v>60076</v>
      </c>
      <c r="L1260">
        <v>2200</v>
      </c>
      <c r="M1260">
        <v>9</v>
      </c>
      <c r="N1260">
        <v>2</v>
      </c>
      <c r="O1260">
        <v>0</v>
      </c>
      <c r="P1260" t="s">
        <v>79</v>
      </c>
      <c r="Q1260">
        <v>3</v>
      </c>
      <c r="R1260">
        <v>1</v>
      </c>
      <c r="S1260" t="s">
        <v>22</v>
      </c>
      <c r="T1260">
        <v>2</v>
      </c>
      <c r="U1260">
        <v>0</v>
      </c>
    </row>
    <row r="1261" spans="1:21" x14ac:dyDescent="0.25">
      <c r="A1261">
        <v>10151629</v>
      </c>
      <c r="B1261" t="s">
        <v>15</v>
      </c>
      <c r="C1261" s="1">
        <v>43511</v>
      </c>
      <c r="D1261" s="2">
        <f>YEAR(C1261)</f>
        <v>2019</v>
      </c>
      <c r="E1261">
        <v>343000</v>
      </c>
      <c r="F1261" t="s">
        <v>85</v>
      </c>
      <c r="G1261">
        <v>1957</v>
      </c>
      <c r="H1261">
        <v>7506</v>
      </c>
      <c r="I1261" t="s">
        <v>148</v>
      </c>
      <c r="J1261">
        <v>76</v>
      </c>
      <c r="K1261">
        <v>60076</v>
      </c>
      <c r="L1261">
        <v>2194</v>
      </c>
      <c r="M1261">
        <v>8</v>
      </c>
      <c r="N1261">
        <v>2</v>
      </c>
      <c r="O1261">
        <v>0</v>
      </c>
      <c r="P1261" t="s">
        <v>79</v>
      </c>
      <c r="Q1261">
        <v>3</v>
      </c>
      <c r="R1261">
        <v>0</v>
      </c>
      <c r="S1261" t="s">
        <v>22</v>
      </c>
      <c r="T1261">
        <v>2</v>
      </c>
      <c r="U1261">
        <v>0</v>
      </c>
    </row>
    <row r="1262" spans="1:21" x14ac:dyDescent="0.25">
      <c r="A1262">
        <v>9807449</v>
      </c>
      <c r="B1262" t="s">
        <v>15</v>
      </c>
      <c r="C1262" s="1">
        <v>43131</v>
      </c>
      <c r="D1262" s="2">
        <f>YEAR(C1262)</f>
        <v>2018</v>
      </c>
      <c r="E1262">
        <v>375000</v>
      </c>
      <c r="F1262" t="s">
        <v>85</v>
      </c>
      <c r="G1262">
        <v>1957</v>
      </c>
      <c r="H1262">
        <v>8632</v>
      </c>
      <c r="I1262" t="s">
        <v>473</v>
      </c>
      <c r="J1262">
        <v>76</v>
      </c>
      <c r="K1262">
        <v>60076</v>
      </c>
      <c r="L1262">
        <v>2174</v>
      </c>
      <c r="M1262">
        <v>10</v>
      </c>
      <c r="N1262">
        <v>3</v>
      </c>
      <c r="O1262">
        <v>0</v>
      </c>
      <c r="P1262" t="s">
        <v>79</v>
      </c>
      <c r="Q1262">
        <v>5</v>
      </c>
      <c r="R1262">
        <v>0</v>
      </c>
      <c r="S1262" t="s">
        <v>22</v>
      </c>
      <c r="T1262">
        <v>2</v>
      </c>
      <c r="U1262">
        <v>0</v>
      </c>
    </row>
    <row r="1263" spans="1:21" x14ac:dyDescent="0.25">
      <c r="A1263">
        <v>9996366</v>
      </c>
      <c r="B1263" t="s">
        <v>15</v>
      </c>
      <c r="C1263" s="1">
        <v>43309</v>
      </c>
      <c r="D1263" s="2">
        <f>YEAR(C1263)</f>
        <v>2018</v>
      </c>
      <c r="E1263">
        <v>365000</v>
      </c>
      <c r="F1263" t="s">
        <v>85</v>
      </c>
      <c r="G1263">
        <v>1957</v>
      </c>
      <c r="H1263">
        <v>5012</v>
      </c>
      <c r="I1263" t="s">
        <v>269</v>
      </c>
      <c r="J1263">
        <v>76</v>
      </c>
      <c r="K1263">
        <v>60077</v>
      </c>
      <c r="L1263">
        <v>1900</v>
      </c>
      <c r="M1263">
        <v>7</v>
      </c>
      <c r="N1263">
        <v>2</v>
      </c>
      <c r="O1263">
        <v>0</v>
      </c>
      <c r="P1263" t="s">
        <v>79</v>
      </c>
      <c r="Q1263">
        <v>3</v>
      </c>
      <c r="R1263">
        <v>1</v>
      </c>
      <c r="S1263" t="s">
        <v>21</v>
      </c>
      <c r="T1263">
        <v>1</v>
      </c>
      <c r="U1263">
        <v>0</v>
      </c>
    </row>
    <row r="1264" spans="1:21" x14ac:dyDescent="0.25">
      <c r="A1264">
        <v>10101471</v>
      </c>
      <c r="B1264" t="s">
        <v>15</v>
      </c>
      <c r="C1264" s="1">
        <v>43418</v>
      </c>
      <c r="D1264" s="2">
        <f>YEAR(C1264)</f>
        <v>2018</v>
      </c>
      <c r="E1264">
        <v>435000</v>
      </c>
      <c r="F1264" t="s">
        <v>85</v>
      </c>
      <c r="G1264">
        <v>1957</v>
      </c>
      <c r="H1264">
        <v>7400</v>
      </c>
      <c r="I1264" t="s">
        <v>107</v>
      </c>
      <c r="J1264">
        <v>76</v>
      </c>
      <c r="K1264">
        <v>60076</v>
      </c>
      <c r="L1264">
        <v>1620</v>
      </c>
      <c r="M1264">
        <v>8</v>
      </c>
      <c r="N1264">
        <v>2</v>
      </c>
      <c r="O1264">
        <v>0</v>
      </c>
      <c r="P1264" t="s">
        <v>79</v>
      </c>
      <c r="Q1264">
        <v>3</v>
      </c>
      <c r="R1264">
        <v>0</v>
      </c>
      <c r="S1264" t="s">
        <v>21</v>
      </c>
      <c r="T1264">
        <v>2.5</v>
      </c>
      <c r="U1264">
        <v>0</v>
      </c>
    </row>
    <row r="1265" spans="1:21" x14ac:dyDescent="0.25">
      <c r="A1265">
        <v>10085153</v>
      </c>
      <c r="B1265" t="s">
        <v>15</v>
      </c>
      <c r="C1265" s="1">
        <v>43434</v>
      </c>
      <c r="D1265" s="2">
        <f>YEAR(C1265)</f>
        <v>2018</v>
      </c>
      <c r="E1265">
        <v>400000</v>
      </c>
      <c r="F1265" t="s">
        <v>85</v>
      </c>
      <c r="G1265">
        <v>1957</v>
      </c>
      <c r="H1265">
        <v>4133</v>
      </c>
      <c r="I1265" t="s">
        <v>151</v>
      </c>
      <c r="J1265">
        <v>76</v>
      </c>
      <c r="K1265">
        <v>60076</v>
      </c>
      <c r="L1265">
        <v>1600</v>
      </c>
      <c r="M1265">
        <v>7</v>
      </c>
      <c r="N1265">
        <v>2</v>
      </c>
      <c r="O1265">
        <v>1</v>
      </c>
      <c r="P1265" t="s">
        <v>79</v>
      </c>
      <c r="Q1265">
        <v>3</v>
      </c>
      <c r="R1265">
        <v>0</v>
      </c>
      <c r="S1265" t="s">
        <v>21</v>
      </c>
      <c r="T1265">
        <v>1.5</v>
      </c>
      <c r="U1265">
        <v>0</v>
      </c>
    </row>
    <row r="1266" spans="1:21" x14ac:dyDescent="0.25">
      <c r="A1266">
        <v>9884676</v>
      </c>
      <c r="B1266" t="s">
        <v>15</v>
      </c>
      <c r="C1266" s="1">
        <v>43251</v>
      </c>
      <c r="D1266" s="2">
        <f>YEAR(C1266)</f>
        <v>2018</v>
      </c>
      <c r="E1266">
        <v>372000</v>
      </c>
      <c r="F1266" t="s">
        <v>85</v>
      </c>
      <c r="G1266">
        <v>1957</v>
      </c>
      <c r="H1266">
        <v>4221</v>
      </c>
      <c r="I1266" t="s">
        <v>267</v>
      </c>
      <c r="J1266">
        <v>76</v>
      </c>
      <c r="K1266">
        <v>60076</v>
      </c>
      <c r="L1266">
        <v>1516</v>
      </c>
      <c r="M1266">
        <v>8</v>
      </c>
      <c r="N1266">
        <v>2</v>
      </c>
      <c r="O1266">
        <v>1</v>
      </c>
      <c r="P1266" t="s">
        <v>79</v>
      </c>
      <c r="Q1266">
        <v>3</v>
      </c>
      <c r="R1266">
        <v>1</v>
      </c>
      <c r="S1266" t="s">
        <v>21</v>
      </c>
      <c r="T1266">
        <v>1</v>
      </c>
      <c r="U1266">
        <v>0</v>
      </c>
    </row>
    <row r="1267" spans="1:21" x14ac:dyDescent="0.25">
      <c r="A1267">
        <v>9910956</v>
      </c>
      <c r="B1267" t="s">
        <v>15</v>
      </c>
      <c r="C1267" s="1">
        <v>43251</v>
      </c>
      <c r="D1267" s="2">
        <f>YEAR(C1267)</f>
        <v>2018</v>
      </c>
      <c r="E1267">
        <v>334500</v>
      </c>
      <c r="F1267" t="s">
        <v>85</v>
      </c>
      <c r="G1267">
        <v>1957</v>
      </c>
      <c r="H1267">
        <v>7810</v>
      </c>
      <c r="I1267" t="s">
        <v>112</v>
      </c>
      <c r="J1267">
        <v>76</v>
      </c>
      <c r="K1267">
        <v>60076</v>
      </c>
      <c r="L1267">
        <v>1500</v>
      </c>
      <c r="M1267">
        <v>7</v>
      </c>
      <c r="N1267">
        <v>1</v>
      </c>
      <c r="O1267">
        <v>1</v>
      </c>
      <c r="P1267" t="s">
        <v>79</v>
      </c>
      <c r="Q1267">
        <v>3</v>
      </c>
      <c r="R1267">
        <v>0</v>
      </c>
      <c r="S1267" t="s">
        <v>21</v>
      </c>
      <c r="T1267">
        <v>1</v>
      </c>
      <c r="U1267">
        <v>0</v>
      </c>
    </row>
    <row r="1268" spans="1:21" x14ac:dyDescent="0.25">
      <c r="A1268">
        <v>9996930</v>
      </c>
      <c r="B1268" t="s">
        <v>15</v>
      </c>
      <c r="C1268" s="1">
        <v>43335</v>
      </c>
      <c r="D1268" s="2">
        <f>YEAR(C1268)</f>
        <v>2018</v>
      </c>
      <c r="E1268">
        <v>448000</v>
      </c>
      <c r="F1268" t="s">
        <v>85</v>
      </c>
      <c r="G1268">
        <v>1957</v>
      </c>
      <c r="H1268">
        <v>8446</v>
      </c>
      <c r="I1268" t="s">
        <v>43</v>
      </c>
      <c r="J1268">
        <v>76</v>
      </c>
      <c r="K1268">
        <v>60076</v>
      </c>
      <c r="L1268">
        <v>1500</v>
      </c>
      <c r="M1268">
        <v>8</v>
      </c>
      <c r="N1268">
        <v>3</v>
      </c>
      <c r="O1268">
        <v>0</v>
      </c>
      <c r="P1268" t="s">
        <v>79</v>
      </c>
      <c r="Q1268">
        <v>3</v>
      </c>
      <c r="R1268">
        <v>0</v>
      </c>
      <c r="S1268" t="s">
        <v>22</v>
      </c>
      <c r="T1268">
        <v>2</v>
      </c>
      <c r="U1268">
        <v>0</v>
      </c>
    </row>
    <row r="1269" spans="1:21" x14ac:dyDescent="0.25">
      <c r="A1269">
        <v>9814197</v>
      </c>
      <c r="B1269" t="s">
        <v>15</v>
      </c>
      <c r="C1269" s="1">
        <v>43175</v>
      </c>
      <c r="D1269" s="2">
        <f>YEAR(C1269)</f>
        <v>2018</v>
      </c>
      <c r="E1269">
        <v>300000</v>
      </c>
      <c r="F1269" t="s">
        <v>85</v>
      </c>
      <c r="G1269">
        <v>1957</v>
      </c>
      <c r="H1269">
        <v>8541</v>
      </c>
      <c r="I1269" t="s">
        <v>43</v>
      </c>
      <c r="J1269">
        <v>76</v>
      </c>
      <c r="K1269">
        <v>60076</v>
      </c>
      <c r="L1269">
        <v>1416</v>
      </c>
      <c r="M1269">
        <v>6</v>
      </c>
      <c r="N1269">
        <v>2</v>
      </c>
      <c r="O1269">
        <v>0</v>
      </c>
      <c r="P1269" t="s">
        <v>79</v>
      </c>
      <c r="Q1269">
        <v>2</v>
      </c>
      <c r="R1269">
        <v>1</v>
      </c>
      <c r="S1269" t="s">
        <v>22</v>
      </c>
      <c r="T1269">
        <v>1</v>
      </c>
      <c r="U1269">
        <v>0</v>
      </c>
    </row>
    <row r="1270" spans="1:21" x14ac:dyDescent="0.25">
      <c r="A1270">
        <v>9611826</v>
      </c>
      <c r="B1270" t="s">
        <v>15</v>
      </c>
      <c r="C1270" s="1">
        <v>42893</v>
      </c>
      <c r="D1270" s="2">
        <f>YEAR(C1270)</f>
        <v>2017</v>
      </c>
      <c r="E1270">
        <v>348000</v>
      </c>
      <c r="F1270" t="s">
        <v>85</v>
      </c>
      <c r="G1270">
        <v>1957</v>
      </c>
      <c r="H1270">
        <v>8423</v>
      </c>
      <c r="I1270" t="s">
        <v>465</v>
      </c>
      <c r="J1270">
        <v>76</v>
      </c>
      <c r="K1270">
        <v>60076</v>
      </c>
      <c r="L1270">
        <v>1400</v>
      </c>
      <c r="M1270">
        <v>7</v>
      </c>
      <c r="N1270">
        <v>2</v>
      </c>
      <c r="O1270">
        <v>1</v>
      </c>
      <c r="P1270" t="s">
        <v>79</v>
      </c>
      <c r="Q1270">
        <v>3</v>
      </c>
      <c r="R1270">
        <v>0</v>
      </c>
      <c r="S1270" t="s">
        <v>22</v>
      </c>
      <c r="T1270">
        <v>2.5</v>
      </c>
      <c r="U1270">
        <v>0</v>
      </c>
    </row>
    <row r="1271" spans="1:21" x14ac:dyDescent="0.25">
      <c r="A1271">
        <v>9835374</v>
      </c>
      <c r="B1271" t="s">
        <v>15</v>
      </c>
      <c r="C1271" s="1">
        <v>43185</v>
      </c>
      <c r="D1271" s="2">
        <f>YEAR(C1271)</f>
        <v>2018</v>
      </c>
      <c r="E1271">
        <v>380000</v>
      </c>
      <c r="F1271" t="s">
        <v>85</v>
      </c>
      <c r="G1271">
        <v>1957</v>
      </c>
      <c r="H1271">
        <v>7406</v>
      </c>
      <c r="I1271" t="s">
        <v>112</v>
      </c>
      <c r="J1271">
        <v>76</v>
      </c>
      <c r="K1271">
        <v>60076</v>
      </c>
      <c r="L1271">
        <v>1378</v>
      </c>
      <c r="M1271">
        <v>8</v>
      </c>
      <c r="N1271">
        <v>2</v>
      </c>
      <c r="O1271">
        <v>1</v>
      </c>
      <c r="P1271" t="s">
        <v>79</v>
      </c>
      <c r="Q1271">
        <v>3</v>
      </c>
      <c r="R1271">
        <v>0</v>
      </c>
      <c r="S1271" t="s">
        <v>22</v>
      </c>
      <c r="T1271">
        <v>2</v>
      </c>
      <c r="U1271">
        <v>0</v>
      </c>
    </row>
    <row r="1272" spans="1:21" x14ac:dyDescent="0.25">
      <c r="A1272">
        <v>9482111</v>
      </c>
      <c r="B1272" t="s">
        <v>15</v>
      </c>
      <c r="C1272" s="1">
        <v>42825</v>
      </c>
      <c r="D1272" s="2">
        <f>YEAR(C1272)</f>
        <v>2017</v>
      </c>
      <c r="E1272">
        <v>300000</v>
      </c>
      <c r="F1272" t="s">
        <v>85</v>
      </c>
      <c r="G1272">
        <v>1957</v>
      </c>
      <c r="H1272">
        <v>7518</v>
      </c>
      <c r="I1272" t="s">
        <v>105</v>
      </c>
      <c r="J1272">
        <v>76</v>
      </c>
      <c r="K1272">
        <v>60076</v>
      </c>
      <c r="L1272">
        <v>1357</v>
      </c>
      <c r="M1272">
        <v>6</v>
      </c>
      <c r="N1272">
        <v>3</v>
      </c>
      <c r="O1272">
        <v>0</v>
      </c>
      <c r="P1272" t="s">
        <v>79</v>
      </c>
      <c r="Q1272">
        <v>3</v>
      </c>
      <c r="R1272">
        <v>0</v>
      </c>
      <c r="S1272" t="s">
        <v>22</v>
      </c>
      <c r="T1272">
        <v>2</v>
      </c>
      <c r="U1272">
        <v>0</v>
      </c>
    </row>
    <row r="1273" spans="1:21" x14ac:dyDescent="0.25">
      <c r="A1273">
        <v>9734758</v>
      </c>
      <c r="B1273" t="s">
        <v>15</v>
      </c>
      <c r="C1273" s="1">
        <v>43174</v>
      </c>
      <c r="D1273" s="2">
        <f>YEAR(C1273)</f>
        <v>2018</v>
      </c>
      <c r="E1273">
        <v>268000</v>
      </c>
      <c r="F1273" t="s">
        <v>85</v>
      </c>
      <c r="G1273">
        <v>1957</v>
      </c>
      <c r="H1273">
        <v>4936</v>
      </c>
      <c r="I1273" t="s">
        <v>117</v>
      </c>
      <c r="J1273">
        <v>76</v>
      </c>
      <c r="K1273">
        <v>60077</v>
      </c>
      <c r="L1273">
        <v>1347</v>
      </c>
      <c r="M1273">
        <v>7</v>
      </c>
      <c r="N1273">
        <v>2</v>
      </c>
      <c r="O1273">
        <v>0</v>
      </c>
      <c r="P1273" t="s">
        <v>79</v>
      </c>
      <c r="Q1273">
        <v>3</v>
      </c>
      <c r="R1273">
        <v>0</v>
      </c>
      <c r="S1273" t="s">
        <v>19</v>
      </c>
      <c r="T1273">
        <v>0</v>
      </c>
      <c r="U1273">
        <v>0</v>
      </c>
    </row>
    <row r="1274" spans="1:21" x14ac:dyDescent="0.25">
      <c r="A1274">
        <v>9623158</v>
      </c>
      <c r="B1274" t="s">
        <v>15</v>
      </c>
      <c r="C1274" s="1">
        <v>42898</v>
      </c>
      <c r="D1274" s="2">
        <f>YEAR(C1274)</f>
        <v>2017</v>
      </c>
      <c r="E1274">
        <v>350000</v>
      </c>
      <c r="F1274" t="s">
        <v>85</v>
      </c>
      <c r="G1274">
        <v>1957</v>
      </c>
      <c r="H1274">
        <v>5015</v>
      </c>
      <c r="I1274" t="s">
        <v>117</v>
      </c>
      <c r="J1274">
        <v>76</v>
      </c>
      <c r="K1274">
        <v>60077</v>
      </c>
      <c r="L1274">
        <v>1282</v>
      </c>
      <c r="M1274">
        <v>7</v>
      </c>
      <c r="N1274">
        <v>1</v>
      </c>
      <c r="O1274">
        <v>1</v>
      </c>
      <c r="P1274" t="s">
        <v>79</v>
      </c>
      <c r="Q1274">
        <v>3</v>
      </c>
      <c r="R1274">
        <v>0</v>
      </c>
      <c r="S1274" t="s">
        <v>22</v>
      </c>
      <c r="T1274">
        <v>2</v>
      </c>
      <c r="U1274">
        <v>0</v>
      </c>
    </row>
    <row r="1275" spans="1:21" x14ac:dyDescent="0.25">
      <c r="A1275">
        <v>9670411</v>
      </c>
      <c r="B1275" t="s">
        <v>15</v>
      </c>
      <c r="C1275" s="1">
        <v>42984</v>
      </c>
      <c r="D1275" s="2">
        <f>YEAR(C1275)</f>
        <v>2017</v>
      </c>
      <c r="E1275">
        <v>280000</v>
      </c>
      <c r="F1275" t="s">
        <v>85</v>
      </c>
      <c r="G1275">
        <v>1957</v>
      </c>
      <c r="H1275">
        <v>7730</v>
      </c>
      <c r="I1275" t="s">
        <v>89</v>
      </c>
      <c r="J1275">
        <v>76</v>
      </c>
      <c r="K1275">
        <v>60076</v>
      </c>
      <c r="L1275">
        <v>1183</v>
      </c>
      <c r="M1275">
        <v>7</v>
      </c>
      <c r="N1275">
        <v>2</v>
      </c>
      <c r="O1275">
        <v>0</v>
      </c>
      <c r="P1275" t="s">
        <v>79</v>
      </c>
      <c r="Q1275">
        <v>3</v>
      </c>
      <c r="R1275">
        <v>0</v>
      </c>
      <c r="S1275" t="s">
        <v>22</v>
      </c>
      <c r="T1275">
        <v>2</v>
      </c>
      <c r="U1275">
        <v>0</v>
      </c>
    </row>
    <row r="1276" spans="1:21" x14ac:dyDescent="0.25">
      <c r="A1276">
        <v>9518571</v>
      </c>
      <c r="B1276" t="s">
        <v>15</v>
      </c>
      <c r="C1276" s="1">
        <v>42850</v>
      </c>
      <c r="D1276" s="2">
        <f>YEAR(C1276)</f>
        <v>2017</v>
      </c>
      <c r="E1276">
        <v>281000</v>
      </c>
      <c r="F1276" t="s">
        <v>85</v>
      </c>
      <c r="G1276">
        <v>1957</v>
      </c>
      <c r="H1276">
        <v>7631</v>
      </c>
      <c r="I1276" t="s">
        <v>118</v>
      </c>
      <c r="J1276">
        <v>76</v>
      </c>
      <c r="K1276">
        <v>60076</v>
      </c>
      <c r="L1276">
        <v>1134</v>
      </c>
      <c r="M1276">
        <v>7</v>
      </c>
      <c r="N1276">
        <v>1</v>
      </c>
      <c r="O1276">
        <v>1</v>
      </c>
      <c r="P1276" t="s">
        <v>79</v>
      </c>
      <c r="Q1276">
        <v>2</v>
      </c>
      <c r="R1276">
        <v>0</v>
      </c>
      <c r="S1276" t="s">
        <v>21</v>
      </c>
      <c r="T1276">
        <v>1</v>
      </c>
      <c r="U1276">
        <v>0</v>
      </c>
    </row>
    <row r="1277" spans="1:21" x14ac:dyDescent="0.25">
      <c r="A1277">
        <v>9898625</v>
      </c>
      <c r="B1277" t="s">
        <v>15</v>
      </c>
      <c r="C1277" s="1">
        <v>43217</v>
      </c>
      <c r="D1277" s="2">
        <f>YEAR(C1277)</f>
        <v>2018</v>
      </c>
      <c r="E1277">
        <v>315000</v>
      </c>
      <c r="F1277" t="s">
        <v>85</v>
      </c>
      <c r="G1277">
        <v>1957</v>
      </c>
      <c r="H1277">
        <v>7934</v>
      </c>
      <c r="I1277" t="s">
        <v>118</v>
      </c>
      <c r="J1277">
        <v>76</v>
      </c>
      <c r="K1277">
        <v>60076</v>
      </c>
      <c r="L1277">
        <v>1116</v>
      </c>
      <c r="M1277">
        <v>7</v>
      </c>
      <c r="N1277">
        <v>2</v>
      </c>
      <c r="O1277">
        <v>0</v>
      </c>
      <c r="P1277" t="s">
        <v>79</v>
      </c>
      <c r="Q1277">
        <v>3</v>
      </c>
      <c r="R1277">
        <v>0</v>
      </c>
      <c r="S1277" t="s">
        <v>22</v>
      </c>
      <c r="T1277">
        <v>1.1000000000000001</v>
      </c>
      <c r="U1277">
        <v>0</v>
      </c>
    </row>
    <row r="1278" spans="1:21" x14ac:dyDescent="0.25">
      <c r="A1278">
        <v>9732680</v>
      </c>
      <c r="B1278" t="s">
        <v>15</v>
      </c>
      <c r="C1278" s="1">
        <v>42999</v>
      </c>
      <c r="D1278" s="2">
        <f>YEAR(C1278)</f>
        <v>2017</v>
      </c>
      <c r="E1278">
        <v>300000</v>
      </c>
      <c r="F1278" t="s">
        <v>85</v>
      </c>
      <c r="G1278">
        <v>1957</v>
      </c>
      <c r="H1278">
        <v>5145</v>
      </c>
      <c r="I1278" t="s">
        <v>127</v>
      </c>
      <c r="J1278">
        <v>76</v>
      </c>
      <c r="K1278">
        <v>60077</v>
      </c>
      <c r="L1278">
        <v>1104</v>
      </c>
      <c r="M1278">
        <v>8</v>
      </c>
      <c r="N1278">
        <v>2</v>
      </c>
      <c r="O1278">
        <v>0</v>
      </c>
      <c r="P1278" t="s">
        <v>79</v>
      </c>
      <c r="Q1278">
        <v>3</v>
      </c>
      <c r="R1278">
        <v>0</v>
      </c>
      <c r="S1278" t="s">
        <v>22</v>
      </c>
      <c r="T1278">
        <v>2</v>
      </c>
      <c r="U1278">
        <v>0</v>
      </c>
    </row>
    <row r="1279" spans="1:21" x14ac:dyDescent="0.25">
      <c r="A1279">
        <v>9930539</v>
      </c>
      <c r="B1279" t="s">
        <v>15</v>
      </c>
      <c r="C1279" s="1">
        <v>43262</v>
      </c>
      <c r="D1279" s="2">
        <f>YEAR(C1279)</f>
        <v>2018</v>
      </c>
      <c r="E1279">
        <v>220000</v>
      </c>
      <c r="F1279" t="s">
        <v>85</v>
      </c>
      <c r="G1279">
        <v>1957</v>
      </c>
      <c r="H1279">
        <v>7500</v>
      </c>
      <c r="I1279" t="s">
        <v>108</v>
      </c>
      <c r="J1279">
        <v>76</v>
      </c>
      <c r="K1279">
        <v>60076</v>
      </c>
      <c r="L1279">
        <v>1037</v>
      </c>
      <c r="M1279">
        <v>6</v>
      </c>
      <c r="N1279">
        <v>2</v>
      </c>
      <c r="O1279">
        <v>0</v>
      </c>
      <c r="P1279" t="s">
        <v>79</v>
      </c>
      <c r="Q1279">
        <v>2</v>
      </c>
      <c r="R1279">
        <v>0</v>
      </c>
      <c r="S1279" t="s">
        <v>22</v>
      </c>
      <c r="T1279">
        <v>2</v>
      </c>
      <c r="U1279">
        <v>0</v>
      </c>
    </row>
    <row r="1280" spans="1:21" x14ac:dyDescent="0.25">
      <c r="A1280">
        <v>9813613</v>
      </c>
      <c r="B1280" t="s">
        <v>15</v>
      </c>
      <c r="C1280" s="1">
        <v>43126</v>
      </c>
      <c r="D1280" s="2">
        <f>YEAR(C1280)</f>
        <v>2018</v>
      </c>
      <c r="E1280">
        <v>230000</v>
      </c>
      <c r="F1280" t="s">
        <v>85</v>
      </c>
      <c r="G1280">
        <v>1957</v>
      </c>
      <c r="H1280">
        <v>8636</v>
      </c>
      <c r="I1280" t="s">
        <v>175</v>
      </c>
      <c r="J1280">
        <v>76</v>
      </c>
      <c r="K1280">
        <v>60076</v>
      </c>
      <c r="L1280">
        <v>1003</v>
      </c>
      <c r="M1280">
        <v>8</v>
      </c>
      <c r="N1280">
        <v>2</v>
      </c>
      <c r="O1280">
        <v>0</v>
      </c>
      <c r="P1280" t="s">
        <v>79</v>
      </c>
      <c r="Q1280">
        <v>2</v>
      </c>
      <c r="R1280">
        <v>2</v>
      </c>
      <c r="S1280" t="s">
        <v>22</v>
      </c>
      <c r="T1280">
        <v>1.5</v>
      </c>
      <c r="U1280">
        <v>0</v>
      </c>
    </row>
    <row r="1281" spans="1:21" x14ac:dyDescent="0.25">
      <c r="A1281">
        <v>9753970</v>
      </c>
      <c r="B1281" t="s">
        <v>15</v>
      </c>
      <c r="C1281" s="1">
        <v>43082</v>
      </c>
      <c r="D1281" s="2">
        <f>YEAR(C1281)</f>
        <v>2017</v>
      </c>
      <c r="E1281">
        <v>270000</v>
      </c>
      <c r="F1281" t="s">
        <v>85</v>
      </c>
      <c r="G1281">
        <v>1957</v>
      </c>
      <c r="H1281">
        <v>8619</v>
      </c>
      <c r="I1281" t="s">
        <v>231</v>
      </c>
      <c r="J1281">
        <v>76</v>
      </c>
      <c r="K1281">
        <v>60077</v>
      </c>
      <c r="L1281">
        <v>1000</v>
      </c>
      <c r="M1281">
        <v>8</v>
      </c>
      <c r="N1281">
        <v>2</v>
      </c>
      <c r="O1281">
        <v>0</v>
      </c>
      <c r="P1281" t="s">
        <v>79</v>
      </c>
      <c r="Q1281">
        <v>3</v>
      </c>
      <c r="R1281">
        <v>1</v>
      </c>
      <c r="S1281" t="s">
        <v>22</v>
      </c>
      <c r="T1281">
        <v>2</v>
      </c>
      <c r="U1281">
        <v>0</v>
      </c>
    </row>
    <row r="1282" spans="1:21" x14ac:dyDescent="0.25">
      <c r="A1282">
        <v>9497580</v>
      </c>
      <c r="B1282" t="s">
        <v>15</v>
      </c>
      <c r="C1282" s="1">
        <v>42846</v>
      </c>
      <c r="D1282" s="2">
        <f>YEAR(C1282)</f>
        <v>2017</v>
      </c>
      <c r="E1282">
        <v>240000</v>
      </c>
      <c r="F1282" t="s">
        <v>85</v>
      </c>
      <c r="G1282">
        <v>1957</v>
      </c>
      <c r="H1282">
        <v>8343</v>
      </c>
      <c r="I1282" t="s">
        <v>229</v>
      </c>
      <c r="J1282">
        <v>76</v>
      </c>
      <c r="K1282">
        <v>60076</v>
      </c>
      <c r="L1282">
        <v>952</v>
      </c>
      <c r="M1282">
        <v>5</v>
      </c>
      <c r="N1282">
        <v>2</v>
      </c>
      <c r="O1282">
        <v>0</v>
      </c>
      <c r="P1282" t="s">
        <v>79</v>
      </c>
      <c r="Q1282">
        <v>3</v>
      </c>
      <c r="R1282">
        <v>0</v>
      </c>
      <c r="S1282" t="s">
        <v>22</v>
      </c>
      <c r="T1282">
        <v>2</v>
      </c>
      <c r="U1282">
        <v>0</v>
      </c>
    </row>
    <row r="1283" spans="1:21" x14ac:dyDescent="0.25">
      <c r="A1283">
        <v>9701877</v>
      </c>
      <c r="B1283" t="s">
        <v>15</v>
      </c>
      <c r="C1283" s="1">
        <v>43096</v>
      </c>
      <c r="D1283" s="2">
        <f>YEAR(C1283)</f>
        <v>2017</v>
      </c>
      <c r="E1283">
        <v>950000</v>
      </c>
      <c r="F1283" t="s">
        <v>85</v>
      </c>
      <c r="G1283">
        <v>1957</v>
      </c>
      <c r="H1283">
        <v>1545</v>
      </c>
      <c r="I1283" t="s">
        <v>475</v>
      </c>
      <c r="J1283">
        <v>62</v>
      </c>
      <c r="K1283">
        <v>60062</v>
      </c>
      <c r="L1283">
        <v>5981</v>
      </c>
      <c r="M1283">
        <v>15</v>
      </c>
      <c r="N1283">
        <v>5</v>
      </c>
      <c r="O1283">
        <v>1</v>
      </c>
      <c r="P1283" t="s">
        <v>79</v>
      </c>
      <c r="Q1283">
        <v>5</v>
      </c>
      <c r="R1283">
        <v>0</v>
      </c>
      <c r="S1283" t="s">
        <v>21</v>
      </c>
      <c r="T1283">
        <v>5</v>
      </c>
      <c r="U1283">
        <v>0</v>
      </c>
    </row>
    <row r="1284" spans="1:21" x14ac:dyDescent="0.25">
      <c r="A1284">
        <v>9564318</v>
      </c>
      <c r="B1284" t="s">
        <v>15</v>
      </c>
      <c r="C1284" s="1">
        <v>42849</v>
      </c>
      <c r="D1284" s="2">
        <f>YEAR(C1284)</f>
        <v>2017</v>
      </c>
      <c r="E1284">
        <v>515000</v>
      </c>
      <c r="F1284" t="s">
        <v>85</v>
      </c>
      <c r="G1284">
        <v>1957</v>
      </c>
      <c r="H1284">
        <v>321</v>
      </c>
      <c r="I1284" t="s">
        <v>476</v>
      </c>
      <c r="J1284">
        <v>62</v>
      </c>
      <c r="K1284">
        <v>60062</v>
      </c>
      <c r="L1284">
        <v>1965</v>
      </c>
      <c r="M1284">
        <v>9</v>
      </c>
      <c r="N1284">
        <v>2</v>
      </c>
      <c r="O1284">
        <v>1</v>
      </c>
      <c r="P1284" t="s">
        <v>79</v>
      </c>
      <c r="Q1284">
        <v>3</v>
      </c>
      <c r="R1284">
        <v>1</v>
      </c>
      <c r="S1284" t="s">
        <v>21</v>
      </c>
      <c r="T1284">
        <v>2</v>
      </c>
      <c r="U1284">
        <v>0</v>
      </c>
    </row>
    <row r="1285" spans="1:21" x14ac:dyDescent="0.25">
      <c r="A1285">
        <v>9670428</v>
      </c>
      <c r="B1285" t="s">
        <v>15</v>
      </c>
      <c r="C1285" s="1">
        <v>42986</v>
      </c>
      <c r="D1285" s="2">
        <f>YEAR(C1285)</f>
        <v>2017</v>
      </c>
      <c r="E1285">
        <v>385000</v>
      </c>
      <c r="F1285" t="s">
        <v>85</v>
      </c>
      <c r="G1285">
        <v>1957</v>
      </c>
      <c r="H1285">
        <v>4131</v>
      </c>
      <c r="I1285" t="s">
        <v>477</v>
      </c>
      <c r="J1285">
        <v>62</v>
      </c>
      <c r="K1285">
        <v>60062</v>
      </c>
      <c r="L1285">
        <v>1950</v>
      </c>
      <c r="M1285">
        <v>11</v>
      </c>
      <c r="N1285">
        <v>3</v>
      </c>
      <c r="O1285">
        <v>1</v>
      </c>
      <c r="P1285" t="s">
        <v>79</v>
      </c>
      <c r="Q1285">
        <v>4</v>
      </c>
      <c r="R1285">
        <v>2</v>
      </c>
      <c r="S1285" t="s">
        <v>21</v>
      </c>
      <c r="T1285">
        <v>2</v>
      </c>
      <c r="U1285">
        <v>0</v>
      </c>
    </row>
    <row r="1286" spans="1:21" x14ac:dyDescent="0.25">
      <c r="A1286">
        <v>9222949</v>
      </c>
      <c r="B1286" t="s">
        <v>15</v>
      </c>
      <c r="C1286" s="1">
        <v>42958</v>
      </c>
      <c r="D1286" s="2">
        <f>YEAR(C1286)</f>
        <v>2017</v>
      </c>
      <c r="E1286">
        <v>520000</v>
      </c>
      <c r="F1286" t="s">
        <v>85</v>
      </c>
      <c r="G1286">
        <v>1957</v>
      </c>
      <c r="H1286">
        <v>1211</v>
      </c>
      <c r="I1286" t="s">
        <v>245</v>
      </c>
      <c r="J1286">
        <v>62</v>
      </c>
      <c r="K1286">
        <v>60062</v>
      </c>
      <c r="L1286">
        <v>1843</v>
      </c>
      <c r="M1286">
        <v>10</v>
      </c>
      <c r="N1286">
        <v>3</v>
      </c>
      <c r="O1286">
        <v>0</v>
      </c>
      <c r="P1286" t="s">
        <v>79</v>
      </c>
      <c r="Q1286">
        <v>4</v>
      </c>
      <c r="R1286">
        <v>1</v>
      </c>
      <c r="S1286" t="s">
        <v>21</v>
      </c>
      <c r="T1286">
        <v>2</v>
      </c>
      <c r="U1286">
        <v>0</v>
      </c>
    </row>
    <row r="1287" spans="1:21" x14ac:dyDescent="0.25">
      <c r="A1287">
        <v>9471568</v>
      </c>
      <c r="B1287" t="s">
        <v>15</v>
      </c>
      <c r="C1287" s="1">
        <v>42828</v>
      </c>
      <c r="D1287" s="2">
        <f>YEAR(C1287)</f>
        <v>2017</v>
      </c>
      <c r="E1287">
        <v>425000</v>
      </c>
      <c r="F1287" t="s">
        <v>85</v>
      </c>
      <c r="G1287">
        <v>1957</v>
      </c>
      <c r="H1287">
        <v>1366</v>
      </c>
      <c r="I1287" t="s">
        <v>478</v>
      </c>
      <c r="J1287">
        <v>62</v>
      </c>
      <c r="K1287">
        <v>60062</v>
      </c>
      <c r="L1287">
        <v>1413</v>
      </c>
      <c r="M1287">
        <v>7</v>
      </c>
      <c r="N1287">
        <v>2</v>
      </c>
      <c r="O1287">
        <v>0</v>
      </c>
      <c r="P1287" t="s">
        <v>79</v>
      </c>
      <c r="Q1287">
        <v>3</v>
      </c>
      <c r="R1287">
        <v>0</v>
      </c>
      <c r="S1287" t="s">
        <v>21</v>
      </c>
      <c r="T1287">
        <v>2</v>
      </c>
      <c r="U1287">
        <v>0</v>
      </c>
    </row>
    <row r="1288" spans="1:21" x14ac:dyDescent="0.25">
      <c r="A1288">
        <v>9993229</v>
      </c>
      <c r="B1288" t="s">
        <v>15</v>
      </c>
      <c r="C1288" s="1">
        <v>43343</v>
      </c>
      <c r="D1288" s="2">
        <f>YEAR(C1288)</f>
        <v>2018</v>
      </c>
      <c r="E1288">
        <v>375000</v>
      </c>
      <c r="F1288" t="s">
        <v>85</v>
      </c>
      <c r="G1288">
        <v>1957</v>
      </c>
      <c r="H1288">
        <v>1960</v>
      </c>
      <c r="I1288" t="s">
        <v>96</v>
      </c>
      <c r="J1288">
        <v>62</v>
      </c>
      <c r="K1288">
        <v>60062</v>
      </c>
      <c r="L1288">
        <v>1200</v>
      </c>
      <c r="M1288">
        <v>8</v>
      </c>
      <c r="N1288">
        <v>2</v>
      </c>
      <c r="O1288">
        <v>0</v>
      </c>
      <c r="P1288" t="s">
        <v>79</v>
      </c>
      <c r="Q1288">
        <v>2</v>
      </c>
      <c r="R1288">
        <v>2</v>
      </c>
      <c r="S1288" t="s">
        <v>22</v>
      </c>
      <c r="T1288">
        <v>2</v>
      </c>
      <c r="U1288">
        <v>0</v>
      </c>
    </row>
    <row r="1289" spans="1:21" x14ac:dyDescent="0.25">
      <c r="A1289">
        <v>9755360</v>
      </c>
      <c r="B1289" t="s">
        <v>15</v>
      </c>
      <c r="C1289" s="1">
        <v>43257</v>
      </c>
      <c r="D1289" s="2">
        <f>YEAR(C1289)</f>
        <v>2018</v>
      </c>
      <c r="E1289">
        <v>279000</v>
      </c>
      <c r="F1289" t="s">
        <v>85</v>
      </c>
      <c r="G1289">
        <v>1957</v>
      </c>
      <c r="H1289">
        <v>2069</v>
      </c>
      <c r="I1289" t="s">
        <v>124</v>
      </c>
      <c r="J1289">
        <v>62</v>
      </c>
      <c r="K1289">
        <v>60062</v>
      </c>
      <c r="L1289">
        <v>1125</v>
      </c>
      <c r="M1289">
        <v>8</v>
      </c>
      <c r="N1289">
        <v>2</v>
      </c>
      <c r="O1289">
        <v>0</v>
      </c>
      <c r="P1289" t="s">
        <v>79</v>
      </c>
      <c r="Q1289">
        <v>3</v>
      </c>
      <c r="R1289">
        <v>0</v>
      </c>
      <c r="S1289" t="s">
        <v>21</v>
      </c>
      <c r="T1289">
        <v>1</v>
      </c>
      <c r="U1289">
        <v>0</v>
      </c>
    </row>
    <row r="1290" spans="1:21" x14ac:dyDescent="0.25">
      <c r="A1290">
        <v>9681553</v>
      </c>
      <c r="B1290" t="s">
        <v>15</v>
      </c>
      <c r="C1290" s="1">
        <v>42982</v>
      </c>
      <c r="D1290" s="2">
        <f>YEAR(C1290)</f>
        <v>2017</v>
      </c>
      <c r="E1290">
        <v>715000</v>
      </c>
      <c r="F1290" t="s">
        <v>85</v>
      </c>
      <c r="G1290">
        <v>1958</v>
      </c>
      <c r="H1290">
        <v>9033</v>
      </c>
      <c r="I1290" t="s">
        <v>101</v>
      </c>
      <c r="J1290">
        <v>76</v>
      </c>
      <c r="K1290">
        <v>60076</v>
      </c>
      <c r="L1290">
        <v>4500</v>
      </c>
      <c r="M1290">
        <v>11</v>
      </c>
      <c r="N1290">
        <v>4</v>
      </c>
      <c r="O1290">
        <v>1</v>
      </c>
      <c r="P1290" t="s">
        <v>79</v>
      </c>
      <c r="Q1290">
        <v>5</v>
      </c>
      <c r="R1290">
        <v>1</v>
      </c>
      <c r="S1290" t="s">
        <v>21</v>
      </c>
      <c r="T1290">
        <v>2</v>
      </c>
      <c r="U1290">
        <v>0</v>
      </c>
    </row>
    <row r="1291" spans="1:21" x14ac:dyDescent="0.25">
      <c r="A1291">
        <v>9977069</v>
      </c>
      <c r="B1291" t="s">
        <v>15</v>
      </c>
      <c r="C1291" s="1">
        <v>43315</v>
      </c>
      <c r="D1291" s="2">
        <f>YEAR(C1291)</f>
        <v>2018</v>
      </c>
      <c r="E1291">
        <v>417000</v>
      </c>
      <c r="F1291" t="s">
        <v>85</v>
      </c>
      <c r="G1291">
        <v>1958</v>
      </c>
      <c r="H1291">
        <v>8844</v>
      </c>
      <c r="I1291" t="s">
        <v>152</v>
      </c>
      <c r="J1291">
        <v>76</v>
      </c>
      <c r="K1291">
        <v>60076</v>
      </c>
      <c r="L1291">
        <v>2481</v>
      </c>
      <c r="M1291">
        <v>7</v>
      </c>
      <c r="N1291">
        <v>3</v>
      </c>
      <c r="O1291">
        <v>0</v>
      </c>
      <c r="P1291" t="s">
        <v>79</v>
      </c>
      <c r="Q1291">
        <v>3</v>
      </c>
      <c r="R1291">
        <v>0</v>
      </c>
      <c r="S1291" t="s">
        <v>22</v>
      </c>
      <c r="T1291">
        <v>1.5</v>
      </c>
      <c r="U1291">
        <v>0</v>
      </c>
    </row>
    <row r="1292" spans="1:21" x14ac:dyDescent="0.25">
      <c r="A1292">
        <v>9469547</v>
      </c>
      <c r="B1292" t="s">
        <v>15</v>
      </c>
      <c r="C1292" s="1">
        <v>42842</v>
      </c>
      <c r="D1292" s="2">
        <f>YEAR(C1292)</f>
        <v>2017</v>
      </c>
      <c r="E1292">
        <v>475000</v>
      </c>
      <c r="F1292" t="s">
        <v>85</v>
      </c>
      <c r="G1292">
        <v>1958</v>
      </c>
      <c r="H1292">
        <v>4222</v>
      </c>
      <c r="I1292" t="s">
        <v>67</v>
      </c>
      <c r="J1292">
        <v>76</v>
      </c>
      <c r="K1292">
        <v>60076</v>
      </c>
      <c r="L1292">
        <v>2205</v>
      </c>
      <c r="M1292">
        <v>8</v>
      </c>
      <c r="N1292">
        <v>2</v>
      </c>
      <c r="O1292">
        <v>1</v>
      </c>
      <c r="P1292" t="s">
        <v>79</v>
      </c>
      <c r="Q1292">
        <v>3</v>
      </c>
      <c r="R1292">
        <v>1</v>
      </c>
      <c r="S1292" t="s">
        <v>21</v>
      </c>
      <c r="T1292">
        <v>1</v>
      </c>
      <c r="U1292">
        <v>0</v>
      </c>
    </row>
    <row r="1293" spans="1:21" x14ac:dyDescent="0.25">
      <c r="A1293">
        <v>9389899</v>
      </c>
      <c r="B1293" t="s">
        <v>15</v>
      </c>
      <c r="C1293" s="1">
        <v>42823</v>
      </c>
      <c r="D1293" s="2">
        <f>YEAR(C1293)</f>
        <v>2017</v>
      </c>
      <c r="E1293">
        <v>345000</v>
      </c>
      <c r="F1293" t="s">
        <v>85</v>
      </c>
      <c r="G1293">
        <v>1958</v>
      </c>
      <c r="H1293">
        <v>5008</v>
      </c>
      <c r="I1293" t="s">
        <v>253</v>
      </c>
      <c r="J1293">
        <v>76</v>
      </c>
      <c r="K1293">
        <v>60077</v>
      </c>
      <c r="L1293">
        <v>2196</v>
      </c>
      <c r="M1293">
        <v>9</v>
      </c>
      <c r="N1293">
        <v>3</v>
      </c>
      <c r="O1293">
        <v>0</v>
      </c>
      <c r="P1293" t="s">
        <v>79</v>
      </c>
      <c r="Q1293">
        <v>4</v>
      </c>
      <c r="R1293">
        <v>0</v>
      </c>
      <c r="S1293" t="s">
        <v>19</v>
      </c>
      <c r="T1293">
        <v>0</v>
      </c>
      <c r="U1293">
        <v>0</v>
      </c>
    </row>
    <row r="1294" spans="1:21" x14ac:dyDescent="0.25">
      <c r="A1294">
        <v>9726035</v>
      </c>
      <c r="B1294" t="s">
        <v>15</v>
      </c>
      <c r="C1294" s="1">
        <v>42991</v>
      </c>
      <c r="D1294" s="2">
        <f>YEAR(C1294)</f>
        <v>2017</v>
      </c>
      <c r="E1294">
        <v>480000</v>
      </c>
      <c r="F1294" t="s">
        <v>85</v>
      </c>
      <c r="G1294">
        <v>1958</v>
      </c>
      <c r="H1294">
        <v>9009</v>
      </c>
      <c r="I1294" t="s">
        <v>123</v>
      </c>
      <c r="J1294">
        <v>76</v>
      </c>
      <c r="K1294">
        <v>60076</v>
      </c>
      <c r="L1294">
        <v>2099</v>
      </c>
      <c r="M1294">
        <v>8</v>
      </c>
      <c r="N1294">
        <v>2</v>
      </c>
      <c r="O1294">
        <v>1</v>
      </c>
      <c r="P1294" t="s">
        <v>79</v>
      </c>
      <c r="Q1294">
        <v>4</v>
      </c>
      <c r="R1294">
        <v>0</v>
      </c>
      <c r="S1294" t="s">
        <v>21</v>
      </c>
      <c r="T1294">
        <v>1</v>
      </c>
      <c r="U1294">
        <v>0</v>
      </c>
    </row>
    <row r="1295" spans="1:21" x14ac:dyDescent="0.25">
      <c r="A1295">
        <v>9904757</v>
      </c>
      <c r="B1295" t="s">
        <v>15</v>
      </c>
      <c r="C1295" s="1">
        <v>43252</v>
      </c>
      <c r="D1295" s="2">
        <f>YEAR(C1295)</f>
        <v>2018</v>
      </c>
      <c r="E1295">
        <v>500000</v>
      </c>
      <c r="F1295" t="s">
        <v>85</v>
      </c>
      <c r="G1295">
        <v>1958</v>
      </c>
      <c r="H1295">
        <v>9009</v>
      </c>
      <c r="I1295" t="s">
        <v>123</v>
      </c>
      <c r="J1295">
        <v>76</v>
      </c>
      <c r="K1295">
        <v>60076</v>
      </c>
      <c r="L1295">
        <v>2099</v>
      </c>
      <c r="M1295">
        <v>8</v>
      </c>
      <c r="N1295">
        <v>2</v>
      </c>
      <c r="O1295">
        <v>1</v>
      </c>
      <c r="P1295" t="s">
        <v>79</v>
      </c>
      <c r="Q1295">
        <v>4</v>
      </c>
      <c r="R1295">
        <v>0</v>
      </c>
      <c r="S1295" t="s">
        <v>21</v>
      </c>
      <c r="T1295">
        <v>1</v>
      </c>
      <c r="U1295">
        <v>0</v>
      </c>
    </row>
    <row r="1296" spans="1:21" x14ac:dyDescent="0.25">
      <c r="A1296">
        <v>9918924</v>
      </c>
      <c r="B1296" t="s">
        <v>15</v>
      </c>
      <c r="C1296" s="1">
        <v>43270</v>
      </c>
      <c r="D1296" s="2">
        <f>YEAR(C1296)</f>
        <v>2018</v>
      </c>
      <c r="E1296">
        <v>410000</v>
      </c>
      <c r="F1296" t="s">
        <v>85</v>
      </c>
      <c r="G1296">
        <v>1958</v>
      </c>
      <c r="H1296">
        <v>9452</v>
      </c>
      <c r="I1296" t="s">
        <v>125</v>
      </c>
      <c r="J1296">
        <v>76</v>
      </c>
      <c r="K1296">
        <v>60076</v>
      </c>
      <c r="L1296">
        <v>1950</v>
      </c>
      <c r="M1296">
        <v>8</v>
      </c>
      <c r="N1296">
        <v>2</v>
      </c>
      <c r="O1296">
        <v>0</v>
      </c>
      <c r="P1296" t="s">
        <v>79</v>
      </c>
      <c r="Q1296">
        <v>4</v>
      </c>
      <c r="R1296">
        <v>0</v>
      </c>
      <c r="S1296" t="s">
        <v>21</v>
      </c>
      <c r="T1296">
        <v>1</v>
      </c>
      <c r="U1296">
        <v>0</v>
      </c>
    </row>
    <row r="1297" spans="1:21" x14ac:dyDescent="0.25">
      <c r="A1297">
        <v>9584794</v>
      </c>
      <c r="B1297" t="s">
        <v>15</v>
      </c>
      <c r="C1297" s="1">
        <v>42867</v>
      </c>
      <c r="D1297" s="2">
        <f>YEAR(C1297)</f>
        <v>2017</v>
      </c>
      <c r="E1297">
        <v>355000</v>
      </c>
      <c r="F1297" t="s">
        <v>85</v>
      </c>
      <c r="G1297">
        <v>1958</v>
      </c>
      <c r="H1297">
        <v>4155</v>
      </c>
      <c r="I1297" t="s">
        <v>267</v>
      </c>
      <c r="J1297">
        <v>76</v>
      </c>
      <c r="K1297">
        <v>60076</v>
      </c>
      <c r="L1297">
        <v>1680</v>
      </c>
      <c r="M1297">
        <v>9</v>
      </c>
      <c r="N1297">
        <v>3</v>
      </c>
      <c r="O1297">
        <v>0</v>
      </c>
      <c r="P1297" t="s">
        <v>79</v>
      </c>
      <c r="Q1297">
        <v>3</v>
      </c>
      <c r="R1297">
        <v>1</v>
      </c>
      <c r="S1297" t="s">
        <v>21</v>
      </c>
      <c r="T1297">
        <v>2</v>
      </c>
      <c r="U1297">
        <v>0</v>
      </c>
    </row>
    <row r="1298" spans="1:21" x14ac:dyDescent="0.25">
      <c r="A1298">
        <v>9969968</v>
      </c>
      <c r="B1298" t="s">
        <v>15</v>
      </c>
      <c r="C1298" s="1">
        <v>43371</v>
      </c>
      <c r="D1298" s="2">
        <f>YEAR(C1298)</f>
        <v>2018</v>
      </c>
      <c r="E1298">
        <v>385000</v>
      </c>
      <c r="F1298" t="s">
        <v>85</v>
      </c>
      <c r="G1298">
        <v>1958</v>
      </c>
      <c r="H1298">
        <v>9017</v>
      </c>
      <c r="I1298" t="s">
        <v>479</v>
      </c>
      <c r="J1298">
        <v>76</v>
      </c>
      <c r="K1298">
        <v>60076</v>
      </c>
      <c r="L1298">
        <v>1589</v>
      </c>
      <c r="M1298">
        <v>9</v>
      </c>
      <c r="N1298">
        <v>3</v>
      </c>
      <c r="O1298">
        <v>0</v>
      </c>
      <c r="P1298" t="s">
        <v>79</v>
      </c>
      <c r="Q1298">
        <v>3</v>
      </c>
      <c r="R1298">
        <v>1</v>
      </c>
      <c r="S1298" t="s">
        <v>21</v>
      </c>
      <c r="T1298">
        <v>2</v>
      </c>
      <c r="U1298">
        <v>0</v>
      </c>
    </row>
    <row r="1299" spans="1:21" x14ac:dyDescent="0.25">
      <c r="A1299">
        <v>9662620</v>
      </c>
      <c r="B1299" t="s">
        <v>15</v>
      </c>
      <c r="C1299" s="1">
        <v>43059</v>
      </c>
      <c r="D1299" s="2">
        <f>YEAR(C1299)</f>
        <v>2017</v>
      </c>
      <c r="E1299">
        <v>315000</v>
      </c>
      <c r="F1299" t="s">
        <v>85</v>
      </c>
      <c r="G1299">
        <v>1958</v>
      </c>
      <c r="H1299">
        <v>5325</v>
      </c>
      <c r="I1299" t="s">
        <v>267</v>
      </c>
      <c r="J1299">
        <v>76</v>
      </c>
      <c r="K1299">
        <v>60077</v>
      </c>
      <c r="L1299">
        <v>1500</v>
      </c>
      <c r="M1299">
        <v>7</v>
      </c>
      <c r="N1299">
        <v>2</v>
      </c>
      <c r="O1299">
        <v>0</v>
      </c>
      <c r="P1299" t="s">
        <v>79</v>
      </c>
      <c r="Q1299">
        <v>3</v>
      </c>
      <c r="R1299">
        <v>0</v>
      </c>
      <c r="S1299" t="s">
        <v>22</v>
      </c>
      <c r="T1299">
        <v>2</v>
      </c>
      <c r="U1299">
        <v>0</v>
      </c>
    </row>
    <row r="1300" spans="1:21" x14ac:dyDescent="0.25">
      <c r="A1300">
        <v>9867277</v>
      </c>
      <c r="B1300" t="s">
        <v>15</v>
      </c>
      <c r="C1300" s="1">
        <v>43210</v>
      </c>
      <c r="D1300" s="2">
        <f>YEAR(C1300)</f>
        <v>2018</v>
      </c>
      <c r="E1300">
        <v>390000</v>
      </c>
      <c r="F1300" t="s">
        <v>85</v>
      </c>
      <c r="G1300">
        <v>1958</v>
      </c>
      <c r="H1300">
        <v>8716</v>
      </c>
      <c r="I1300" t="s">
        <v>102</v>
      </c>
      <c r="J1300">
        <v>76</v>
      </c>
      <c r="K1300">
        <v>60076</v>
      </c>
      <c r="L1300">
        <v>1464</v>
      </c>
      <c r="M1300">
        <v>8</v>
      </c>
      <c r="N1300">
        <v>2</v>
      </c>
      <c r="O1300">
        <v>1</v>
      </c>
      <c r="P1300" t="s">
        <v>79</v>
      </c>
      <c r="Q1300">
        <v>3</v>
      </c>
      <c r="R1300">
        <v>0</v>
      </c>
      <c r="S1300" t="s">
        <v>22</v>
      </c>
      <c r="T1300">
        <v>2</v>
      </c>
      <c r="U1300">
        <v>0</v>
      </c>
    </row>
    <row r="1301" spans="1:21" x14ac:dyDescent="0.25">
      <c r="A1301">
        <v>9573190</v>
      </c>
      <c r="B1301" t="s">
        <v>15</v>
      </c>
      <c r="C1301" s="1">
        <v>42934</v>
      </c>
      <c r="D1301" s="2">
        <f>YEAR(C1301)</f>
        <v>2017</v>
      </c>
      <c r="E1301">
        <v>423000</v>
      </c>
      <c r="F1301" t="s">
        <v>85</v>
      </c>
      <c r="G1301">
        <v>1958</v>
      </c>
      <c r="H1301">
        <v>3601</v>
      </c>
      <c r="I1301" t="s">
        <v>109</v>
      </c>
      <c r="J1301">
        <v>76</v>
      </c>
      <c r="K1301">
        <v>60076</v>
      </c>
      <c r="L1301">
        <v>1442</v>
      </c>
      <c r="M1301">
        <v>7</v>
      </c>
      <c r="N1301">
        <v>2</v>
      </c>
      <c r="O1301">
        <v>1</v>
      </c>
      <c r="P1301" t="s">
        <v>79</v>
      </c>
      <c r="Q1301">
        <v>3</v>
      </c>
      <c r="R1301">
        <v>0</v>
      </c>
      <c r="S1301" t="s">
        <v>21</v>
      </c>
      <c r="T1301">
        <v>1.5</v>
      </c>
      <c r="U1301">
        <v>0</v>
      </c>
    </row>
    <row r="1302" spans="1:21" x14ac:dyDescent="0.25">
      <c r="A1302">
        <v>9745176</v>
      </c>
      <c r="B1302" t="s">
        <v>15</v>
      </c>
      <c r="C1302" s="1">
        <v>43059</v>
      </c>
      <c r="D1302" s="2">
        <f>YEAR(C1302)</f>
        <v>2017</v>
      </c>
      <c r="E1302">
        <v>320000</v>
      </c>
      <c r="F1302" t="s">
        <v>85</v>
      </c>
      <c r="G1302">
        <v>1958</v>
      </c>
      <c r="H1302">
        <v>8441</v>
      </c>
      <c r="I1302" t="s">
        <v>184</v>
      </c>
      <c r="J1302">
        <v>76</v>
      </c>
      <c r="K1302">
        <v>60077</v>
      </c>
      <c r="L1302">
        <v>1430</v>
      </c>
      <c r="M1302">
        <v>9</v>
      </c>
      <c r="N1302">
        <v>3</v>
      </c>
      <c r="O1302">
        <v>0</v>
      </c>
      <c r="P1302" t="s">
        <v>79</v>
      </c>
      <c r="Q1302">
        <v>3</v>
      </c>
      <c r="R1302">
        <v>2</v>
      </c>
      <c r="S1302" t="s">
        <v>22</v>
      </c>
      <c r="T1302">
        <v>2</v>
      </c>
      <c r="U1302">
        <v>0</v>
      </c>
    </row>
    <row r="1303" spans="1:21" x14ac:dyDescent="0.25">
      <c r="A1303">
        <v>9806611</v>
      </c>
      <c r="B1303" t="s">
        <v>15</v>
      </c>
      <c r="C1303" s="1">
        <v>43122</v>
      </c>
      <c r="D1303" s="2">
        <f>YEAR(C1303)</f>
        <v>2018</v>
      </c>
      <c r="E1303">
        <v>350000</v>
      </c>
      <c r="F1303" t="s">
        <v>85</v>
      </c>
      <c r="G1303">
        <v>1958</v>
      </c>
      <c r="H1303">
        <v>8327</v>
      </c>
      <c r="I1303" t="s">
        <v>196</v>
      </c>
      <c r="J1303">
        <v>76</v>
      </c>
      <c r="K1303">
        <v>60076</v>
      </c>
      <c r="L1303">
        <v>1411</v>
      </c>
      <c r="M1303">
        <v>8</v>
      </c>
      <c r="N1303">
        <v>3</v>
      </c>
      <c r="O1303">
        <v>0</v>
      </c>
      <c r="P1303" t="s">
        <v>79</v>
      </c>
      <c r="Q1303">
        <v>3</v>
      </c>
      <c r="R1303">
        <v>1</v>
      </c>
      <c r="S1303" t="s">
        <v>22</v>
      </c>
      <c r="T1303">
        <v>2</v>
      </c>
      <c r="U1303">
        <v>0</v>
      </c>
    </row>
    <row r="1304" spans="1:21" x14ac:dyDescent="0.25">
      <c r="A1304">
        <v>9807564</v>
      </c>
      <c r="B1304" t="s">
        <v>15</v>
      </c>
      <c r="C1304" s="1">
        <v>43116</v>
      </c>
      <c r="D1304" s="2">
        <f>YEAR(C1304)</f>
        <v>2018</v>
      </c>
      <c r="E1304">
        <v>295000</v>
      </c>
      <c r="F1304" t="s">
        <v>85</v>
      </c>
      <c r="G1304">
        <v>1958</v>
      </c>
      <c r="H1304">
        <v>9452</v>
      </c>
      <c r="I1304" t="s">
        <v>239</v>
      </c>
      <c r="J1304">
        <v>76</v>
      </c>
      <c r="K1304">
        <v>60077</v>
      </c>
      <c r="L1304">
        <v>1411</v>
      </c>
      <c r="M1304">
        <v>7</v>
      </c>
      <c r="N1304">
        <v>2</v>
      </c>
      <c r="O1304">
        <v>1</v>
      </c>
      <c r="P1304" t="s">
        <v>79</v>
      </c>
      <c r="Q1304">
        <v>3</v>
      </c>
      <c r="R1304">
        <v>0</v>
      </c>
      <c r="S1304" t="s">
        <v>19</v>
      </c>
      <c r="T1304">
        <v>0</v>
      </c>
      <c r="U1304">
        <v>0</v>
      </c>
    </row>
    <row r="1305" spans="1:21" x14ac:dyDescent="0.25">
      <c r="A1305">
        <v>9985129</v>
      </c>
      <c r="B1305" t="s">
        <v>15</v>
      </c>
      <c r="C1305" s="1">
        <v>43326</v>
      </c>
      <c r="D1305" s="2">
        <f>YEAR(C1305)</f>
        <v>2018</v>
      </c>
      <c r="E1305">
        <v>409000</v>
      </c>
      <c r="F1305" t="s">
        <v>85</v>
      </c>
      <c r="G1305">
        <v>1958</v>
      </c>
      <c r="H1305">
        <v>8319</v>
      </c>
      <c r="I1305" t="s">
        <v>112</v>
      </c>
      <c r="J1305">
        <v>76</v>
      </c>
      <c r="K1305">
        <v>60076</v>
      </c>
      <c r="L1305">
        <v>1400</v>
      </c>
      <c r="M1305">
        <v>7</v>
      </c>
      <c r="N1305">
        <v>2</v>
      </c>
      <c r="O1305">
        <v>0</v>
      </c>
      <c r="P1305" t="s">
        <v>79</v>
      </c>
      <c r="Q1305">
        <v>3</v>
      </c>
      <c r="R1305">
        <v>0</v>
      </c>
      <c r="S1305" t="s">
        <v>22</v>
      </c>
      <c r="T1305">
        <v>2.5</v>
      </c>
      <c r="U1305">
        <v>0</v>
      </c>
    </row>
    <row r="1306" spans="1:21" x14ac:dyDescent="0.25">
      <c r="A1306">
        <v>9786796</v>
      </c>
      <c r="B1306" t="s">
        <v>15</v>
      </c>
      <c r="C1306" s="1">
        <v>43116</v>
      </c>
      <c r="D1306" s="2">
        <f>YEAR(C1306)</f>
        <v>2018</v>
      </c>
      <c r="E1306">
        <v>372000</v>
      </c>
      <c r="F1306" t="s">
        <v>85</v>
      </c>
      <c r="G1306">
        <v>1958</v>
      </c>
      <c r="H1306">
        <v>3335</v>
      </c>
      <c r="I1306" t="s">
        <v>122</v>
      </c>
      <c r="J1306">
        <v>76</v>
      </c>
      <c r="K1306">
        <v>60076</v>
      </c>
      <c r="L1306">
        <v>1340</v>
      </c>
      <c r="M1306">
        <v>8</v>
      </c>
      <c r="N1306">
        <v>2</v>
      </c>
      <c r="O1306">
        <v>1</v>
      </c>
      <c r="P1306" t="s">
        <v>79</v>
      </c>
      <c r="Q1306">
        <v>3</v>
      </c>
      <c r="R1306">
        <v>1</v>
      </c>
      <c r="S1306" t="s">
        <v>22</v>
      </c>
      <c r="T1306">
        <v>2</v>
      </c>
      <c r="U1306">
        <v>0</v>
      </c>
    </row>
    <row r="1307" spans="1:21" x14ac:dyDescent="0.25">
      <c r="A1307">
        <v>9842406</v>
      </c>
      <c r="B1307" t="s">
        <v>15</v>
      </c>
      <c r="C1307" s="1">
        <v>43146</v>
      </c>
      <c r="D1307" s="2">
        <f>YEAR(C1307)</f>
        <v>2018</v>
      </c>
      <c r="E1307">
        <v>360000</v>
      </c>
      <c r="F1307" t="s">
        <v>85</v>
      </c>
      <c r="G1307">
        <v>1958</v>
      </c>
      <c r="H1307">
        <v>3806</v>
      </c>
      <c r="I1307" t="s">
        <v>25</v>
      </c>
      <c r="J1307">
        <v>76</v>
      </c>
      <c r="K1307">
        <v>60076</v>
      </c>
      <c r="L1307">
        <v>1340</v>
      </c>
      <c r="M1307">
        <v>8</v>
      </c>
      <c r="N1307">
        <v>3</v>
      </c>
      <c r="O1307">
        <v>0</v>
      </c>
      <c r="P1307" t="s">
        <v>79</v>
      </c>
      <c r="Q1307">
        <v>3</v>
      </c>
      <c r="R1307">
        <v>0</v>
      </c>
      <c r="S1307" t="s">
        <v>19</v>
      </c>
      <c r="T1307">
        <v>0</v>
      </c>
      <c r="U1307">
        <v>0</v>
      </c>
    </row>
    <row r="1308" spans="1:21" x14ac:dyDescent="0.25">
      <c r="A1308">
        <v>9921530</v>
      </c>
      <c r="B1308" t="s">
        <v>15</v>
      </c>
      <c r="C1308" s="1">
        <v>43423</v>
      </c>
      <c r="D1308" s="2">
        <f>YEAR(C1308)</f>
        <v>2018</v>
      </c>
      <c r="E1308">
        <v>255000</v>
      </c>
      <c r="F1308" t="s">
        <v>85</v>
      </c>
      <c r="G1308">
        <v>1958</v>
      </c>
      <c r="H1308">
        <v>4250</v>
      </c>
      <c r="I1308" t="s">
        <v>63</v>
      </c>
      <c r="J1308">
        <v>76</v>
      </c>
      <c r="K1308">
        <v>60076</v>
      </c>
      <c r="L1308">
        <v>1300</v>
      </c>
      <c r="M1308">
        <v>9</v>
      </c>
      <c r="N1308">
        <v>3</v>
      </c>
      <c r="O1308">
        <v>0</v>
      </c>
      <c r="P1308" t="s">
        <v>79</v>
      </c>
      <c r="Q1308">
        <v>4</v>
      </c>
      <c r="R1308">
        <v>0</v>
      </c>
      <c r="S1308" t="s">
        <v>22</v>
      </c>
      <c r="T1308">
        <v>2</v>
      </c>
      <c r="U1308">
        <v>0</v>
      </c>
    </row>
    <row r="1309" spans="1:21" x14ac:dyDescent="0.25">
      <c r="A1309">
        <v>9845358</v>
      </c>
      <c r="B1309" t="s">
        <v>15</v>
      </c>
      <c r="C1309" s="1">
        <v>43250</v>
      </c>
      <c r="D1309" s="2">
        <f>YEAR(C1309)</f>
        <v>2018</v>
      </c>
      <c r="E1309">
        <v>280000</v>
      </c>
      <c r="F1309" t="s">
        <v>85</v>
      </c>
      <c r="G1309">
        <v>1958</v>
      </c>
      <c r="H1309">
        <v>3855</v>
      </c>
      <c r="I1309" t="s">
        <v>32</v>
      </c>
      <c r="J1309">
        <v>76</v>
      </c>
      <c r="K1309">
        <v>60076</v>
      </c>
      <c r="L1309">
        <v>1288</v>
      </c>
      <c r="M1309">
        <v>9</v>
      </c>
      <c r="N1309">
        <v>3</v>
      </c>
      <c r="O1309">
        <v>0</v>
      </c>
      <c r="P1309" t="s">
        <v>79</v>
      </c>
      <c r="Q1309">
        <v>3</v>
      </c>
      <c r="R1309">
        <v>2</v>
      </c>
      <c r="S1309" t="s">
        <v>22</v>
      </c>
      <c r="T1309">
        <v>2</v>
      </c>
      <c r="U1309">
        <v>0</v>
      </c>
    </row>
    <row r="1310" spans="1:21" x14ac:dyDescent="0.25">
      <c r="A1310">
        <v>9697541</v>
      </c>
      <c r="B1310" t="s">
        <v>15</v>
      </c>
      <c r="C1310" s="1">
        <v>42971</v>
      </c>
      <c r="D1310" s="2">
        <f>YEAR(C1310)</f>
        <v>2017</v>
      </c>
      <c r="E1310">
        <v>262000</v>
      </c>
      <c r="F1310" t="s">
        <v>85</v>
      </c>
      <c r="G1310">
        <v>1958</v>
      </c>
      <c r="H1310">
        <v>3335</v>
      </c>
      <c r="I1310" t="s">
        <v>122</v>
      </c>
      <c r="J1310">
        <v>76</v>
      </c>
      <c r="K1310">
        <v>60076</v>
      </c>
      <c r="L1310">
        <v>1200</v>
      </c>
      <c r="M1310">
        <v>6</v>
      </c>
      <c r="N1310">
        <v>2</v>
      </c>
      <c r="O1310">
        <v>1</v>
      </c>
      <c r="P1310" t="s">
        <v>79</v>
      </c>
      <c r="Q1310">
        <v>3</v>
      </c>
      <c r="R1310">
        <v>0</v>
      </c>
      <c r="S1310" t="s">
        <v>22</v>
      </c>
      <c r="T1310">
        <v>2</v>
      </c>
      <c r="U1310">
        <v>0</v>
      </c>
    </row>
    <row r="1311" spans="1:21" x14ac:dyDescent="0.25">
      <c r="A1311">
        <v>9902361</v>
      </c>
      <c r="B1311" t="s">
        <v>15</v>
      </c>
      <c r="C1311" s="1">
        <v>43259</v>
      </c>
      <c r="D1311" s="2">
        <f>YEAR(C1311)</f>
        <v>2018</v>
      </c>
      <c r="E1311">
        <v>326000</v>
      </c>
      <c r="F1311" t="s">
        <v>85</v>
      </c>
      <c r="G1311">
        <v>1958</v>
      </c>
      <c r="H1311">
        <v>3819</v>
      </c>
      <c r="I1311" t="s">
        <v>147</v>
      </c>
      <c r="J1311">
        <v>76</v>
      </c>
      <c r="K1311">
        <v>60076</v>
      </c>
      <c r="L1311">
        <v>1200</v>
      </c>
      <c r="M1311">
        <v>9</v>
      </c>
      <c r="N1311">
        <v>2</v>
      </c>
      <c r="O1311">
        <v>0</v>
      </c>
      <c r="P1311" t="s">
        <v>79</v>
      </c>
      <c r="Q1311">
        <v>3</v>
      </c>
      <c r="R1311">
        <v>1</v>
      </c>
      <c r="S1311" t="s">
        <v>22</v>
      </c>
      <c r="T1311">
        <v>2</v>
      </c>
      <c r="U1311">
        <v>0</v>
      </c>
    </row>
    <row r="1312" spans="1:21" x14ac:dyDescent="0.25">
      <c r="A1312">
        <v>9682462</v>
      </c>
      <c r="B1312" t="s">
        <v>15</v>
      </c>
      <c r="C1312" s="1">
        <v>43019</v>
      </c>
      <c r="D1312" s="2">
        <f>YEAR(C1312)</f>
        <v>2017</v>
      </c>
      <c r="E1312">
        <v>348000</v>
      </c>
      <c r="F1312" t="s">
        <v>85</v>
      </c>
      <c r="G1312">
        <v>1958</v>
      </c>
      <c r="H1312">
        <v>3832</v>
      </c>
      <c r="I1312" t="s">
        <v>221</v>
      </c>
      <c r="J1312">
        <v>76</v>
      </c>
      <c r="K1312">
        <v>60076</v>
      </c>
      <c r="L1312">
        <v>1105</v>
      </c>
      <c r="M1312">
        <v>9</v>
      </c>
      <c r="N1312">
        <v>2</v>
      </c>
      <c r="O1312">
        <v>0</v>
      </c>
      <c r="P1312" t="s">
        <v>79</v>
      </c>
      <c r="Q1312">
        <v>3</v>
      </c>
      <c r="R1312">
        <v>2</v>
      </c>
      <c r="S1312" t="s">
        <v>19</v>
      </c>
      <c r="T1312">
        <v>0</v>
      </c>
      <c r="U1312">
        <v>0</v>
      </c>
    </row>
    <row r="1313" spans="1:21" x14ac:dyDescent="0.25">
      <c r="A1313">
        <v>9838786</v>
      </c>
      <c r="B1313" t="s">
        <v>15</v>
      </c>
      <c r="C1313" s="1">
        <v>43264</v>
      </c>
      <c r="D1313" s="2">
        <f>YEAR(C1313)</f>
        <v>2018</v>
      </c>
      <c r="E1313">
        <v>286500</v>
      </c>
      <c r="F1313" t="s">
        <v>85</v>
      </c>
      <c r="G1313">
        <v>1958</v>
      </c>
      <c r="H1313">
        <v>8214</v>
      </c>
      <c r="I1313" t="s">
        <v>153</v>
      </c>
      <c r="J1313">
        <v>76</v>
      </c>
      <c r="K1313">
        <v>60076</v>
      </c>
      <c r="L1313">
        <v>1068</v>
      </c>
      <c r="M1313">
        <v>6</v>
      </c>
      <c r="N1313">
        <v>2</v>
      </c>
      <c r="O1313">
        <v>0</v>
      </c>
      <c r="P1313" t="s">
        <v>79</v>
      </c>
      <c r="Q1313">
        <v>3</v>
      </c>
      <c r="R1313">
        <v>0</v>
      </c>
      <c r="S1313" t="s">
        <v>22</v>
      </c>
      <c r="T1313">
        <v>2</v>
      </c>
      <c r="U1313">
        <v>0</v>
      </c>
    </row>
    <row r="1314" spans="1:21" x14ac:dyDescent="0.25">
      <c r="A1314">
        <v>9661766</v>
      </c>
      <c r="B1314" t="s">
        <v>15</v>
      </c>
      <c r="C1314" s="1">
        <v>42978</v>
      </c>
      <c r="D1314" s="2">
        <f>YEAR(C1314)</f>
        <v>2017</v>
      </c>
      <c r="E1314">
        <v>555000</v>
      </c>
      <c r="F1314" t="s">
        <v>85</v>
      </c>
      <c r="G1314">
        <v>1958</v>
      </c>
      <c r="H1314">
        <v>3585</v>
      </c>
      <c r="I1314" t="s">
        <v>481</v>
      </c>
      <c r="J1314">
        <v>62</v>
      </c>
      <c r="K1314">
        <v>60062</v>
      </c>
      <c r="L1314">
        <v>3000</v>
      </c>
      <c r="M1314">
        <v>9</v>
      </c>
      <c r="N1314">
        <v>3</v>
      </c>
      <c r="O1314">
        <v>1</v>
      </c>
      <c r="P1314" t="s">
        <v>79</v>
      </c>
      <c r="Q1314">
        <v>4</v>
      </c>
      <c r="R1314">
        <v>0</v>
      </c>
      <c r="S1314" t="s">
        <v>21</v>
      </c>
      <c r="T1314">
        <v>2</v>
      </c>
      <c r="U1314">
        <v>0</v>
      </c>
    </row>
    <row r="1315" spans="1:21" x14ac:dyDescent="0.25">
      <c r="A1315">
        <v>9728441</v>
      </c>
      <c r="B1315" t="s">
        <v>15</v>
      </c>
      <c r="C1315" s="1">
        <v>43020</v>
      </c>
      <c r="D1315" s="2">
        <f>YEAR(C1315)</f>
        <v>2017</v>
      </c>
      <c r="E1315">
        <v>540000</v>
      </c>
      <c r="F1315" t="s">
        <v>85</v>
      </c>
      <c r="G1315">
        <v>1958</v>
      </c>
      <c r="H1315">
        <v>2021</v>
      </c>
      <c r="I1315" t="s">
        <v>482</v>
      </c>
      <c r="J1315">
        <v>62</v>
      </c>
      <c r="K1315">
        <v>60062</v>
      </c>
      <c r="L1315">
        <v>2400</v>
      </c>
      <c r="M1315">
        <v>11</v>
      </c>
      <c r="N1315">
        <v>3</v>
      </c>
      <c r="O1315">
        <v>0</v>
      </c>
      <c r="P1315" t="s">
        <v>79</v>
      </c>
      <c r="Q1315">
        <v>3</v>
      </c>
      <c r="R1315">
        <v>0</v>
      </c>
      <c r="S1315" t="s">
        <v>21</v>
      </c>
      <c r="T1315">
        <v>2</v>
      </c>
      <c r="U1315">
        <v>0</v>
      </c>
    </row>
    <row r="1316" spans="1:21" x14ac:dyDescent="0.25">
      <c r="A1316">
        <v>9714719</v>
      </c>
      <c r="B1316" t="s">
        <v>15</v>
      </c>
      <c r="C1316" s="1">
        <v>43088</v>
      </c>
      <c r="D1316" s="2">
        <f>YEAR(C1316)</f>
        <v>2017</v>
      </c>
      <c r="E1316">
        <v>380000</v>
      </c>
      <c r="F1316" t="s">
        <v>85</v>
      </c>
      <c r="G1316">
        <v>1958</v>
      </c>
      <c r="H1316">
        <v>2307</v>
      </c>
      <c r="I1316" t="s">
        <v>243</v>
      </c>
      <c r="J1316">
        <v>62</v>
      </c>
      <c r="K1316">
        <v>60062</v>
      </c>
      <c r="L1316">
        <v>1308</v>
      </c>
      <c r="M1316">
        <v>10</v>
      </c>
      <c r="N1316">
        <v>2</v>
      </c>
      <c r="O1316">
        <v>0</v>
      </c>
      <c r="P1316" t="s">
        <v>79</v>
      </c>
      <c r="Q1316">
        <v>3</v>
      </c>
      <c r="R1316">
        <v>0</v>
      </c>
      <c r="S1316" t="s">
        <v>22</v>
      </c>
      <c r="T1316">
        <v>2</v>
      </c>
      <c r="U1316">
        <v>0</v>
      </c>
    </row>
    <row r="1317" spans="1:21" x14ac:dyDescent="0.25">
      <c r="A1317">
        <v>9959750</v>
      </c>
      <c r="B1317" t="s">
        <v>15</v>
      </c>
      <c r="C1317" s="1">
        <v>43388</v>
      </c>
      <c r="D1317" s="2">
        <f>YEAR(C1317)</f>
        <v>2018</v>
      </c>
      <c r="E1317">
        <v>275000</v>
      </c>
      <c r="F1317" t="s">
        <v>85</v>
      </c>
      <c r="G1317">
        <v>1958</v>
      </c>
      <c r="H1317">
        <v>1432</v>
      </c>
      <c r="I1317" t="s">
        <v>483</v>
      </c>
      <c r="J1317">
        <v>62</v>
      </c>
      <c r="K1317">
        <v>60062</v>
      </c>
      <c r="L1317">
        <v>1230</v>
      </c>
      <c r="M1317">
        <v>6</v>
      </c>
      <c r="N1317">
        <v>2</v>
      </c>
      <c r="O1317">
        <v>0</v>
      </c>
      <c r="P1317" t="s">
        <v>79</v>
      </c>
      <c r="Q1317">
        <v>3</v>
      </c>
      <c r="R1317">
        <v>0</v>
      </c>
      <c r="S1317" t="s">
        <v>21</v>
      </c>
      <c r="T1317">
        <v>1</v>
      </c>
      <c r="U1317">
        <v>0</v>
      </c>
    </row>
    <row r="1318" spans="1:21" x14ac:dyDescent="0.25">
      <c r="A1318">
        <v>10068389</v>
      </c>
      <c r="B1318" t="s">
        <v>15</v>
      </c>
      <c r="C1318" s="1">
        <v>43398</v>
      </c>
      <c r="D1318" s="2">
        <f>YEAR(C1318)</f>
        <v>2018</v>
      </c>
      <c r="E1318">
        <v>410000</v>
      </c>
      <c r="F1318" t="s">
        <v>85</v>
      </c>
      <c r="G1318">
        <v>1958</v>
      </c>
      <c r="H1318">
        <v>839</v>
      </c>
      <c r="I1318" t="s">
        <v>484</v>
      </c>
      <c r="J1318">
        <v>62</v>
      </c>
      <c r="K1318">
        <v>60062</v>
      </c>
      <c r="L1318">
        <v>1156</v>
      </c>
      <c r="M1318">
        <v>8</v>
      </c>
      <c r="N1318">
        <v>3</v>
      </c>
      <c r="O1318">
        <v>0</v>
      </c>
      <c r="P1318" t="s">
        <v>79</v>
      </c>
      <c r="Q1318">
        <v>3</v>
      </c>
      <c r="R1318">
        <v>1</v>
      </c>
      <c r="S1318" t="s">
        <v>21</v>
      </c>
      <c r="T1318">
        <v>1</v>
      </c>
      <c r="U1318">
        <v>0</v>
      </c>
    </row>
    <row r="1319" spans="1:21" x14ac:dyDescent="0.25">
      <c r="A1319">
        <v>9588710</v>
      </c>
      <c r="B1319" t="s">
        <v>15</v>
      </c>
      <c r="C1319" s="1">
        <v>42902</v>
      </c>
      <c r="D1319" s="2">
        <f>YEAR(C1319)</f>
        <v>2017</v>
      </c>
      <c r="E1319">
        <v>418000</v>
      </c>
      <c r="F1319" t="s">
        <v>85</v>
      </c>
      <c r="G1319">
        <v>1958</v>
      </c>
      <c r="H1319">
        <v>839</v>
      </c>
      <c r="I1319" t="s">
        <v>484</v>
      </c>
      <c r="J1319">
        <v>62</v>
      </c>
      <c r="K1319">
        <v>60062</v>
      </c>
      <c r="L1319">
        <v>1156</v>
      </c>
      <c r="M1319">
        <v>8</v>
      </c>
      <c r="N1319">
        <v>3</v>
      </c>
      <c r="O1319">
        <v>0</v>
      </c>
      <c r="P1319" t="s">
        <v>79</v>
      </c>
      <c r="Q1319">
        <v>3</v>
      </c>
      <c r="R1319">
        <v>1</v>
      </c>
      <c r="S1319" t="s">
        <v>21</v>
      </c>
      <c r="T1319">
        <v>1</v>
      </c>
      <c r="U1319">
        <v>0</v>
      </c>
    </row>
    <row r="1320" spans="1:21" x14ac:dyDescent="0.25">
      <c r="A1320">
        <v>9639059</v>
      </c>
      <c r="B1320" t="s">
        <v>15</v>
      </c>
      <c r="C1320" s="1">
        <v>42930</v>
      </c>
      <c r="D1320" s="2">
        <f>YEAR(C1320)</f>
        <v>2017</v>
      </c>
      <c r="E1320">
        <v>407500</v>
      </c>
      <c r="F1320" t="s">
        <v>85</v>
      </c>
      <c r="G1320">
        <v>1958</v>
      </c>
      <c r="H1320">
        <v>821</v>
      </c>
      <c r="I1320" t="s">
        <v>205</v>
      </c>
      <c r="J1320">
        <v>62</v>
      </c>
      <c r="K1320">
        <v>60062</v>
      </c>
      <c r="L1320">
        <v>1128</v>
      </c>
      <c r="M1320">
        <v>7</v>
      </c>
      <c r="N1320">
        <v>2</v>
      </c>
      <c r="O1320">
        <v>0</v>
      </c>
      <c r="P1320" t="s">
        <v>79</v>
      </c>
      <c r="Q1320">
        <v>3</v>
      </c>
      <c r="R1320">
        <v>0</v>
      </c>
      <c r="S1320" t="s">
        <v>21</v>
      </c>
      <c r="T1320">
        <v>1</v>
      </c>
      <c r="U1320">
        <v>0</v>
      </c>
    </row>
    <row r="1321" spans="1:21" x14ac:dyDescent="0.25">
      <c r="A1321">
        <v>9614293</v>
      </c>
      <c r="B1321" t="s">
        <v>15</v>
      </c>
      <c r="C1321" s="1">
        <v>42926</v>
      </c>
      <c r="D1321" s="2">
        <f>YEAR(C1321)</f>
        <v>2017</v>
      </c>
      <c r="E1321">
        <v>498000</v>
      </c>
      <c r="F1321" t="s">
        <v>85</v>
      </c>
      <c r="G1321">
        <v>1959</v>
      </c>
      <c r="H1321">
        <v>7623</v>
      </c>
      <c r="I1321" t="s">
        <v>101</v>
      </c>
      <c r="J1321">
        <v>76</v>
      </c>
      <c r="K1321">
        <v>60076</v>
      </c>
      <c r="L1321">
        <v>2740</v>
      </c>
      <c r="M1321">
        <v>8</v>
      </c>
      <c r="N1321">
        <v>2</v>
      </c>
      <c r="O1321">
        <v>1</v>
      </c>
      <c r="P1321" t="s">
        <v>79</v>
      </c>
      <c r="Q1321">
        <v>4</v>
      </c>
      <c r="R1321">
        <v>0</v>
      </c>
      <c r="S1321" t="s">
        <v>21</v>
      </c>
      <c r="T1321">
        <v>4</v>
      </c>
      <c r="U1321">
        <v>0</v>
      </c>
    </row>
    <row r="1322" spans="1:21" x14ac:dyDescent="0.25">
      <c r="A1322">
        <v>9779568</v>
      </c>
      <c r="B1322" t="s">
        <v>15</v>
      </c>
      <c r="C1322" s="1">
        <v>43164</v>
      </c>
      <c r="D1322" s="2">
        <f>YEAR(C1322)</f>
        <v>2018</v>
      </c>
      <c r="E1322">
        <v>467500</v>
      </c>
      <c r="F1322" t="s">
        <v>85</v>
      </c>
      <c r="G1322">
        <v>1959</v>
      </c>
      <c r="H1322">
        <v>9030</v>
      </c>
      <c r="I1322" t="s">
        <v>238</v>
      </c>
      <c r="J1322">
        <v>76</v>
      </c>
      <c r="K1322">
        <v>60076</v>
      </c>
      <c r="L1322">
        <v>2200</v>
      </c>
      <c r="M1322">
        <v>9</v>
      </c>
      <c r="N1322">
        <v>3</v>
      </c>
      <c r="O1322">
        <v>0</v>
      </c>
      <c r="P1322" t="s">
        <v>79</v>
      </c>
      <c r="Q1322">
        <v>4</v>
      </c>
      <c r="R1322">
        <v>0</v>
      </c>
      <c r="S1322" t="s">
        <v>22</v>
      </c>
      <c r="T1322">
        <v>2</v>
      </c>
      <c r="U1322">
        <v>0</v>
      </c>
    </row>
    <row r="1323" spans="1:21" x14ac:dyDescent="0.25">
      <c r="A1323">
        <v>9712282</v>
      </c>
      <c r="B1323" t="s">
        <v>15</v>
      </c>
      <c r="C1323" s="1">
        <v>43007</v>
      </c>
      <c r="D1323" s="2">
        <f>YEAR(C1323)</f>
        <v>2017</v>
      </c>
      <c r="E1323">
        <v>360000</v>
      </c>
      <c r="F1323" t="s">
        <v>85</v>
      </c>
      <c r="G1323">
        <v>1959</v>
      </c>
      <c r="H1323">
        <v>9152</v>
      </c>
      <c r="I1323" t="s">
        <v>105</v>
      </c>
      <c r="J1323">
        <v>76</v>
      </c>
      <c r="K1323">
        <v>60076</v>
      </c>
      <c r="L1323">
        <v>2116</v>
      </c>
      <c r="M1323">
        <v>7</v>
      </c>
      <c r="N1323">
        <v>2</v>
      </c>
      <c r="O1323">
        <v>0</v>
      </c>
      <c r="P1323" t="s">
        <v>79</v>
      </c>
      <c r="Q1323">
        <v>3</v>
      </c>
      <c r="R1323">
        <v>0</v>
      </c>
      <c r="S1323" t="s">
        <v>21</v>
      </c>
      <c r="T1323">
        <v>2</v>
      </c>
      <c r="U1323">
        <v>0</v>
      </c>
    </row>
    <row r="1324" spans="1:21" x14ac:dyDescent="0.25">
      <c r="A1324">
        <v>10022081</v>
      </c>
      <c r="B1324" t="s">
        <v>15</v>
      </c>
      <c r="C1324" s="1">
        <v>43424</v>
      </c>
      <c r="D1324" s="2">
        <f>YEAR(C1324)</f>
        <v>2018</v>
      </c>
      <c r="E1324">
        <v>408000</v>
      </c>
      <c r="F1324" t="s">
        <v>85</v>
      </c>
      <c r="G1324">
        <v>1959</v>
      </c>
      <c r="H1324">
        <v>3615</v>
      </c>
      <c r="I1324" t="s">
        <v>109</v>
      </c>
      <c r="J1324">
        <v>76</v>
      </c>
      <c r="K1324">
        <v>60076</v>
      </c>
      <c r="L1324">
        <v>1747</v>
      </c>
      <c r="M1324">
        <v>8</v>
      </c>
      <c r="N1324">
        <v>2</v>
      </c>
      <c r="O1324">
        <v>1</v>
      </c>
      <c r="P1324" t="s">
        <v>79</v>
      </c>
      <c r="Q1324">
        <v>3</v>
      </c>
      <c r="R1324">
        <v>1</v>
      </c>
      <c r="S1324" t="s">
        <v>21</v>
      </c>
      <c r="T1324">
        <v>1.5</v>
      </c>
      <c r="U1324">
        <v>0</v>
      </c>
    </row>
    <row r="1325" spans="1:21" x14ac:dyDescent="0.25">
      <c r="A1325">
        <v>9637872</v>
      </c>
      <c r="B1325" t="s">
        <v>15</v>
      </c>
      <c r="C1325" s="1">
        <v>43179</v>
      </c>
      <c r="D1325" s="2">
        <f>YEAR(C1325)</f>
        <v>2018</v>
      </c>
      <c r="E1325">
        <v>350000</v>
      </c>
      <c r="F1325" t="s">
        <v>85</v>
      </c>
      <c r="G1325">
        <v>1959</v>
      </c>
      <c r="H1325">
        <v>8818</v>
      </c>
      <c r="I1325" t="s">
        <v>152</v>
      </c>
      <c r="J1325">
        <v>76</v>
      </c>
      <c r="K1325">
        <v>60076</v>
      </c>
      <c r="L1325">
        <v>1600</v>
      </c>
      <c r="M1325">
        <v>8</v>
      </c>
      <c r="N1325">
        <v>2</v>
      </c>
      <c r="O1325">
        <v>0</v>
      </c>
      <c r="P1325" t="s">
        <v>79</v>
      </c>
      <c r="Q1325">
        <v>4</v>
      </c>
      <c r="R1325">
        <v>0</v>
      </c>
      <c r="S1325" t="s">
        <v>21</v>
      </c>
      <c r="T1325">
        <v>2</v>
      </c>
      <c r="U1325">
        <v>0</v>
      </c>
    </row>
    <row r="1326" spans="1:21" x14ac:dyDescent="0.25">
      <c r="A1326">
        <v>10028781</v>
      </c>
      <c r="B1326" t="s">
        <v>15</v>
      </c>
      <c r="C1326" s="1">
        <v>43368</v>
      </c>
      <c r="D1326" s="2">
        <f>YEAR(C1326)</f>
        <v>2018</v>
      </c>
      <c r="E1326">
        <v>315000</v>
      </c>
      <c r="F1326" t="s">
        <v>85</v>
      </c>
      <c r="G1326">
        <v>1959</v>
      </c>
      <c r="H1326">
        <v>8516</v>
      </c>
      <c r="I1326" t="s">
        <v>200</v>
      </c>
      <c r="J1326">
        <v>76</v>
      </c>
      <c r="K1326">
        <v>60076</v>
      </c>
      <c r="L1326">
        <v>1500</v>
      </c>
      <c r="M1326">
        <v>8</v>
      </c>
      <c r="N1326">
        <v>2</v>
      </c>
      <c r="O1326">
        <v>1</v>
      </c>
      <c r="P1326" t="s">
        <v>79</v>
      </c>
      <c r="Q1326">
        <v>4</v>
      </c>
      <c r="R1326">
        <v>0</v>
      </c>
      <c r="S1326" t="s">
        <v>21</v>
      </c>
      <c r="T1326">
        <v>1</v>
      </c>
      <c r="U1326">
        <v>0</v>
      </c>
    </row>
    <row r="1327" spans="1:21" x14ac:dyDescent="0.25">
      <c r="A1327">
        <v>9899323</v>
      </c>
      <c r="B1327" t="s">
        <v>15</v>
      </c>
      <c r="C1327" s="1">
        <v>43329</v>
      </c>
      <c r="D1327" s="2">
        <f>YEAR(C1327)</f>
        <v>2018</v>
      </c>
      <c r="E1327">
        <v>385000</v>
      </c>
      <c r="F1327" t="s">
        <v>85</v>
      </c>
      <c r="G1327">
        <v>1959</v>
      </c>
      <c r="H1327">
        <v>8105</v>
      </c>
      <c r="I1327" t="s">
        <v>108</v>
      </c>
      <c r="J1327">
        <v>76</v>
      </c>
      <c r="K1327">
        <v>60076</v>
      </c>
      <c r="L1327">
        <v>1467</v>
      </c>
      <c r="M1327">
        <v>7</v>
      </c>
      <c r="N1327">
        <v>2</v>
      </c>
      <c r="O1327">
        <v>1</v>
      </c>
      <c r="P1327" t="s">
        <v>79</v>
      </c>
      <c r="Q1327">
        <v>3</v>
      </c>
      <c r="R1327">
        <v>0</v>
      </c>
      <c r="S1327" t="s">
        <v>22</v>
      </c>
      <c r="T1327">
        <v>2</v>
      </c>
      <c r="U1327">
        <v>0</v>
      </c>
    </row>
    <row r="1328" spans="1:21" x14ac:dyDescent="0.25">
      <c r="A1328">
        <v>9600020</v>
      </c>
      <c r="B1328" t="s">
        <v>15</v>
      </c>
      <c r="C1328" s="1">
        <v>42906</v>
      </c>
      <c r="D1328" s="2">
        <f>YEAR(C1328)</f>
        <v>2017</v>
      </c>
      <c r="E1328">
        <v>280000</v>
      </c>
      <c r="F1328" t="s">
        <v>85</v>
      </c>
      <c r="G1328">
        <v>1959</v>
      </c>
      <c r="H1328">
        <v>8401</v>
      </c>
      <c r="I1328" t="s">
        <v>459</v>
      </c>
      <c r="J1328">
        <v>76</v>
      </c>
      <c r="K1328">
        <v>60077</v>
      </c>
      <c r="L1328">
        <v>1288</v>
      </c>
      <c r="M1328">
        <v>10</v>
      </c>
      <c r="N1328">
        <v>3</v>
      </c>
      <c r="O1328">
        <v>0</v>
      </c>
      <c r="P1328" t="s">
        <v>79</v>
      </c>
      <c r="Q1328">
        <v>3</v>
      </c>
      <c r="R1328">
        <v>2</v>
      </c>
      <c r="S1328" t="s">
        <v>21</v>
      </c>
      <c r="T1328">
        <v>2</v>
      </c>
      <c r="U1328">
        <v>0</v>
      </c>
    </row>
    <row r="1329" spans="1:21" x14ac:dyDescent="0.25">
      <c r="A1329">
        <v>9862464</v>
      </c>
      <c r="B1329" t="s">
        <v>15</v>
      </c>
      <c r="C1329" s="1">
        <v>43220</v>
      </c>
      <c r="D1329" s="2">
        <f>YEAR(C1329)</f>
        <v>2018</v>
      </c>
      <c r="E1329">
        <v>275000</v>
      </c>
      <c r="F1329" t="s">
        <v>85</v>
      </c>
      <c r="G1329">
        <v>1959</v>
      </c>
      <c r="H1329">
        <v>9423</v>
      </c>
      <c r="I1329" t="s">
        <v>239</v>
      </c>
      <c r="J1329">
        <v>76</v>
      </c>
      <c r="K1329">
        <v>60077</v>
      </c>
      <c r="L1329">
        <v>1094</v>
      </c>
      <c r="M1329">
        <v>7</v>
      </c>
      <c r="N1329">
        <v>2</v>
      </c>
      <c r="O1329">
        <v>0</v>
      </c>
      <c r="P1329" t="s">
        <v>79</v>
      </c>
      <c r="Q1329">
        <v>3</v>
      </c>
      <c r="R1329">
        <v>0</v>
      </c>
      <c r="S1329" t="s">
        <v>22</v>
      </c>
      <c r="T1329">
        <v>2</v>
      </c>
      <c r="U1329">
        <v>0</v>
      </c>
    </row>
    <row r="1330" spans="1:21" x14ac:dyDescent="0.25">
      <c r="A1330">
        <v>9483025</v>
      </c>
      <c r="B1330" t="s">
        <v>15</v>
      </c>
      <c r="C1330" s="1">
        <v>42877</v>
      </c>
      <c r="D1330" s="2">
        <f>YEAR(C1330)</f>
        <v>2017</v>
      </c>
      <c r="E1330">
        <v>445000</v>
      </c>
      <c r="F1330" t="s">
        <v>85</v>
      </c>
      <c r="G1330">
        <v>1959</v>
      </c>
      <c r="H1330">
        <v>3550</v>
      </c>
      <c r="I1330" t="s">
        <v>481</v>
      </c>
      <c r="J1330">
        <v>62</v>
      </c>
      <c r="K1330">
        <v>60062</v>
      </c>
      <c r="L1330">
        <v>2252</v>
      </c>
      <c r="M1330">
        <v>7</v>
      </c>
      <c r="N1330">
        <v>2</v>
      </c>
      <c r="O1330">
        <v>0</v>
      </c>
      <c r="P1330" t="s">
        <v>79</v>
      </c>
      <c r="Q1330">
        <v>3</v>
      </c>
      <c r="R1330">
        <v>0</v>
      </c>
      <c r="S1330" t="s">
        <v>21</v>
      </c>
      <c r="T1330">
        <v>2</v>
      </c>
      <c r="U1330">
        <v>0</v>
      </c>
    </row>
    <row r="1331" spans="1:21" x14ac:dyDescent="0.25">
      <c r="A1331">
        <v>9720549</v>
      </c>
      <c r="B1331" t="s">
        <v>15</v>
      </c>
      <c r="C1331" s="1">
        <v>43041</v>
      </c>
      <c r="D1331" s="2">
        <f>YEAR(C1331)</f>
        <v>2017</v>
      </c>
      <c r="E1331">
        <v>350000</v>
      </c>
      <c r="F1331" t="s">
        <v>85</v>
      </c>
      <c r="G1331">
        <v>1959</v>
      </c>
      <c r="H1331">
        <v>854</v>
      </c>
      <c r="I1331" t="s">
        <v>486</v>
      </c>
      <c r="J1331">
        <v>62</v>
      </c>
      <c r="K1331">
        <v>60062</v>
      </c>
      <c r="L1331">
        <v>1094</v>
      </c>
      <c r="M1331">
        <v>6</v>
      </c>
      <c r="N1331">
        <v>2</v>
      </c>
      <c r="O1331">
        <v>0</v>
      </c>
      <c r="P1331" t="s">
        <v>79</v>
      </c>
      <c r="Q1331">
        <v>3</v>
      </c>
      <c r="R1331">
        <v>0</v>
      </c>
      <c r="S1331" t="s">
        <v>21</v>
      </c>
      <c r="T1331">
        <v>2.5</v>
      </c>
      <c r="U1331">
        <v>0</v>
      </c>
    </row>
    <row r="1332" spans="1:21" x14ac:dyDescent="0.25">
      <c r="A1332">
        <v>9843536</v>
      </c>
      <c r="B1332" t="s">
        <v>15</v>
      </c>
      <c r="C1332" s="1">
        <v>43171</v>
      </c>
      <c r="D1332" s="2">
        <f>YEAR(C1332)</f>
        <v>2018</v>
      </c>
      <c r="E1332">
        <v>376500</v>
      </c>
      <c r="F1332" t="s">
        <v>85</v>
      </c>
      <c r="G1332">
        <v>1960</v>
      </c>
      <c r="H1332">
        <v>9151</v>
      </c>
      <c r="I1332" t="s">
        <v>102</v>
      </c>
      <c r="J1332">
        <v>76</v>
      </c>
      <c r="K1332">
        <v>60076</v>
      </c>
      <c r="L1332">
        <v>1795</v>
      </c>
      <c r="M1332">
        <v>6</v>
      </c>
      <c r="N1332">
        <v>3</v>
      </c>
      <c r="O1332">
        <v>0</v>
      </c>
      <c r="P1332" t="s">
        <v>79</v>
      </c>
      <c r="Q1332">
        <v>2</v>
      </c>
      <c r="R1332">
        <v>0</v>
      </c>
      <c r="S1332" t="s">
        <v>21</v>
      </c>
      <c r="T1332">
        <v>2</v>
      </c>
      <c r="U1332">
        <v>0</v>
      </c>
    </row>
    <row r="1333" spans="1:21" x14ac:dyDescent="0.25">
      <c r="A1333">
        <v>9695219</v>
      </c>
      <c r="B1333" t="s">
        <v>15</v>
      </c>
      <c r="C1333" s="1">
        <v>42990</v>
      </c>
      <c r="D1333" s="2">
        <f>YEAR(C1333)</f>
        <v>2017</v>
      </c>
      <c r="E1333">
        <v>390000</v>
      </c>
      <c r="F1333" t="s">
        <v>85</v>
      </c>
      <c r="G1333">
        <v>1960</v>
      </c>
      <c r="H1333">
        <v>4001</v>
      </c>
      <c r="I1333" t="s">
        <v>176</v>
      </c>
      <c r="J1333">
        <v>76</v>
      </c>
      <c r="K1333">
        <v>60076</v>
      </c>
      <c r="L1333">
        <v>1772</v>
      </c>
      <c r="M1333">
        <v>7</v>
      </c>
      <c r="N1333">
        <v>2</v>
      </c>
      <c r="O1333">
        <v>1</v>
      </c>
      <c r="P1333" t="s">
        <v>79</v>
      </c>
      <c r="Q1333">
        <v>3</v>
      </c>
      <c r="R1333">
        <v>0</v>
      </c>
      <c r="S1333" t="s">
        <v>22</v>
      </c>
      <c r="T1333">
        <v>2</v>
      </c>
      <c r="U1333">
        <v>0</v>
      </c>
    </row>
    <row r="1334" spans="1:21" x14ac:dyDescent="0.25">
      <c r="A1334">
        <v>9848939</v>
      </c>
      <c r="B1334" t="s">
        <v>15</v>
      </c>
      <c r="C1334" s="1">
        <v>43214</v>
      </c>
      <c r="D1334" s="2">
        <f>YEAR(C1334)</f>
        <v>2018</v>
      </c>
      <c r="E1334">
        <v>365000</v>
      </c>
      <c r="F1334" t="s">
        <v>85</v>
      </c>
      <c r="G1334">
        <v>1960</v>
      </c>
      <c r="H1334">
        <v>5058</v>
      </c>
      <c r="I1334" t="s">
        <v>39</v>
      </c>
      <c r="J1334">
        <v>76</v>
      </c>
      <c r="K1334">
        <v>60077</v>
      </c>
      <c r="L1334">
        <v>1754</v>
      </c>
      <c r="M1334">
        <v>9</v>
      </c>
      <c r="N1334">
        <v>2</v>
      </c>
      <c r="O1334">
        <v>1</v>
      </c>
      <c r="P1334" t="s">
        <v>79</v>
      </c>
      <c r="Q1334">
        <v>4</v>
      </c>
      <c r="R1334">
        <v>0</v>
      </c>
      <c r="S1334" t="s">
        <v>21</v>
      </c>
      <c r="T1334">
        <v>1</v>
      </c>
      <c r="U1334">
        <v>0</v>
      </c>
    </row>
    <row r="1335" spans="1:21" x14ac:dyDescent="0.25">
      <c r="A1335">
        <v>9875467</v>
      </c>
      <c r="B1335" t="s">
        <v>15</v>
      </c>
      <c r="C1335" s="1">
        <v>43217</v>
      </c>
      <c r="D1335" s="2">
        <f>YEAR(C1335)</f>
        <v>2018</v>
      </c>
      <c r="E1335">
        <v>355000</v>
      </c>
      <c r="F1335" t="s">
        <v>85</v>
      </c>
      <c r="G1335">
        <v>1960</v>
      </c>
      <c r="H1335">
        <v>7539</v>
      </c>
      <c r="I1335" t="s">
        <v>71</v>
      </c>
      <c r="J1335">
        <v>76</v>
      </c>
      <c r="K1335">
        <v>60077</v>
      </c>
      <c r="L1335">
        <v>1752</v>
      </c>
      <c r="M1335">
        <v>7</v>
      </c>
      <c r="N1335">
        <v>2</v>
      </c>
      <c r="O1335">
        <v>0</v>
      </c>
      <c r="P1335" t="s">
        <v>79</v>
      </c>
      <c r="Q1335">
        <v>3</v>
      </c>
      <c r="R1335">
        <v>0</v>
      </c>
      <c r="S1335" t="s">
        <v>19</v>
      </c>
      <c r="T1335">
        <v>0</v>
      </c>
      <c r="U1335">
        <v>0</v>
      </c>
    </row>
    <row r="1336" spans="1:21" x14ac:dyDescent="0.25">
      <c r="A1336">
        <v>10266996</v>
      </c>
      <c r="B1336" t="s">
        <v>15</v>
      </c>
      <c r="C1336" s="1">
        <v>43518</v>
      </c>
      <c r="D1336" s="2">
        <f>YEAR(C1336)</f>
        <v>2019</v>
      </c>
      <c r="E1336">
        <v>370000</v>
      </c>
      <c r="F1336" t="s">
        <v>85</v>
      </c>
      <c r="G1336">
        <v>1960</v>
      </c>
      <c r="H1336">
        <v>8322</v>
      </c>
      <c r="I1336" t="s">
        <v>123</v>
      </c>
      <c r="J1336">
        <v>76</v>
      </c>
      <c r="K1336">
        <v>60076</v>
      </c>
      <c r="L1336">
        <v>1560</v>
      </c>
      <c r="M1336">
        <v>7</v>
      </c>
      <c r="N1336">
        <v>3</v>
      </c>
      <c r="O1336">
        <v>0</v>
      </c>
      <c r="P1336" t="s">
        <v>79</v>
      </c>
      <c r="Q1336">
        <v>3</v>
      </c>
      <c r="R1336">
        <v>0</v>
      </c>
      <c r="S1336" t="s">
        <v>19</v>
      </c>
      <c r="T1336">
        <v>0</v>
      </c>
      <c r="U1336">
        <v>0</v>
      </c>
    </row>
    <row r="1337" spans="1:21" x14ac:dyDescent="0.25">
      <c r="A1337">
        <v>9791533</v>
      </c>
      <c r="B1337" t="s">
        <v>15</v>
      </c>
      <c r="C1337" s="1">
        <v>43159</v>
      </c>
      <c r="D1337" s="2">
        <f>YEAR(C1337)</f>
        <v>2018</v>
      </c>
      <c r="E1337">
        <v>290000</v>
      </c>
      <c r="F1337" t="s">
        <v>85</v>
      </c>
      <c r="G1337">
        <v>1960</v>
      </c>
      <c r="H1337">
        <v>5159</v>
      </c>
      <c r="I1337" t="s">
        <v>151</v>
      </c>
      <c r="J1337">
        <v>76</v>
      </c>
      <c r="K1337">
        <v>60077</v>
      </c>
      <c r="L1337">
        <v>1375</v>
      </c>
      <c r="M1337">
        <v>7</v>
      </c>
      <c r="N1337">
        <v>2</v>
      </c>
      <c r="O1337">
        <v>0</v>
      </c>
      <c r="P1337" t="s">
        <v>79</v>
      </c>
      <c r="Q1337">
        <v>3</v>
      </c>
      <c r="R1337">
        <v>0</v>
      </c>
      <c r="S1337" t="s">
        <v>22</v>
      </c>
      <c r="T1337">
        <v>2</v>
      </c>
      <c r="U1337">
        <v>0</v>
      </c>
    </row>
    <row r="1338" spans="1:21" x14ac:dyDescent="0.25">
      <c r="A1338">
        <v>10008125</v>
      </c>
      <c r="B1338" t="s">
        <v>15</v>
      </c>
      <c r="C1338" s="1">
        <v>43472</v>
      </c>
      <c r="D1338" s="2">
        <f>YEAR(C1338)</f>
        <v>2019</v>
      </c>
      <c r="E1338">
        <v>287000</v>
      </c>
      <c r="F1338" t="s">
        <v>85</v>
      </c>
      <c r="G1338">
        <v>1960</v>
      </c>
      <c r="H1338">
        <v>9506</v>
      </c>
      <c r="I1338" t="s">
        <v>26</v>
      </c>
      <c r="J1338">
        <v>76</v>
      </c>
      <c r="K1338">
        <v>60077</v>
      </c>
      <c r="L1338">
        <v>1368</v>
      </c>
      <c r="M1338">
        <v>7</v>
      </c>
      <c r="N1338">
        <v>2</v>
      </c>
      <c r="O1338">
        <v>0</v>
      </c>
      <c r="P1338" t="s">
        <v>79</v>
      </c>
      <c r="Q1338">
        <v>3</v>
      </c>
      <c r="R1338">
        <v>0</v>
      </c>
      <c r="S1338" t="s">
        <v>22</v>
      </c>
      <c r="T1338">
        <v>2.1</v>
      </c>
      <c r="U1338">
        <v>0</v>
      </c>
    </row>
    <row r="1339" spans="1:21" x14ac:dyDescent="0.25">
      <c r="A1339">
        <v>9593166</v>
      </c>
      <c r="B1339" t="s">
        <v>15</v>
      </c>
      <c r="C1339" s="1">
        <v>42874</v>
      </c>
      <c r="D1339" s="2">
        <f>YEAR(C1339)</f>
        <v>2017</v>
      </c>
      <c r="E1339">
        <v>294500</v>
      </c>
      <c r="F1339" t="s">
        <v>85</v>
      </c>
      <c r="G1339">
        <v>1960</v>
      </c>
      <c r="H1339">
        <v>8043</v>
      </c>
      <c r="I1339" t="s">
        <v>135</v>
      </c>
      <c r="J1339">
        <v>76</v>
      </c>
      <c r="K1339">
        <v>60076</v>
      </c>
      <c r="L1339">
        <v>1323</v>
      </c>
      <c r="M1339">
        <v>7</v>
      </c>
      <c r="N1339">
        <v>2</v>
      </c>
      <c r="O1339">
        <v>0</v>
      </c>
      <c r="P1339" t="s">
        <v>79</v>
      </c>
      <c r="Q1339">
        <v>3</v>
      </c>
      <c r="R1339">
        <v>0</v>
      </c>
      <c r="S1339" t="s">
        <v>19</v>
      </c>
      <c r="T1339">
        <v>0</v>
      </c>
      <c r="U1339">
        <v>0</v>
      </c>
    </row>
    <row r="1340" spans="1:21" x14ac:dyDescent="0.25">
      <c r="A1340">
        <v>9496601</v>
      </c>
      <c r="B1340" t="s">
        <v>15</v>
      </c>
      <c r="C1340" s="1">
        <v>42824</v>
      </c>
      <c r="D1340" s="2">
        <f>YEAR(C1340)</f>
        <v>2017</v>
      </c>
      <c r="E1340">
        <v>360000</v>
      </c>
      <c r="F1340" t="s">
        <v>85</v>
      </c>
      <c r="G1340">
        <v>1960</v>
      </c>
      <c r="H1340">
        <v>8226</v>
      </c>
      <c r="I1340" t="s">
        <v>202</v>
      </c>
      <c r="J1340">
        <v>76</v>
      </c>
      <c r="K1340">
        <v>60076</v>
      </c>
      <c r="L1340">
        <v>1068</v>
      </c>
      <c r="M1340">
        <v>7</v>
      </c>
      <c r="N1340">
        <v>2</v>
      </c>
      <c r="O1340">
        <v>0</v>
      </c>
      <c r="P1340" t="s">
        <v>79</v>
      </c>
      <c r="Q1340">
        <v>3</v>
      </c>
      <c r="R1340">
        <v>0</v>
      </c>
      <c r="S1340" t="s">
        <v>22</v>
      </c>
      <c r="T1340">
        <v>2</v>
      </c>
      <c r="U1340">
        <v>0</v>
      </c>
    </row>
    <row r="1341" spans="1:21" x14ac:dyDescent="0.25">
      <c r="A1341">
        <v>9620619</v>
      </c>
      <c r="B1341" t="s">
        <v>15</v>
      </c>
      <c r="C1341" s="1">
        <v>43031</v>
      </c>
      <c r="D1341" s="2">
        <f>YEAR(C1341)</f>
        <v>2017</v>
      </c>
      <c r="E1341">
        <v>4300000</v>
      </c>
      <c r="F1341" t="s">
        <v>85</v>
      </c>
      <c r="G1341">
        <v>1960</v>
      </c>
      <c r="H1341">
        <v>30</v>
      </c>
      <c r="I1341" t="s">
        <v>270</v>
      </c>
      <c r="J1341">
        <v>62</v>
      </c>
      <c r="K1341">
        <v>60062</v>
      </c>
      <c r="L1341">
        <v>10152</v>
      </c>
      <c r="M1341">
        <v>18</v>
      </c>
      <c r="N1341">
        <v>5</v>
      </c>
      <c r="O1341">
        <v>4</v>
      </c>
      <c r="P1341" t="s">
        <v>79</v>
      </c>
      <c r="Q1341">
        <v>6</v>
      </c>
      <c r="R1341">
        <v>0</v>
      </c>
      <c r="S1341" t="s">
        <v>21</v>
      </c>
      <c r="T1341">
        <v>3</v>
      </c>
      <c r="U1341">
        <v>0</v>
      </c>
    </row>
    <row r="1342" spans="1:21" x14ac:dyDescent="0.25">
      <c r="A1342">
        <v>9620941</v>
      </c>
      <c r="B1342" t="s">
        <v>15</v>
      </c>
      <c r="C1342" s="1">
        <v>42940</v>
      </c>
      <c r="D1342" s="2">
        <f>YEAR(C1342)</f>
        <v>2017</v>
      </c>
      <c r="E1342">
        <v>490000</v>
      </c>
      <c r="F1342" t="s">
        <v>85</v>
      </c>
      <c r="G1342">
        <v>1961</v>
      </c>
      <c r="H1342">
        <v>5030</v>
      </c>
      <c r="I1342" t="s">
        <v>113</v>
      </c>
      <c r="J1342">
        <v>76</v>
      </c>
      <c r="K1342">
        <v>60077</v>
      </c>
      <c r="L1342">
        <v>1870</v>
      </c>
      <c r="M1342">
        <v>8</v>
      </c>
      <c r="N1342">
        <v>2</v>
      </c>
      <c r="O1342">
        <v>1</v>
      </c>
      <c r="P1342" t="s">
        <v>79</v>
      </c>
      <c r="Q1342">
        <v>3</v>
      </c>
      <c r="R1342">
        <v>0</v>
      </c>
      <c r="S1342" t="s">
        <v>21</v>
      </c>
      <c r="T1342">
        <v>2</v>
      </c>
      <c r="U1342">
        <v>0</v>
      </c>
    </row>
    <row r="1343" spans="1:21" x14ac:dyDescent="0.25">
      <c r="A1343">
        <v>9615558</v>
      </c>
      <c r="B1343" t="s">
        <v>15</v>
      </c>
      <c r="C1343" s="1">
        <v>42947</v>
      </c>
      <c r="D1343" s="2">
        <f>YEAR(C1343)</f>
        <v>2017</v>
      </c>
      <c r="E1343">
        <v>420000</v>
      </c>
      <c r="F1343" t="s">
        <v>85</v>
      </c>
      <c r="G1343">
        <v>1961</v>
      </c>
      <c r="H1343">
        <v>5025</v>
      </c>
      <c r="I1343" t="s">
        <v>113</v>
      </c>
      <c r="J1343">
        <v>76</v>
      </c>
      <c r="K1343">
        <v>60077</v>
      </c>
      <c r="L1343">
        <v>1844</v>
      </c>
      <c r="M1343">
        <v>9</v>
      </c>
      <c r="N1343">
        <v>3</v>
      </c>
      <c r="O1343">
        <v>0</v>
      </c>
      <c r="P1343" t="s">
        <v>79</v>
      </c>
      <c r="Q1343">
        <v>4</v>
      </c>
      <c r="R1343">
        <v>0</v>
      </c>
      <c r="S1343" t="s">
        <v>21</v>
      </c>
      <c r="T1343">
        <v>2.5</v>
      </c>
      <c r="U1343">
        <v>0</v>
      </c>
    </row>
    <row r="1344" spans="1:21" x14ac:dyDescent="0.25">
      <c r="A1344">
        <v>9392243</v>
      </c>
      <c r="B1344" t="s">
        <v>15</v>
      </c>
      <c r="C1344" s="1">
        <v>43082</v>
      </c>
      <c r="D1344" s="2">
        <f>YEAR(C1344)</f>
        <v>2017</v>
      </c>
      <c r="E1344">
        <v>380000</v>
      </c>
      <c r="F1344" t="s">
        <v>85</v>
      </c>
      <c r="G1344">
        <v>1961</v>
      </c>
      <c r="H1344">
        <v>4555</v>
      </c>
      <c r="I1344" t="s">
        <v>117</v>
      </c>
      <c r="J1344">
        <v>76</v>
      </c>
      <c r="K1344">
        <v>60076</v>
      </c>
      <c r="L1344">
        <v>1618</v>
      </c>
      <c r="M1344">
        <v>8</v>
      </c>
      <c r="N1344">
        <v>2</v>
      </c>
      <c r="O1344">
        <v>1</v>
      </c>
      <c r="P1344" t="s">
        <v>79</v>
      </c>
      <c r="Q1344">
        <v>4</v>
      </c>
      <c r="R1344">
        <v>0</v>
      </c>
      <c r="S1344" t="s">
        <v>21</v>
      </c>
      <c r="T1344">
        <v>2</v>
      </c>
      <c r="U1344">
        <v>0</v>
      </c>
    </row>
    <row r="1345" spans="1:21" x14ac:dyDescent="0.25">
      <c r="A1345">
        <v>9885306</v>
      </c>
      <c r="B1345" t="s">
        <v>15</v>
      </c>
      <c r="C1345" s="1">
        <v>43336</v>
      </c>
      <c r="D1345" s="2">
        <f>YEAR(C1345)</f>
        <v>2018</v>
      </c>
      <c r="E1345">
        <v>289000</v>
      </c>
      <c r="F1345" t="s">
        <v>85</v>
      </c>
      <c r="G1345">
        <v>1961</v>
      </c>
      <c r="H1345">
        <v>8737</v>
      </c>
      <c r="I1345" t="s">
        <v>112</v>
      </c>
      <c r="J1345">
        <v>76</v>
      </c>
      <c r="K1345">
        <v>60076</v>
      </c>
      <c r="L1345">
        <v>1502</v>
      </c>
      <c r="M1345">
        <v>8</v>
      </c>
      <c r="N1345">
        <v>2</v>
      </c>
      <c r="O1345">
        <v>0</v>
      </c>
      <c r="P1345" t="s">
        <v>79</v>
      </c>
      <c r="Q1345">
        <v>4</v>
      </c>
      <c r="R1345">
        <v>0</v>
      </c>
      <c r="S1345" t="s">
        <v>19</v>
      </c>
      <c r="T1345">
        <v>0</v>
      </c>
      <c r="U1345">
        <v>0</v>
      </c>
    </row>
    <row r="1346" spans="1:21" x14ac:dyDescent="0.25">
      <c r="A1346">
        <v>10068148</v>
      </c>
      <c r="B1346" t="s">
        <v>15</v>
      </c>
      <c r="C1346" s="1">
        <v>43402</v>
      </c>
      <c r="D1346" s="2">
        <f>YEAR(C1346)</f>
        <v>2018</v>
      </c>
      <c r="E1346">
        <v>300000</v>
      </c>
      <c r="F1346" t="s">
        <v>85</v>
      </c>
      <c r="G1346">
        <v>1961</v>
      </c>
      <c r="H1346">
        <v>8208</v>
      </c>
      <c r="I1346" t="s">
        <v>107</v>
      </c>
      <c r="J1346">
        <v>76</v>
      </c>
      <c r="K1346">
        <v>60076</v>
      </c>
      <c r="L1346">
        <v>1463</v>
      </c>
      <c r="M1346">
        <v>7</v>
      </c>
      <c r="N1346">
        <v>2</v>
      </c>
      <c r="O1346">
        <v>1</v>
      </c>
      <c r="P1346" t="s">
        <v>79</v>
      </c>
      <c r="Q1346">
        <v>3</v>
      </c>
      <c r="R1346">
        <v>0</v>
      </c>
      <c r="S1346" t="s">
        <v>21</v>
      </c>
      <c r="T1346">
        <v>2</v>
      </c>
      <c r="U1346">
        <v>0</v>
      </c>
    </row>
    <row r="1347" spans="1:21" x14ac:dyDescent="0.25">
      <c r="A1347">
        <v>9388529</v>
      </c>
      <c r="B1347" t="s">
        <v>15</v>
      </c>
      <c r="C1347" s="1">
        <v>42822</v>
      </c>
      <c r="D1347" s="2">
        <f>YEAR(C1347)</f>
        <v>2017</v>
      </c>
      <c r="E1347">
        <v>362500</v>
      </c>
      <c r="F1347" t="s">
        <v>85</v>
      </c>
      <c r="G1347">
        <v>1961</v>
      </c>
      <c r="H1347">
        <v>9339</v>
      </c>
      <c r="I1347" t="s">
        <v>123</v>
      </c>
      <c r="J1347">
        <v>76</v>
      </c>
      <c r="K1347">
        <v>60076</v>
      </c>
      <c r="L1347">
        <v>1450</v>
      </c>
      <c r="M1347">
        <v>7</v>
      </c>
      <c r="N1347">
        <v>2</v>
      </c>
      <c r="O1347">
        <v>0</v>
      </c>
      <c r="P1347" t="s">
        <v>79</v>
      </c>
      <c r="Q1347">
        <v>3</v>
      </c>
      <c r="R1347">
        <v>0</v>
      </c>
      <c r="S1347" t="s">
        <v>22</v>
      </c>
      <c r="T1347">
        <v>2</v>
      </c>
      <c r="U1347">
        <v>0</v>
      </c>
    </row>
    <row r="1348" spans="1:21" x14ac:dyDescent="0.25">
      <c r="A1348">
        <v>9747281</v>
      </c>
      <c r="B1348" t="s">
        <v>15</v>
      </c>
      <c r="C1348" s="1">
        <v>43038</v>
      </c>
      <c r="D1348" s="2">
        <f>YEAR(C1348)</f>
        <v>2017</v>
      </c>
      <c r="E1348">
        <v>315650</v>
      </c>
      <c r="F1348" t="s">
        <v>85</v>
      </c>
      <c r="G1348">
        <v>1961</v>
      </c>
      <c r="H1348">
        <v>7851</v>
      </c>
      <c r="I1348" t="s">
        <v>102</v>
      </c>
      <c r="J1348">
        <v>76</v>
      </c>
      <c r="K1348">
        <v>60076</v>
      </c>
      <c r="L1348">
        <v>1354</v>
      </c>
      <c r="M1348">
        <v>7</v>
      </c>
      <c r="N1348">
        <v>2</v>
      </c>
      <c r="O1348">
        <v>0</v>
      </c>
      <c r="P1348" t="s">
        <v>79</v>
      </c>
      <c r="Q1348">
        <v>3</v>
      </c>
      <c r="R1348">
        <v>0</v>
      </c>
      <c r="S1348" t="s">
        <v>22</v>
      </c>
      <c r="T1348">
        <v>2.5</v>
      </c>
      <c r="U1348">
        <v>0</v>
      </c>
    </row>
    <row r="1349" spans="1:21" x14ac:dyDescent="0.25">
      <c r="A1349">
        <v>9877558</v>
      </c>
      <c r="B1349" t="s">
        <v>15</v>
      </c>
      <c r="C1349" s="1">
        <v>43262</v>
      </c>
      <c r="D1349" s="2">
        <f>YEAR(C1349)</f>
        <v>2018</v>
      </c>
      <c r="E1349">
        <v>341300</v>
      </c>
      <c r="F1349" t="s">
        <v>85</v>
      </c>
      <c r="G1349">
        <v>1961</v>
      </c>
      <c r="H1349">
        <v>8304</v>
      </c>
      <c r="I1349" t="s">
        <v>107</v>
      </c>
      <c r="J1349">
        <v>76</v>
      </c>
      <c r="K1349">
        <v>60076</v>
      </c>
      <c r="L1349">
        <v>1272</v>
      </c>
      <c r="M1349">
        <v>8</v>
      </c>
      <c r="N1349">
        <v>2</v>
      </c>
      <c r="O1349">
        <v>0</v>
      </c>
      <c r="P1349" t="s">
        <v>79</v>
      </c>
      <c r="Q1349">
        <v>3</v>
      </c>
      <c r="R1349">
        <v>0</v>
      </c>
      <c r="S1349" t="s">
        <v>19</v>
      </c>
      <c r="T1349">
        <v>0</v>
      </c>
      <c r="U1349">
        <v>0</v>
      </c>
    </row>
    <row r="1350" spans="1:21" x14ac:dyDescent="0.25">
      <c r="A1350">
        <v>9926818</v>
      </c>
      <c r="B1350" t="s">
        <v>15</v>
      </c>
      <c r="C1350" s="1">
        <v>43257</v>
      </c>
      <c r="D1350" s="2">
        <f>YEAR(C1350)</f>
        <v>2018</v>
      </c>
      <c r="E1350">
        <v>505000</v>
      </c>
      <c r="F1350" t="s">
        <v>85</v>
      </c>
      <c r="G1350">
        <v>1961</v>
      </c>
      <c r="H1350">
        <v>2101</v>
      </c>
      <c r="I1350" t="s">
        <v>142</v>
      </c>
      <c r="J1350">
        <v>62</v>
      </c>
      <c r="K1350">
        <v>60062</v>
      </c>
      <c r="L1350">
        <v>2640</v>
      </c>
      <c r="M1350">
        <v>10</v>
      </c>
      <c r="N1350">
        <v>2</v>
      </c>
      <c r="O1350">
        <v>1</v>
      </c>
      <c r="P1350" t="s">
        <v>79</v>
      </c>
      <c r="Q1350">
        <v>5</v>
      </c>
      <c r="R1350">
        <v>0</v>
      </c>
      <c r="S1350" t="s">
        <v>22</v>
      </c>
      <c r="T1350">
        <v>2.5</v>
      </c>
      <c r="U1350">
        <v>0</v>
      </c>
    </row>
    <row r="1351" spans="1:21" x14ac:dyDescent="0.25">
      <c r="A1351">
        <v>9313473</v>
      </c>
      <c r="B1351" t="s">
        <v>15</v>
      </c>
      <c r="C1351" s="1">
        <v>42916</v>
      </c>
      <c r="D1351" s="2">
        <f>YEAR(C1351)</f>
        <v>2017</v>
      </c>
      <c r="E1351">
        <v>450000</v>
      </c>
      <c r="F1351" t="s">
        <v>85</v>
      </c>
      <c r="G1351">
        <v>1961</v>
      </c>
      <c r="H1351">
        <v>3545</v>
      </c>
      <c r="I1351" t="s">
        <v>246</v>
      </c>
      <c r="J1351">
        <v>62</v>
      </c>
      <c r="K1351">
        <v>60062</v>
      </c>
      <c r="L1351">
        <v>2038</v>
      </c>
      <c r="M1351">
        <v>9</v>
      </c>
      <c r="N1351">
        <v>3</v>
      </c>
      <c r="O1351">
        <v>0</v>
      </c>
      <c r="P1351" t="s">
        <v>79</v>
      </c>
      <c r="Q1351">
        <v>5</v>
      </c>
      <c r="R1351">
        <v>0</v>
      </c>
      <c r="S1351" t="s">
        <v>21</v>
      </c>
      <c r="T1351">
        <v>2</v>
      </c>
      <c r="U1351">
        <v>0</v>
      </c>
    </row>
    <row r="1352" spans="1:21" x14ac:dyDescent="0.25">
      <c r="A1352">
        <v>9561257</v>
      </c>
      <c r="B1352" t="s">
        <v>15</v>
      </c>
      <c r="C1352" s="1">
        <v>42859</v>
      </c>
      <c r="D1352" s="2">
        <f>YEAR(C1352)</f>
        <v>2017</v>
      </c>
      <c r="E1352">
        <v>302000</v>
      </c>
      <c r="F1352" t="s">
        <v>85</v>
      </c>
      <c r="G1352">
        <v>1961</v>
      </c>
      <c r="H1352">
        <v>440</v>
      </c>
      <c r="I1352" t="s">
        <v>489</v>
      </c>
      <c r="J1352">
        <v>62</v>
      </c>
      <c r="K1352">
        <v>60062</v>
      </c>
      <c r="L1352">
        <v>1854</v>
      </c>
      <c r="M1352">
        <v>9</v>
      </c>
      <c r="N1352">
        <v>2</v>
      </c>
      <c r="O1352">
        <v>1</v>
      </c>
      <c r="P1352" t="s">
        <v>79</v>
      </c>
      <c r="Q1352">
        <v>4</v>
      </c>
      <c r="R1352">
        <v>0</v>
      </c>
      <c r="S1352" t="s">
        <v>22</v>
      </c>
      <c r="T1352">
        <v>2</v>
      </c>
      <c r="U1352">
        <v>0</v>
      </c>
    </row>
    <row r="1353" spans="1:21" x14ac:dyDescent="0.25">
      <c r="A1353">
        <v>9732499</v>
      </c>
      <c r="B1353" t="s">
        <v>15</v>
      </c>
      <c r="C1353" s="1">
        <v>43000</v>
      </c>
      <c r="D1353" s="2">
        <f>YEAR(C1353)</f>
        <v>2017</v>
      </c>
      <c r="E1353">
        <v>225000</v>
      </c>
      <c r="F1353" t="s">
        <v>85</v>
      </c>
      <c r="G1353">
        <v>1961</v>
      </c>
      <c r="H1353">
        <v>1684</v>
      </c>
      <c r="I1353" t="s">
        <v>490</v>
      </c>
      <c r="J1353">
        <v>62</v>
      </c>
      <c r="K1353">
        <v>60062</v>
      </c>
      <c r="L1353">
        <v>1247</v>
      </c>
      <c r="M1353">
        <v>9</v>
      </c>
      <c r="N1353">
        <v>1</v>
      </c>
      <c r="O1353">
        <v>1</v>
      </c>
      <c r="P1353" t="s">
        <v>79</v>
      </c>
      <c r="Q1353">
        <v>3</v>
      </c>
      <c r="R1353">
        <v>0</v>
      </c>
      <c r="S1353" t="s">
        <v>21</v>
      </c>
      <c r="T1353">
        <v>1</v>
      </c>
      <c r="U1353">
        <v>0</v>
      </c>
    </row>
    <row r="1354" spans="1:21" x14ac:dyDescent="0.25">
      <c r="A1354">
        <v>9598963</v>
      </c>
      <c r="B1354" t="s">
        <v>15</v>
      </c>
      <c r="C1354" s="1">
        <v>42937</v>
      </c>
      <c r="D1354" s="2">
        <f>YEAR(C1354)</f>
        <v>2017</v>
      </c>
      <c r="E1354">
        <v>397500</v>
      </c>
      <c r="F1354" t="s">
        <v>85</v>
      </c>
      <c r="G1354">
        <v>1962</v>
      </c>
      <c r="H1354">
        <v>8052</v>
      </c>
      <c r="I1354" t="s">
        <v>152</v>
      </c>
      <c r="J1354">
        <v>76</v>
      </c>
      <c r="K1354">
        <v>60076</v>
      </c>
      <c r="L1354">
        <v>2500</v>
      </c>
      <c r="M1354">
        <v>9</v>
      </c>
      <c r="N1354">
        <v>2</v>
      </c>
      <c r="O1354">
        <v>0</v>
      </c>
      <c r="P1354" t="s">
        <v>79</v>
      </c>
      <c r="Q1354">
        <v>4</v>
      </c>
      <c r="R1354">
        <v>0</v>
      </c>
      <c r="S1354" t="s">
        <v>22</v>
      </c>
      <c r="T1354">
        <v>2</v>
      </c>
      <c r="U1354">
        <v>0</v>
      </c>
    </row>
    <row r="1355" spans="1:21" x14ac:dyDescent="0.25">
      <c r="A1355">
        <v>10005919</v>
      </c>
      <c r="B1355" t="s">
        <v>15</v>
      </c>
      <c r="C1355" s="1">
        <v>43326</v>
      </c>
      <c r="D1355" s="2">
        <f>YEAR(C1355)</f>
        <v>2018</v>
      </c>
      <c r="E1355">
        <v>325000</v>
      </c>
      <c r="F1355" t="s">
        <v>85</v>
      </c>
      <c r="G1355">
        <v>1962</v>
      </c>
      <c r="H1355">
        <v>8323</v>
      </c>
      <c r="I1355" t="s">
        <v>101</v>
      </c>
      <c r="J1355">
        <v>76</v>
      </c>
      <c r="K1355">
        <v>60076</v>
      </c>
      <c r="L1355">
        <v>2395</v>
      </c>
      <c r="M1355">
        <v>7</v>
      </c>
      <c r="N1355">
        <v>2</v>
      </c>
      <c r="O1355">
        <v>0</v>
      </c>
      <c r="P1355" t="s">
        <v>79</v>
      </c>
      <c r="Q1355">
        <v>3</v>
      </c>
      <c r="R1355">
        <v>0</v>
      </c>
      <c r="S1355" t="s">
        <v>19</v>
      </c>
      <c r="T1355">
        <v>0</v>
      </c>
      <c r="U1355">
        <v>0</v>
      </c>
    </row>
    <row r="1356" spans="1:21" x14ac:dyDescent="0.25">
      <c r="A1356">
        <v>9995162</v>
      </c>
      <c r="B1356" t="s">
        <v>15</v>
      </c>
      <c r="C1356" s="1">
        <v>43293</v>
      </c>
      <c r="D1356" s="2">
        <f>YEAR(C1356)</f>
        <v>2018</v>
      </c>
      <c r="E1356">
        <v>305000</v>
      </c>
      <c r="F1356" t="s">
        <v>85</v>
      </c>
      <c r="G1356">
        <v>1962</v>
      </c>
      <c r="H1356">
        <v>9614</v>
      </c>
      <c r="I1356" t="s">
        <v>101</v>
      </c>
      <c r="J1356">
        <v>76</v>
      </c>
      <c r="K1356">
        <v>60076</v>
      </c>
      <c r="L1356">
        <v>2124</v>
      </c>
      <c r="M1356">
        <v>9</v>
      </c>
      <c r="N1356">
        <v>2</v>
      </c>
      <c r="O1356">
        <v>1</v>
      </c>
      <c r="P1356" t="s">
        <v>79</v>
      </c>
      <c r="Q1356">
        <v>4</v>
      </c>
      <c r="R1356">
        <v>0</v>
      </c>
      <c r="S1356" t="s">
        <v>21</v>
      </c>
      <c r="T1356">
        <v>1</v>
      </c>
      <c r="U1356">
        <v>0</v>
      </c>
    </row>
    <row r="1357" spans="1:21" x14ac:dyDescent="0.25">
      <c r="A1357">
        <v>10146214</v>
      </c>
      <c r="B1357" t="s">
        <v>15</v>
      </c>
      <c r="C1357" s="1">
        <v>43480</v>
      </c>
      <c r="D1357" s="2">
        <f>YEAR(C1357)</f>
        <v>2019</v>
      </c>
      <c r="E1357">
        <v>455000</v>
      </c>
      <c r="F1357" t="s">
        <v>85</v>
      </c>
      <c r="G1357">
        <v>1962</v>
      </c>
      <c r="H1357">
        <v>9614</v>
      </c>
      <c r="I1357" t="s">
        <v>101</v>
      </c>
      <c r="J1357">
        <v>76</v>
      </c>
      <c r="K1357">
        <v>60076</v>
      </c>
      <c r="L1357">
        <v>2124</v>
      </c>
      <c r="M1357">
        <v>8</v>
      </c>
      <c r="N1357">
        <v>2</v>
      </c>
      <c r="O1357">
        <v>1</v>
      </c>
      <c r="P1357" t="s">
        <v>79</v>
      </c>
      <c r="Q1357">
        <v>4</v>
      </c>
      <c r="R1357">
        <v>0</v>
      </c>
      <c r="S1357" t="s">
        <v>21</v>
      </c>
      <c r="T1357">
        <v>1</v>
      </c>
      <c r="U1357">
        <v>0</v>
      </c>
    </row>
    <row r="1358" spans="1:21" x14ac:dyDescent="0.25">
      <c r="A1358">
        <v>10060920</v>
      </c>
      <c r="B1358" t="s">
        <v>15</v>
      </c>
      <c r="C1358" s="1">
        <v>43448</v>
      </c>
      <c r="D1358" s="2">
        <f>YEAR(C1358)</f>
        <v>2018</v>
      </c>
      <c r="E1358">
        <v>400000</v>
      </c>
      <c r="F1358" t="s">
        <v>85</v>
      </c>
      <c r="G1358">
        <v>1962</v>
      </c>
      <c r="H1358">
        <v>8209</v>
      </c>
      <c r="I1358" t="s">
        <v>101</v>
      </c>
      <c r="J1358">
        <v>76</v>
      </c>
      <c r="K1358">
        <v>60076</v>
      </c>
      <c r="L1358">
        <v>2000</v>
      </c>
      <c r="M1358">
        <v>7</v>
      </c>
      <c r="N1358">
        <v>2</v>
      </c>
      <c r="O1358">
        <v>1</v>
      </c>
      <c r="P1358" t="s">
        <v>79</v>
      </c>
      <c r="Q1358">
        <v>3</v>
      </c>
      <c r="R1358">
        <v>0</v>
      </c>
      <c r="S1358" t="s">
        <v>22</v>
      </c>
      <c r="T1358">
        <v>2</v>
      </c>
      <c r="U1358">
        <v>0</v>
      </c>
    </row>
    <row r="1359" spans="1:21" x14ac:dyDescent="0.25">
      <c r="A1359">
        <v>9696440</v>
      </c>
      <c r="B1359" t="s">
        <v>15</v>
      </c>
      <c r="C1359" s="1">
        <v>42989</v>
      </c>
      <c r="D1359" s="2">
        <f>YEAR(C1359)</f>
        <v>2017</v>
      </c>
      <c r="E1359">
        <v>335000</v>
      </c>
      <c r="F1359" t="s">
        <v>85</v>
      </c>
      <c r="G1359">
        <v>1962</v>
      </c>
      <c r="H1359">
        <v>9248</v>
      </c>
      <c r="I1359" t="s">
        <v>26</v>
      </c>
      <c r="J1359">
        <v>76</v>
      </c>
      <c r="K1359">
        <v>60077</v>
      </c>
      <c r="L1359">
        <v>1380</v>
      </c>
      <c r="M1359">
        <v>7</v>
      </c>
      <c r="N1359">
        <v>2</v>
      </c>
      <c r="O1359">
        <v>0</v>
      </c>
      <c r="P1359" t="s">
        <v>79</v>
      </c>
      <c r="Q1359">
        <v>3</v>
      </c>
      <c r="R1359">
        <v>0</v>
      </c>
      <c r="S1359" t="s">
        <v>22</v>
      </c>
      <c r="T1359">
        <v>2</v>
      </c>
      <c r="U1359">
        <v>0</v>
      </c>
    </row>
    <row r="1360" spans="1:21" x14ac:dyDescent="0.25">
      <c r="A1360">
        <v>10007710</v>
      </c>
      <c r="B1360" t="s">
        <v>15</v>
      </c>
      <c r="C1360" s="1">
        <v>43343</v>
      </c>
      <c r="D1360" s="2">
        <f>YEAR(C1360)</f>
        <v>2018</v>
      </c>
      <c r="E1360">
        <v>317500</v>
      </c>
      <c r="F1360" t="s">
        <v>85</v>
      </c>
      <c r="G1360">
        <v>1962</v>
      </c>
      <c r="H1360">
        <v>8915</v>
      </c>
      <c r="I1360" t="s">
        <v>130</v>
      </c>
      <c r="J1360">
        <v>76</v>
      </c>
      <c r="K1360">
        <v>60076</v>
      </c>
      <c r="L1360">
        <v>1375</v>
      </c>
      <c r="M1360">
        <v>7</v>
      </c>
      <c r="N1360">
        <v>2</v>
      </c>
      <c r="O1360">
        <v>0</v>
      </c>
      <c r="P1360" t="s">
        <v>79</v>
      </c>
      <c r="Q1360">
        <v>3</v>
      </c>
      <c r="R1360">
        <v>0</v>
      </c>
      <c r="S1360" t="s">
        <v>21</v>
      </c>
      <c r="T1360">
        <v>2.5</v>
      </c>
      <c r="U1360">
        <v>0</v>
      </c>
    </row>
    <row r="1361" spans="1:21" x14ac:dyDescent="0.25">
      <c r="A1361">
        <v>10060623</v>
      </c>
      <c r="B1361" t="s">
        <v>15</v>
      </c>
      <c r="C1361" s="1">
        <v>43397</v>
      </c>
      <c r="D1361" s="2">
        <f>YEAR(C1361)</f>
        <v>2018</v>
      </c>
      <c r="E1361">
        <v>325000</v>
      </c>
      <c r="F1361" t="s">
        <v>85</v>
      </c>
      <c r="G1361">
        <v>1962</v>
      </c>
      <c r="H1361">
        <v>4920</v>
      </c>
      <c r="I1361" t="s">
        <v>186</v>
      </c>
      <c r="J1361">
        <v>76</v>
      </c>
      <c r="K1361">
        <v>60077</v>
      </c>
      <c r="L1361">
        <v>1365</v>
      </c>
      <c r="M1361">
        <v>7</v>
      </c>
      <c r="N1361">
        <v>2</v>
      </c>
      <c r="O1361">
        <v>0</v>
      </c>
      <c r="P1361" t="s">
        <v>79</v>
      </c>
      <c r="Q1361">
        <v>3</v>
      </c>
      <c r="R1361">
        <v>0</v>
      </c>
      <c r="S1361" t="s">
        <v>21</v>
      </c>
      <c r="T1361">
        <v>2</v>
      </c>
      <c r="U1361">
        <v>0</v>
      </c>
    </row>
    <row r="1362" spans="1:21" x14ac:dyDescent="0.25">
      <c r="A1362">
        <v>9510518</v>
      </c>
      <c r="B1362" t="s">
        <v>15</v>
      </c>
      <c r="C1362" s="1">
        <v>42842</v>
      </c>
      <c r="D1362" s="2">
        <f>YEAR(C1362)</f>
        <v>2017</v>
      </c>
      <c r="E1362">
        <v>375000</v>
      </c>
      <c r="F1362" t="s">
        <v>85</v>
      </c>
      <c r="G1362">
        <v>1962</v>
      </c>
      <c r="H1362">
        <v>7655</v>
      </c>
      <c r="I1362" t="s">
        <v>105</v>
      </c>
      <c r="J1362">
        <v>76</v>
      </c>
      <c r="K1362">
        <v>60076</v>
      </c>
      <c r="L1362">
        <v>1350</v>
      </c>
      <c r="M1362">
        <v>8</v>
      </c>
      <c r="N1362">
        <v>2</v>
      </c>
      <c r="O1362">
        <v>0</v>
      </c>
      <c r="P1362" t="s">
        <v>79</v>
      </c>
      <c r="Q1362">
        <v>4</v>
      </c>
      <c r="R1362">
        <v>0</v>
      </c>
      <c r="S1362" t="s">
        <v>22</v>
      </c>
      <c r="T1362">
        <v>2</v>
      </c>
      <c r="U1362">
        <v>0</v>
      </c>
    </row>
    <row r="1363" spans="1:21" x14ac:dyDescent="0.25">
      <c r="A1363">
        <v>9814443</v>
      </c>
      <c r="B1363" t="s">
        <v>15</v>
      </c>
      <c r="C1363" s="1">
        <v>43131</v>
      </c>
      <c r="D1363" s="2">
        <f>YEAR(C1363)</f>
        <v>2018</v>
      </c>
      <c r="E1363">
        <v>324900</v>
      </c>
      <c r="F1363" t="s">
        <v>85</v>
      </c>
      <c r="G1363">
        <v>1962</v>
      </c>
      <c r="H1363">
        <v>8814</v>
      </c>
      <c r="I1363" t="s">
        <v>202</v>
      </c>
      <c r="J1363">
        <v>76</v>
      </c>
      <c r="K1363">
        <v>60076</v>
      </c>
      <c r="L1363">
        <v>1344</v>
      </c>
      <c r="M1363">
        <v>7</v>
      </c>
      <c r="N1363">
        <v>2</v>
      </c>
      <c r="O1363">
        <v>0</v>
      </c>
      <c r="P1363" t="s">
        <v>79</v>
      </c>
      <c r="Q1363">
        <v>3</v>
      </c>
      <c r="R1363">
        <v>0</v>
      </c>
      <c r="S1363" t="s">
        <v>22</v>
      </c>
      <c r="T1363">
        <v>2.5</v>
      </c>
      <c r="U1363">
        <v>0</v>
      </c>
    </row>
    <row r="1364" spans="1:21" x14ac:dyDescent="0.25">
      <c r="A1364">
        <v>9740619</v>
      </c>
      <c r="B1364" t="s">
        <v>15</v>
      </c>
      <c r="C1364" s="1">
        <v>43045</v>
      </c>
      <c r="D1364" s="2">
        <f>YEAR(C1364)</f>
        <v>2017</v>
      </c>
      <c r="E1364">
        <v>295000</v>
      </c>
      <c r="F1364" t="s">
        <v>85</v>
      </c>
      <c r="G1364">
        <v>1962</v>
      </c>
      <c r="H1364">
        <v>5330</v>
      </c>
      <c r="I1364" t="s">
        <v>221</v>
      </c>
      <c r="J1364">
        <v>76</v>
      </c>
      <c r="K1364">
        <v>60077</v>
      </c>
      <c r="L1364">
        <v>1309</v>
      </c>
      <c r="M1364">
        <v>7</v>
      </c>
      <c r="N1364">
        <v>2</v>
      </c>
      <c r="O1364">
        <v>0</v>
      </c>
      <c r="P1364" t="s">
        <v>79</v>
      </c>
      <c r="Q1364">
        <v>3</v>
      </c>
      <c r="R1364">
        <v>0</v>
      </c>
      <c r="S1364" t="s">
        <v>22</v>
      </c>
      <c r="T1364">
        <v>2</v>
      </c>
      <c r="U1364">
        <v>0</v>
      </c>
    </row>
    <row r="1365" spans="1:21" x14ac:dyDescent="0.25">
      <c r="A1365">
        <v>9481731</v>
      </c>
      <c r="B1365" t="s">
        <v>15</v>
      </c>
      <c r="C1365" s="1">
        <v>42807</v>
      </c>
      <c r="D1365" s="2">
        <f>YEAR(C1365)</f>
        <v>2017</v>
      </c>
      <c r="E1365">
        <v>567000</v>
      </c>
      <c r="F1365" t="s">
        <v>85</v>
      </c>
      <c r="G1365">
        <v>1962</v>
      </c>
      <c r="H1365">
        <v>470</v>
      </c>
      <c r="I1365" t="s">
        <v>491</v>
      </c>
      <c r="J1365">
        <v>62</v>
      </c>
      <c r="K1365">
        <v>60062</v>
      </c>
      <c r="L1365">
        <v>2970</v>
      </c>
      <c r="M1365">
        <v>10</v>
      </c>
      <c r="N1365">
        <v>4</v>
      </c>
      <c r="O1365">
        <v>1</v>
      </c>
      <c r="P1365" t="s">
        <v>79</v>
      </c>
      <c r="Q1365">
        <v>5</v>
      </c>
      <c r="R1365">
        <v>0</v>
      </c>
      <c r="S1365" t="s">
        <v>22</v>
      </c>
      <c r="T1365">
        <v>2.5</v>
      </c>
      <c r="U1365">
        <v>0</v>
      </c>
    </row>
    <row r="1366" spans="1:21" x14ac:dyDescent="0.25">
      <c r="A1366">
        <v>9734693</v>
      </c>
      <c r="B1366" t="s">
        <v>15</v>
      </c>
      <c r="C1366" s="1">
        <v>43066</v>
      </c>
      <c r="D1366" s="2">
        <f>YEAR(C1366)</f>
        <v>2017</v>
      </c>
      <c r="E1366">
        <v>500000</v>
      </c>
      <c r="F1366" t="s">
        <v>85</v>
      </c>
      <c r="G1366">
        <v>1962</v>
      </c>
      <c r="H1366">
        <v>3445</v>
      </c>
      <c r="I1366" t="s">
        <v>249</v>
      </c>
      <c r="J1366">
        <v>62</v>
      </c>
      <c r="K1366">
        <v>60062</v>
      </c>
      <c r="L1366">
        <v>2249</v>
      </c>
      <c r="M1366">
        <v>9</v>
      </c>
      <c r="N1366">
        <v>3</v>
      </c>
      <c r="O1366">
        <v>0</v>
      </c>
      <c r="P1366" t="s">
        <v>79</v>
      </c>
      <c r="Q1366">
        <v>4</v>
      </c>
      <c r="R1366">
        <v>0</v>
      </c>
      <c r="S1366" t="s">
        <v>21</v>
      </c>
      <c r="T1366">
        <v>2</v>
      </c>
      <c r="U1366">
        <v>0</v>
      </c>
    </row>
    <row r="1367" spans="1:21" x14ac:dyDescent="0.25">
      <c r="A1367">
        <v>9628084</v>
      </c>
      <c r="B1367" t="s">
        <v>15</v>
      </c>
      <c r="C1367" s="1">
        <v>42916</v>
      </c>
      <c r="D1367" s="2">
        <f>YEAR(C1367)</f>
        <v>2017</v>
      </c>
      <c r="E1367">
        <v>407500</v>
      </c>
      <c r="F1367" t="s">
        <v>85</v>
      </c>
      <c r="G1367">
        <v>1962</v>
      </c>
      <c r="H1367">
        <v>3795</v>
      </c>
      <c r="I1367" t="s">
        <v>273</v>
      </c>
      <c r="J1367">
        <v>62</v>
      </c>
      <c r="K1367">
        <v>60062</v>
      </c>
      <c r="L1367">
        <v>1756</v>
      </c>
      <c r="M1367">
        <v>9</v>
      </c>
      <c r="N1367">
        <v>2</v>
      </c>
      <c r="O1367">
        <v>1</v>
      </c>
      <c r="P1367" t="s">
        <v>79</v>
      </c>
      <c r="Q1367">
        <v>5</v>
      </c>
      <c r="R1367">
        <v>0</v>
      </c>
      <c r="S1367" t="s">
        <v>22</v>
      </c>
      <c r="T1367">
        <v>2</v>
      </c>
      <c r="U1367">
        <v>0</v>
      </c>
    </row>
    <row r="1368" spans="1:21" x14ac:dyDescent="0.25">
      <c r="A1368">
        <v>9992989</v>
      </c>
      <c r="B1368" t="s">
        <v>15</v>
      </c>
      <c r="C1368" s="1">
        <v>43327</v>
      </c>
      <c r="D1368" s="2">
        <f>YEAR(C1368)</f>
        <v>2018</v>
      </c>
      <c r="E1368">
        <v>335000</v>
      </c>
      <c r="F1368" t="s">
        <v>85</v>
      </c>
      <c r="G1368">
        <v>1963</v>
      </c>
      <c r="H1368">
        <v>3950</v>
      </c>
      <c r="I1368" t="s">
        <v>67</v>
      </c>
      <c r="J1368">
        <v>76</v>
      </c>
      <c r="K1368">
        <v>60076</v>
      </c>
      <c r="L1368">
        <v>2560</v>
      </c>
      <c r="M1368">
        <v>8</v>
      </c>
      <c r="N1368">
        <v>2</v>
      </c>
      <c r="O1368">
        <v>1</v>
      </c>
      <c r="P1368" t="s">
        <v>79</v>
      </c>
      <c r="Q1368">
        <v>4</v>
      </c>
      <c r="R1368">
        <v>0</v>
      </c>
      <c r="S1368" t="s">
        <v>21</v>
      </c>
      <c r="T1368">
        <v>2</v>
      </c>
      <c r="U1368">
        <v>0</v>
      </c>
    </row>
    <row r="1369" spans="1:21" x14ac:dyDescent="0.25">
      <c r="A1369">
        <v>9809127</v>
      </c>
      <c r="B1369" t="s">
        <v>15</v>
      </c>
      <c r="C1369" s="1">
        <v>43188</v>
      </c>
      <c r="D1369" s="2">
        <f>YEAR(C1369)</f>
        <v>2018</v>
      </c>
      <c r="E1369">
        <v>352000</v>
      </c>
      <c r="F1369" t="s">
        <v>85</v>
      </c>
      <c r="G1369">
        <v>1963</v>
      </c>
      <c r="H1369">
        <v>4534</v>
      </c>
      <c r="I1369" t="s">
        <v>492</v>
      </c>
      <c r="J1369">
        <v>76</v>
      </c>
      <c r="K1369">
        <v>60076</v>
      </c>
      <c r="L1369">
        <v>1428</v>
      </c>
      <c r="M1369">
        <v>7</v>
      </c>
      <c r="N1369">
        <v>2</v>
      </c>
      <c r="O1369">
        <v>0</v>
      </c>
      <c r="P1369" t="s">
        <v>79</v>
      </c>
      <c r="Q1369">
        <v>3</v>
      </c>
      <c r="R1369">
        <v>0</v>
      </c>
      <c r="S1369" t="s">
        <v>21</v>
      </c>
      <c r="T1369">
        <v>1</v>
      </c>
      <c r="U1369">
        <v>0</v>
      </c>
    </row>
    <row r="1370" spans="1:21" x14ac:dyDescent="0.25">
      <c r="A1370">
        <v>9572945</v>
      </c>
      <c r="B1370" t="s">
        <v>15</v>
      </c>
      <c r="C1370" s="1">
        <v>42895</v>
      </c>
      <c r="D1370" s="2">
        <f>YEAR(C1370)</f>
        <v>2017</v>
      </c>
      <c r="E1370">
        <v>356000</v>
      </c>
      <c r="F1370" t="s">
        <v>85</v>
      </c>
      <c r="G1370">
        <v>1963</v>
      </c>
      <c r="H1370">
        <v>4534</v>
      </c>
      <c r="I1370" t="s">
        <v>492</v>
      </c>
      <c r="J1370">
        <v>76</v>
      </c>
      <c r="K1370">
        <v>60076</v>
      </c>
      <c r="L1370">
        <v>1428</v>
      </c>
      <c r="M1370">
        <v>7</v>
      </c>
      <c r="N1370">
        <v>2</v>
      </c>
      <c r="O1370">
        <v>0</v>
      </c>
      <c r="P1370" t="s">
        <v>79</v>
      </c>
      <c r="Q1370">
        <v>3</v>
      </c>
      <c r="R1370">
        <v>0</v>
      </c>
      <c r="S1370" t="s">
        <v>21</v>
      </c>
      <c r="T1370">
        <v>1</v>
      </c>
      <c r="U1370">
        <v>0</v>
      </c>
    </row>
    <row r="1371" spans="1:21" x14ac:dyDescent="0.25">
      <c r="A1371">
        <v>9761527</v>
      </c>
      <c r="B1371" t="s">
        <v>15</v>
      </c>
      <c r="C1371" s="1">
        <v>43087</v>
      </c>
      <c r="D1371" s="2">
        <f>YEAR(C1371)</f>
        <v>2017</v>
      </c>
      <c r="E1371">
        <v>335000</v>
      </c>
      <c r="F1371" t="s">
        <v>85</v>
      </c>
      <c r="G1371">
        <v>1963</v>
      </c>
      <c r="H1371">
        <v>8807</v>
      </c>
      <c r="I1371" t="s">
        <v>105</v>
      </c>
      <c r="J1371">
        <v>76</v>
      </c>
      <c r="K1371">
        <v>60076</v>
      </c>
      <c r="L1371">
        <v>1378</v>
      </c>
      <c r="M1371">
        <v>7</v>
      </c>
      <c r="N1371">
        <v>2</v>
      </c>
      <c r="O1371">
        <v>0</v>
      </c>
      <c r="P1371" t="s">
        <v>79</v>
      </c>
      <c r="Q1371">
        <v>3</v>
      </c>
      <c r="R1371">
        <v>0</v>
      </c>
      <c r="S1371" t="s">
        <v>21</v>
      </c>
      <c r="T1371">
        <v>1</v>
      </c>
      <c r="U1371">
        <v>0</v>
      </c>
    </row>
    <row r="1372" spans="1:21" x14ac:dyDescent="0.25">
      <c r="A1372">
        <v>9739468</v>
      </c>
      <c r="B1372" t="s">
        <v>15</v>
      </c>
      <c r="C1372" s="1">
        <v>43083</v>
      </c>
      <c r="D1372" s="2">
        <f>YEAR(C1372)</f>
        <v>2017</v>
      </c>
      <c r="E1372">
        <v>270000</v>
      </c>
      <c r="F1372" t="s">
        <v>85</v>
      </c>
      <c r="G1372">
        <v>1963</v>
      </c>
      <c r="H1372">
        <v>7821</v>
      </c>
      <c r="I1372" t="s">
        <v>102</v>
      </c>
      <c r="J1372">
        <v>76</v>
      </c>
      <c r="K1372">
        <v>60076</v>
      </c>
      <c r="L1372">
        <v>1328</v>
      </c>
      <c r="M1372">
        <v>6</v>
      </c>
      <c r="N1372">
        <v>2</v>
      </c>
      <c r="O1372">
        <v>0</v>
      </c>
      <c r="P1372" t="s">
        <v>79</v>
      </c>
      <c r="Q1372">
        <v>3</v>
      </c>
      <c r="R1372">
        <v>0</v>
      </c>
      <c r="S1372" t="s">
        <v>22</v>
      </c>
      <c r="T1372">
        <v>2</v>
      </c>
      <c r="U1372">
        <v>0</v>
      </c>
    </row>
    <row r="1373" spans="1:21" x14ac:dyDescent="0.25">
      <c r="A1373">
        <v>9741917</v>
      </c>
      <c r="B1373" t="s">
        <v>15</v>
      </c>
      <c r="C1373" s="1">
        <v>43097</v>
      </c>
      <c r="D1373" s="2">
        <f>YEAR(C1373)</f>
        <v>2017</v>
      </c>
      <c r="E1373">
        <v>585000</v>
      </c>
      <c r="F1373" t="s">
        <v>85</v>
      </c>
      <c r="G1373">
        <v>1963</v>
      </c>
      <c r="H1373">
        <v>2710</v>
      </c>
      <c r="I1373" t="s">
        <v>265</v>
      </c>
      <c r="J1373">
        <v>62</v>
      </c>
      <c r="K1373">
        <v>60062</v>
      </c>
      <c r="L1373">
        <v>6899</v>
      </c>
      <c r="M1373">
        <v>10</v>
      </c>
      <c r="N1373">
        <v>3</v>
      </c>
      <c r="O1373">
        <v>1</v>
      </c>
      <c r="P1373" t="s">
        <v>79</v>
      </c>
      <c r="Q1373">
        <v>4</v>
      </c>
      <c r="R1373">
        <v>0</v>
      </c>
      <c r="S1373" t="s">
        <v>21</v>
      </c>
      <c r="T1373">
        <v>2</v>
      </c>
      <c r="U1373">
        <v>0</v>
      </c>
    </row>
    <row r="1374" spans="1:21" x14ac:dyDescent="0.25">
      <c r="A1374">
        <v>9632775</v>
      </c>
      <c r="B1374" t="s">
        <v>15</v>
      </c>
      <c r="C1374" s="1">
        <v>43068</v>
      </c>
      <c r="D1374" s="2">
        <f>YEAR(C1374)</f>
        <v>2017</v>
      </c>
      <c r="E1374">
        <v>355000</v>
      </c>
      <c r="F1374" t="s">
        <v>85</v>
      </c>
      <c r="G1374">
        <v>1964</v>
      </c>
      <c r="H1374">
        <v>4115</v>
      </c>
      <c r="I1374" t="s">
        <v>67</v>
      </c>
      <c r="J1374">
        <v>76</v>
      </c>
      <c r="K1374">
        <v>60076</v>
      </c>
      <c r="L1374">
        <v>2883</v>
      </c>
      <c r="M1374">
        <v>8</v>
      </c>
      <c r="N1374">
        <v>2</v>
      </c>
      <c r="O1374">
        <v>1</v>
      </c>
      <c r="P1374" t="s">
        <v>79</v>
      </c>
      <c r="Q1374">
        <v>4</v>
      </c>
      <c r="R1374">
        <v>0</v>
      </c>
      <c r="S1374" t="s">
        <v>21</v>
      </c>
      <c r="T1374">
        <v>1</v>
      </c>
      <c r="U1374">
        <v>0</v>
      </c>
    </row>
    <row r="1375" spans="1:21" x14ac:dyDescent="0.25">
      <c r="A1375">
        <v>9875844</v>
      </c>
      <c r="B1375" t="s">
        <v>15</v>
      </c>
      <c r="C1375" s="1">
        <v>43228</v>
      </c>
      <c r="D1375" s="2">
        <f>YEAR(C1375)</f>
        <v>2018</v>
      </c>
      <c r="E1375">
        <v>478000</v>
      </c>
      <c r="F1375" t="s">
        <v>85</v>
      </c>
      <c r="G1375">
        <v>1964</v>
      </c>
      <c r="H1375">
        <v>7901</v>
      </c>
      <c r="I1375" t="s">
        <v>101</v>
      </c>
      <c r="J1375">
        <v>76</v>
      </c>
      <c r="K1375">
        <v>60076</v>
      </c>
      <c r="L1375">
        <v>2590</v>
      </c>
      <c r="M1375">
        <v>9</v>
      </c>
      <c r="N1375">
        <v>3</v>
      </c>
      <c r="O1375">
        <v>1</v>
      </c>
      <c r="P1375" t="s">
        <v>79</v>
      </c>
      <c r="Q1375">
        <v>4</v>
      </c>
      <c r="R1375">
        <v>0</v>
      </c>
      <c r="S1375" t="s">
        <v>21</v>
      </c>
      <c r="T1375">
        <v>2.5</v>
      </c>
      <c r="U1375">
        <v>0</v>
      </c>
    </row>
    <row r="1376" spans="1:21" x14ac:dyDescent="0.25">
      <c r="A1376">
        <v>9397146</v>
      </c>
      <c r="B1376" t="s">
        <v>15</v>
      </c>
      <c r="C1376" s="1">
        <v>42815</v>
      </c>
      <c r="D1376" s="2">
        <f>YEAR(C1376)</f>
        <v>2017</v>
      </c>
      <c r="E1376">
        <v>305000</v>
      </c>
      <c r="F1376" t="s">
        <v>85</v>
      </c>
      <c r="G1376">
        <v>1964</v>
      </c>
      <c r="H1376">
        <v>5220</v>
      </c>
      <c r="I1376" t="s">
        <v>133</v>
      </c>
      <c r="J1376">
        <v>76</v>
      </c>
      <c r="K1376">
        <v>60077</v>
      </c>
      <c r="L1376">
        <v>2082</v>
      </c>
      <c r="M1376">
        <v>7</v>
      </c>
      <c r="N1376">
        <v>2</v>
      </c>
      <c r="O1376">
        <v>0</v>
      </c>
      <c r="P1376" t="s">
        <v>79</v>
      </c>
      <c r="Q1376">
        <v>3</v>
      </c>
      <c r="R1376">
        <v>0</v>
      </c>
      <c r="S1376" t="s">
        <v>19</v>
      </c>
      <c r="T1376">
        <v>0</v>
      </c>
      <c r="U1376">
        <v>0</v>
      </c>
    </row>
    <row r="1377" spans="1:21" x14ac:dyDescent="0.25">
      <c r="A1377">
        <v>9988751</v>
      </c>
      <c r="B1377" t="s">
        <v>15</v>
      </c>
      <c r="C1377" s="1">
        <v>43341</v>
      </c>
      <c r="D1377" s="2">
        <f>YEAR(C1377)</f>
        <v>2018</v>
      </c>
      <c r="E1377">
        <v>460000</v>
      </c>
      <c r="F1377" t="s">
        <v>85</v>
      </c>
      <c r="G1377">
        <v>1964</v>
      </c>
      <c r="H1377">
        <v>3605</v>
      </c>
      <c r="I1377" t="s">
        <v>154</v>
      </c>
      <c r="J1377">
        <v>76</v>
      </c>
      <c r="K1377">
        <v>60076</v>
      </c>
      <c r="L1377">
        <v>1693</v>
      </c>
      <c r="M1377">
        <v>10</v>
      </c>
      <c r="N1377">
        <v>3</v>
      </c>
      <c r="O1377">
        <v>1</v>
      </c>
      <c r="P1377" t="s">
        <v>79</v>
      </c>
      <c r="Q1377">
        <v>3</v>
      </c>
      <c r="R1377">
        <v>0</v>
      </c>
      <c r="S1377" t="s">
        <v>21</v>
      </c>
      <c r="T1377">
        <v>1</v>
      </c>
      <c r="U1377">
        <v>0</v>
      </c>
    </row>
    <row r="1378" spans="1:21" x14ac:dyDescent="0.25">
      <c r="A1378">
        <v>9286453</v>
      </c>
      <c r="B1378" t="s">
        <v>15</v>
      </c>
      <c r="C1378" s="1">
        <v>42948</v>
      </c>
      <c r="D1378" s="2">
        <f>YEAR(C1378)</f>
        <v>2017</v>
      </c>
      <c r="E1378">
        <v>345000</v>
      </c>
      <c r="F1378" t="s">
        <v>85</v>
      </c>
      <c r="G1378">
        <v>1964</v>
      </c>
      <c r="H1378">
        <v>4100</v>
      </c>
      <c r="I1378" t="s">
        <v>493</v>
      </c>
      <c r="J1378">
        <v>76</v>
      </c>
      <c r="K1378">
        <v>60076</v>
      </c>
      <c r="L1378">
        <v>1600</v>
      </c>
      <c r="M1378">
        <v>8</v>
      </c>
      <c r="N1378">
        <v>2</v>
      </c>
      <c r="O1378">
        <v>0</v>
      </c>
      <c r="P1378" t="s">
        <v>79</v>
      </c>
      <c r="Q1378">
        <v>3</v>
      </c>
      <c r="R1378">
        <v>1</v>
      </c>
      <c r="S1378" t="s">
        <v>21</v>
      </c>
      <c r="T1378">
        <v>2.5</v>
      </c>
      <c r="U1378">
        <v>0</v>
      </c>
    </row>
    <row r="1379" spans="1:21" x14ac:dyDescent="0.25">
      <c r="A1379">
        <v>9493880</v>
      </c>
      <c r="B1379" t="s">
        <v>15</v>
      </c>
      <c r="C1379" s="1">
        <v>42835</v>
      </c>
      <c r="D1379" s="2">
        <f>YEAR(C1379)</f>
        <v>2017</v>
      </c>
      <c r="E1379">
        <v>390000</v>
      </c>
      <c r="F1379" t="s">
        <v>85</v>
      </c>
      <c r="G1379">
        <v>1964</v>
      </c>
      <c r="H1379">
        <v>5155</v>
      </c>
      <c r="I1379" t="s">
        <v>122</v>
      </c>
      <c r="J1379">
        <v>76</v>
      </c>
      <c r="K1379">
        <v>60077</v>
      </c>
      <c r="L1379">
        <v>1484</v>
      </c>
      <c r="M1379">
        <v>8</v>
      </c>
      <c r="N1379">
        <v>2</v>
      </c>
      <c r="O1379">
        <v>1</v>
      </c>
      <c r="P1379" t="s">
        <v>79</v>
      </c>
      <c r="Q1379">
        <v>3</v>
      </c>
      <c r="R1379">
        <v>0</v>
      </c>
      <c r="S1379" t="s">
        <v>21</v>
      </c>
      <c r="T1379">
        <v>2.5</v>
      </c>
      <c r="U1379">
        <v>0</v>
      </c>
    </row>
    <row r="1380" spans="1:21" x14ac:dyDescent="0.25">
      <c r="A1380">
        <v>9696580</v>
      </c>
      <c r="B1380" t="s">
        <v>15</v>
      </c>
      <c r="C1380" s="1">
        <v>43014</v>
      </c>
      <c r="D1380" s="2">
        <f>YEAR(C1380)</f>
        <v>2017</v>
      </c>
      <c r="E1380">
        <v>310000</v>
      </c>
      <c r="F1380" t="s">
        <v>85</v>
      </c>
      <c r="G1380">
        <v>1964</v>
      </c>
      <c r="H1380">
        <v>7710</v>
      </c>
      <c r="I1380" t="s">
        <v>101</v>
      </c>
      <c r="J1380">
        <v>76</v>
      </c>
      <c r="K1380">
        <v>60076</v>
      </c>
      <c r="L1380">
        <v>1456</v>
      </c>
      <c r="M1380">
        <v>8</v>
      </c>
      <c r="N1380">
        <v>2</v>
      </c>
      <c r="O1380">
        <v>0</v>
      </c>
      <c r="P1380" t="s">
        <v>79</v>
      </c>
      <c r="Q1380">
        <v>3</v>
      </c>
      <c r="R1380">
        <v>0</v>
      </c>
      <c r="S1380" t="s">
        <v>19</v>
      </c>
      <c r="T1380">
        <v>0</v>
      </c>
      <c r="U1380">
        <v>0</v>
      </c>
    </row>
    <row r="1381" spans="1:21" x14ac:dyDescent="0.25">
      <c r="A1381">
        <v>9943035</v>
      </c>
      <c r="B1381" t="s">
        <v>15</v>
      </c>
      <c r="C1381" s="1">
        <v>43300</v>
      </c>
      <c r="D1381" s="2">
        <f>YEAR(C1381)</f>
        <v>2018</v>
      </c>
      <c r="E1381">
        <v>319000</v>
      </c>
      <c r="F1381" t="s">
        <v>85</v>
      </c>
      <c r="G1381">
        <v>1964</v>
      </c>
      <c r="H1381">
        <v>9751</v>
      </c>
      <c r="I1381" t="s">
        <v>112</v>
      </c>
      <c r="J1381">
        <v>76</v>
      </c>
      <c r="K1381">
        <v>60076</v>
      </c>
      <c r="L1381">
        <v>1400</v>
      </c>
      <c r="M1381">
        <v>7</v>
      </c>
      <c r="N1381">
        <v>1</v>
      </c>
      <c r="O1381">
        <v>1</v>
      </c>
      <c r="P1381" t="s">
        <v>79</v>
      </c>
      <c r="Q1381">
        <v>3</v>
      </c>
      <c r="R1381">
        <v>0</v>
      </c>
      <c r="S1381" t="s">
        <v>21</v>
      </c>
      <c r="T1381">
        <v>1</v>
      </c>
      <c r="U1381">
        <v>0</v>
      </c>
    </row>
    <row r="1382" spans="1:21" x14ac:dyDescent="0.25">
      <c r="A1382">
        <v>9608377</v>
      </c>
      <c r="B1382" t="s">
        <v>15</v>
      </c>
      <c r="C1382" s="1">
        <v>42901</v>
      </c>
      <c r="D1382" s="2">
        <f>YEAR(C1382)</f>
        <v>2017</v>
      </c>
      <c r="E1382">
        <v>360000</v>
      </c>
      <c r="F1382" t="s">
        <v>85</v>
      </c>
      <c r="G1382">
        <v>1964</v>
      </c>
      <c r="H1382">
        <v>8150</v>
      </c>
      <c r="I1382" t="s">
        <v>135</v>
      </c>
      <c r="J1382">
        <v>76</v>
      </c>
      <c r="K1382">
        <v>60076</v>
      </c>
      <c r="L1382">
        <v>1400</v>
      </c>
      <c r="M1382">
        <v>7</v>
      </c>
      <c r="N1382">
        <v>2</v>
      </c>
      <c r="O1382">
        <v>0</v>
      </c>
      <c r="P1382" t="s">
        <v>79</v>
      </c>
      <c r="Q1382">
        <v>3</v>
      </c>
      <c r="R1382">
        <v>0</v>
      </c>
      <c r="S1382" t="s">
        <v>22</v>
      </c>
      <c r="T1382">
        <v>2</v>
      </c>
      <c r="U1382">
        <v>0</v>
      </c>
    </row>
    <row r="1383" spans="1:21" x14ac:dyDescent="0.25">
      <c r="A1383">
        <v>9888620</v>
      </c>
      <c r="B1383" t="s">
        <v>15</v>
      </c>
      <c r="C1383" s="1">
        <v>43350</v>
      </c>
      <c r="D1383" s="2">
        <f>YEAR(C1383)</f>
        <v>2018</v>
      </c>
      <c r="E1383">
        <v>280000</v>
      </c>
      <c r="F1383" t="s">
        <v>85</v>
      </c>
      <c r="G1383">
        <v>1964</v>
      </c>
      <c r="H1383">
        <v>9033</v>
      </c>
      <c r="I1383" t="s">
        <v>130</v>
      </c>
      <c r="J1383">
        <v>76</v>
      </c>
      <c r="K1383">
        <v>60076</v>
      </c>
      <c r="L1383">
        <v>1325</v>
      </c>
      <c r="M1383">
        <v>7</v>
      </c>
      <c r="N1383">
        <v>2</v>
      </c>
      <c r="O1383">
        <v>1</v>
      </c>
      <c r="P1383" t="s">
        <v>79</v>
      </c>
      <c r="Q1383">
        <v>3</v>
      </c>
      <c r="R1383">
        <v>0</v>
      </c>
      <c r="S1383" t="s">
        <v>21</v>
      </c>
      <c r="T1383">
        <v>2</v>
      </c>
      <c r="U1383">
        <v>0</v>
      </c>
    </row>
    <row r="1384" spans="1:21" x14ac:dyDescent="0.25">
      <c r="A1384">
        <v>9955573</v>
      </c>
      <c r="B1384" t="s">
        <v>15</v>
      </c>
      <c r="C1384" s="1">
        <v>43279</v>
      </c>
      <c r="D1384" s="2">
        <f>YEAR(C1384)</f>
        <v>2018</v>
      </c>
      <c r="E1384">
        <v>275000</v>
      </c>
      <c r="F1384" t="s">
        <v>85</v>
      </c>
      <c r="G1384">
        <v>1964</v>
      </c>
      <c r="H1384">
        <v>5030</v>
      </c>
      <c r="I1384" t="s">
        <v>39</v>
      </c>
      <c r="J1384">
        <v>76</v>
      </c>
      <c r="K1384">
        <v>60077</v>
      </c>
      <c r="L1384">
        <v>1103</v>
      </c>
      <c r="M1384">
        <v>7</v>
      </c>
      <c r="N1384">
        <v>2</v>
      </c>
      <c r="O1384">
        <v>0</v>
      </c>
      <c r="P1384" t="s">
        <v>79</v>
      </c>
      <c r="Q1384">
        <v>3</v>
      </c>
      <c r="R1384">
        <v>0</v>
      </c>
      <c r="S1384" t="s">
        <v>19</v>
      </c>
      <c r="T1384">
        <v>0</v>
      </c>
      <c r="U1384">
        <v>0</v>
      </c>
    </row>
    <row r="1385" spans="1:21" x14ac:dyDescent="0.25">
      <c r="A1385">
        <v>9490212</v>
      </c>
      <c r="B1385" t="s">
        <v>15</v>
      </c>
      <c r="C1385" s="1">
        <v>42947</v>
      </c>
      <c r="D1385" s="2">
        <f>YEAR(C1385)</f>
        <v>2017</v>
      </c>
      <c r="E1385">
        <v>665000</v>
      </c>
      <c r="F1385" t="s">
        <v>85</v>
      </c>
      <c r="G1385">
        <v>1964</v>
      </c>
      <c r="H1385">
        <v>2410</v>
      </c>
      <c r="I1385" t="s">
        <v>359</v>
      </c>
      <c r="J1385">
        <v>62</v>
      </c>
      <c r="K1385">
        <v>60062</v>
      </c>
      <c r="L1385">
        <v>4374</v>
      </c>
      <c r="M1385">
        <v>9</v>
      </c>
      <c r="N1385">
        <v>3</v>
      </c>
      <c r="O1385">
        <v>1</v>
      </c>
      <c r="P1385" t="s">
        <v>79</v>
      </c>
      <c r="Q1385">
        <v>4</v>
      </c>
      <c r="R1385">
        <v>0</v>
      </c>
      <c r="S1385" t="s">
        <v>21</v>
      </c>
      <c r="T1385">
        <v>2.1</v>
      </c>
      <c r="U1385">
        <v>0</v>
      </c>
    </row>
    <row r="1386" spans="1:21" x14ac:dyDescent="0.25">
      <c r="A1386">
        <v>9502220</v>
      </c>
      <c r="B1386" t="s">
        <v>15</v>
      </c>
      <c r="C1386" s="1">
        <v>42913</v>
      </c>
      <c r="D1386" s="2">
        <f>YEAR(C1386)</f>
        <v>2017</v>
      </c>
      <c r="E1386">
        <v>1028137</v>
      </c>
      <c r="F1386" t="s">
        <v>85</v>
      </c>
      <c r="G1386">
        <v>1964</v>
      </c>
      <c r="H1386">
        <v>1321</v>
      </c>
      <c r="I1386" t="s">
        <v>494</v>
      </c>
      <c r="J1386">
        <v>62</v>
      </c>
      <c r="K1386">
        <v>60062</v>
      </c>
      <c r="L1386">
        <v>3409</v>
      </c>
      <c r="M1386">
        <v>15</v>
      </c>
      <c r="N1386">
        <v>4</v>
      </c>
      <c r="O1386">
        <v>2</v>
      </c>
      <c r="P1386" t="s">
        <v>79</v>
      </c>
      <c r="Q1386">
        <v>4</v>
      </c>
      <c r="R1386">
        <v>1</v>
      </c>
      <c r="S1386" t="s">
        <v>21</v>
      </c>
      <c r="T1386">
        <v>2</v>
      </c>
      <c r="U1386">
        <v>0</v>
      </c>
    </row>
    <row r="1387" spans="1:21" x14ac:dyDescent="0.25">
      <c r="A1387">
        <v>9666476</v>
      </c>
      <c r="B1387" t="s">
        <v>15</v>
      </c>
      <c r="C1387" s="1">
        <v>42955</v>
      </c>
      <c r="D1387" s="2">
        <f>YEAR(C1387)</f>
        <v>2017</v>
      </c>
      <c r="E1387">
        <v>385000</v>
      </c>
      <c r="F1387" t="s">
        <v>85</v>
      </c>
      <c r="G1387">
        <v>1964</v>
      </c>
      <c r="H1387">
        <v>3505</v>
      </c>
      <c r="I1387" t="s">
        <v>256</v>
      </c>
      <c r="J1387">
        <v>62</v>
      </c>
      <c r="K1387">
        <v>60062</v>
      </c>
      <c r="L1387">
        <v>1472</v>
      </c>
      <c r="M1387">
        <v>7</v>
      </c>
      <c r="N1387">
        <v>2</v>
      </c>
      <c r="O1387">
        <v>0</v>
      </c>
      <c r="P1387" t="s">
        <v>79</v>
      </c>
      <c r="Q1387">
        <v>3</v>
      </c>
      <c r="R1387">
        <v>0</v>
      </c>
      <c r="S1387" t="s">
        <v>21</v>
      </c>
      <c r="T1387">
        <v>2</v>
      </c>
      <c r="U1387">
        <v>0</v>
      </c>
    </row>
    <row r="1388" spans="1:21" x14ac:dyDescent="0.25">
      <c r="A1388">
        <v>9818376</v>
      </c>
      <c r="B1388" t="s">
        <v>15</v>
      </c>
      <c r="C1388" s="1">
        <v>43175</v>
      </c>
      <c r="D1388" s="2">
        <f>YEAR(C1388)</f>
        <v>2018</v>
      </c>
      <c r="E1388">
        <v>925000</v>
      </c>
      <c r="F1388" t="s">
        <v>85</v>
      </c>
      <c r="G1388">
        <v>1965</v>
      </c>
      <c r="H1388">
        <v>1322</v>
      </c>
      <c r="I1388" t="s">
        <v>494</v>
      </c>
      <c r="J1388">
        <v>62</v>
      </c>
      <c r="K1388">
        <v>60062</v>
      </c>
      <c r="L1388">
        <v>5195</v>
      </c>
      <c r="M1388">
        <v>12</v>
      </c>
      <c r="N1388">
        <v>4</v>
      </c>
      <c r="O1388">
        <v>1</v>
      </c>
      <c r="P1388" t="s">
        <v>79</v>
      </c>
      <c r="Q1388">
        <v>5</v>
      </c>
      <c r="R1388">
        <v>0</v>
      </c>
      <c r="S1388" t="s">
        <v>21</v>
      </c>
      <c r="T1388">
        <v>2</v>
      </c>
      <c r="U1388">
        <v>0</v>
      </c>
    </row>
    <row r="1389" spans="1:21" x14ac:dyDescent="0.25">
      <c r="A1389">
        <v>9944337</v>
      </c>
      <c r="B1389" t="s">
        <v>15</v>
      </c>
      <c r="C1389" s="1">
        <v>43308</v>
      </c>
      <c r="D1389" s="2">
        <f>YEAR(C1389)</f>
        <v>2018</v>
      </c>
      <c r="E1389">
        <v>810000</v>
      </c>
      <c r="F1389" t="s">
        <v>85</v>
      </c>
      <c r="G1389">
        <v>1965</v>
      </c>
      <c r="H1389">
        <v>1020</v>
      </c>
      <c r="I1389" t="s">
        <v>299</v>
      </c>
      <c r="J1389">
        <v>62</v>
      </c>
      <c r="K1389">
        <v>60062</v>
      </c>
      <c r="L1389">
        <v>2700</v>
      </c>
      <c r="M1389">
        <v>10</v>
      </c>
      <c r="N1389">
        <v>2</v>
      </c>
      <c r="O1389">
        <v>2</v>
      </c>
      <c r="P1389" t="s">
        <v>79</v>
      </c>
      <c r="Q1389">
        <v>4</v>
      </c>
      <c r="R1389">
        <v>0</v>
      </c>
      <c r="S1389" t="s">
        <v>21</v>
      </c>
      <c r="T1389">
        <v>2</v>
      </c>
      <c r="U1389">
        <v>0</v>
      </c>
    </row>
    <row r="1390" spans="1:21" x14ac:dyDescent="0.25">
      <c r="A1390">
        <v>9471009</v>
      </c>
      <c r="B1390" t="s">
        <v>15</v>
      </c>
      <c r="C1390" s="1">
        <v>42871</v>
      </c>
      <c r="D1390" s="2">
        <f>YEAR(C1390)</f>
        <v>2017</v>
      </c>
      <c r="E1390">
        <v>435000</v>
      </c>
      <c r="F1390" t="s">
        <v>85</v>
      </c>
      <c r="G1390">
        <v>1965</v>
      </c>
      <c r="H1390">
        <v>2871</v>
      </c>
      <c r="I1390" t="s">
        <v>288</v>
      </c>
      <c r="J1390">
        <v>62</v>
      </c>
      <c r="K1390">
        <v>60062</v>
      </c>
      <c r="L1390">
        <v>2569</v>
      </c>
      <c r="M1390">
        <v>10</v>
      </c>
      <c r="N1390">
        <v>2</v>
      </c>
      <c r="O1390">
        <v>1</v>
      </c>
      <c r="P1390" t="s">
        <v>79</v>
      </c>
      <c r="Q1390">
        <v>4</v>
      </c>
      <c r="R1390">
        <v>0</v>
      </c>
      <c r="S1390" t="s">
        <v>21</v>
      </c>
      <c r="T1390">
        <v>2</v>
      </c>
      <c r="U1390">
        <v>0</v>
      </c>
    </row>
    <row r="1391" spans="1:21" x14ac:dyDescent="0.25">
      <c r="A1391">
        <v>9408822</v>
      </c>
      <c r="B1391" t="s">
        <v>15</v>
      </c>
      <c r="C1391" s="1">
        <v>42824</v>
      </c>
      <c r="D1391" s="2">
        <f>YEAR(C1391)</f>
        <v>2017</v>
      </c>
      <c r="E1391">
        <v>365000</v>
      </c>
      <c r="F1391" t="s">
        <v>85</v>
      </c>
      <c r="G1391">
        <v>1966</v>
      </c>
      <c r="H1391">
        <v>8460</v>
      </c>
      <c r="I1391" t="s">
        <v>138</v>
      </c>
      <c r="J1391">
        <v>76</v>
      </c>
      <c r="K1391">
        <v>60077</v>
      </c>
      <c r="L1391">
        <v>3600</v>
      </c>
      <c r="M1391">
        <v>10</v>
      </c>
      <c r="N1391">
        <v>5</v>
      </c>
      <c r="O1391">
        <v>0</v>
      </c>
      <c r="P1391" t="s">
        <v>79</v>
      </c>
      <c r="Q1391">
        <v>5</v>
      </c>
      <c r="R1391">
        <v>0</v>
      </c>
      <c r="S1391" t="s">
        <v>21</v>
      </c>
      <c r="T1391">
        <v>2.5</v>
      </c>
      <c r="U1391">
        <v>0</v>
      </c>
    </row>
    <row r="1392" spans="1:21" x14ac:dyDescent="0.25">
      <c r="A1392">
        <v>9651543</v>
      </c>
      <c r="B1392" t="s">
        <v>15</v>
      </c>
      <c r="C1392" s="1">
        <v>43034</v>
      </c>
      <c r="D1392" s="2">
        <f>YEAR(C1392)</f>
        <v>2017</v>
      </c>
      <c r="E1392">
        <v>305000</v>
      </c>
      <c r="F1392" t="s">
        <v>85</v>
      </c>
      <c r="G1392">
        <v>1966</v>
      </c>
      <c r="H1392">
        <v>5114</v>
      </c>
      <c r="I1392" t="s">
        <v>63</v>
      </c>
      <c r="J1392">
        <v>76</v>
      </c>
      <c r="K1392">
        <v>60077</v>
      </c>
      <c r="L1392">
        <v>1821</v>
      </c>
      <c r="M1392">
        <v>7</v>
      </c>
      <c r="N1392">
        <v>2</v>
      </c>
      <c r="O1392">
        <v>0</v>
      </c>
      <c r="P1392" t="s">
        <v>79</v>
      </c>
      <c r="Q1392">
        <v>3</v>
      </c>
      <c r="R1392">
        <v>0</v>
      </c>
      <c r="S1392" t="s">
        <v>19</v>
      </c>
      <c r="T1392">
        <v>0</v>
      </c>
      <c r="U1392">
        <v>0</v>
      </c>
    </row>
    <row r="1393" spans="1:21" x14ac:dyDescent="0.25">
      <c r="A1393">
        <v>9505413</v>
      </c>
      <c r="B1393" t="s">
        <v>15</v>
      </c>
      <c r="C1393" s="1">
        <v>42902</v>
      </c>
      <c r="D1393" s="2">
        <f>YEAR(C1393)</f>
        <v>2017</v>
      </c>
      <c r="E1393">
        <v>366000</v>
      </c>
      <c r="F1393" t="s">
        <v>85</v>
      </c>
      <c r="G1393">
        <v>1966</v>
      </c>
      <c r="H1393">
        <v>4110</v>
      </c>
      <c r="I1393" t="s">
        <v>49</v>
      </c>
      <c r="J1393">
        <v>76</v>
      </c>
      <c r="K1393">
        <v>60076</v>
      </c>
      <c r="L1393">
        <v>1501</v>
      </c>
      <c r="M1393">
        <v>7</v>
      </c>
      <c r="N1393">
        <v>2</v>
      </c>
      <c r="O1393">
        <v>0</v>
      </c>
      <c r="P1393" t="s">
        <v>79</v>
      </c>
      <c r="Q1393">
        <v>3</v>
      </c>
      <c r="R1393">
        <v>0</v>
      </c>
      <c r="S1393" t="s">
        <v>22</v>
      </c>
      <c r="T1393">
        <v>1.5</v>
      </c>
      <c r="U1393">
        <v>0</v>
      </c>
    </row>
    <row r="1394" spans="1:21" x14ac:dyDescent="0.25">
      <c r="A1394">
        <v>10109502</v>
      </c>
      <c r="B1394" t="s">
        <v>15</v>
      </c>
      <c r="C1394" s="1">
        <v>43437</v>
      </c>
      <c r="D1394" s="2">
        <f>YEAR(C1394)</f>
        <v>2018</v>
      </c>
      <c r="E1394">
        <v>895000</v>
      </c>
      <c r="F1394" t="s">
        <v>85</v>
      </c>
      <c r="G1394">
        <v>1966</v>
      </c>
      <c r="H1394">
        <v>954</v>
      </c>
      <c r="I1394" t="s">
        <v>193</v>
      </c>
      <c r="J1394">
        <v>62</v>
      </c>
      <c r="K1394">
        <v>60062</v>
      </c>
      <c r="L1394">
        <v>4432</v>
      </c>
      <c r="M1394">
        <v>13</v>
      </c>
      <c r="N1394">
        <v>5</v>
      </c>
      <c r="O1394">
        <v>1</v>
      </c>
      <c r="P1394" t="s">
        <v>79</v>
      </c>
      <c r="Q1394">
        <v>5</v>
      </c>
      <c r="R1394">
        <v>0</v>
      </c>
      <c r="S1394" t="s">
        <v>21</v>
      </c>
      <c r="T1394">
        <v>2</v>
      </c>
      <c r="U1394">
        <v>0</v>
      </c>
    </row>
    <row r="1395" spans="1:21" x14ac:dyDescent="0.25">
      <c r="A1395">
        <v>9912400</v>
      </c>
      <c r="B1395" t="s">
        <v>15</v>
      </c>
      <c r="C1395" s="1">
        <v>43342</v>
      </c>
      <c r="D1395" s="2">
        <f>YEAR(C1395)</f>
        <v>2018</v>
      </c>
      <c r="E1395">
        <v>545000</v>
      </c>
      <c r="F1395" t="s">
        <v>85</v>
      </c>
      <c r="G1395">
        <v>1967</v>
      </c>
      <c r="H1395">
        <v>5233</v>
      </c>
      <c r="I1395" t="s">
        <v>253</v>
      </c>
      <c r="J1395">
        <v>76</v>
      </c>
      <c r="K1395">
        <v>60077</v>
      </c>
      <c r="L1395">
        <v>3239</v>
      </c>
      <c r="M1395">
        <v>10</v>
      </c>
      <c r="N1395">
        <v>3</v>
      </c>
      <c r="O1395">
        <v>1</v>
      </c>
      <c r="P1395" t="s">
        <v>79</v>
      </c>
      <c r="Q1395">
        <v>4</v>
      </c>
      <c r="R1395">
        <v>0</v>
      </c>
      <c r="S1395" t="s">
        <v>21</v>
      </c>
      <c r="T1395">
        <v>2.1</v>
      </c>
      <c r="U1395">
        <v>0</v>
      </c>
    </row>
    <row r="1396" spans="1:21" x14ac:dyDescent="0.25">
      <c r="A1396">
        <v>9920304</v>
      </c>
      <c r="B1396" t="s">
        <v>15</v>
      </c>
      <c r="C1396" s="1">
        <v>43270</v>
      </c>
      <c r="D1396" s="2">
        <f>YEAR(C1396)</f>
        <v>2018</v>
      </c>
      <c r="E1396">
        <v>386000</v>
      </c>
      <c r="F1396" t="s">
        <v>85</v>
      </c>
      <c r="G1396">
        <v>1967</v>
      </c>
      <c r="H1396">
        <v>5243</v>
      </c>
      <c r="I1396" t="s">
        <v>174</v>
      </c>
      <c r="J1396">
        <v>76</v>
      </c>
      <c r="K1396">
        <v>60077</v>
      </c>
      <c r="L1396">
        <v>2050</v>
      </c>
      <c r="M1396">
        <v>9</v>
      </c>
      <c r="N1396">
        <v>3</v>
      </c>
      <c r="O1396">
        <v>0</v>
      </c>
      <c r="P1396" t="s">
        <v>79</v>
      </c>
      <c r="Q1396">
        <v>4</v>
      </c>
      <c r="R1396">
        <v>0</v>
      </c>
      <c r="S1396" t="s">
        <v>21</v>
      </c>
      <c r="T1396">
        <v>2.5</v>
      </c>
      <c r="U1396">
        <v>0</v>
      </c>
    </row>
    <row r="1397" spans="1:21" x14ac:dyDescent="0.25">
      <c r="A1397">
        <v>10041036</v>
      </c>
      <c r="B1397" t="s">
        <v>15</v>
      </c>
      <c r="C1397" s="1">
        <v>43374</v>
      </c>
      <c r="D1397" s="2">
        <f>YEAR(C1397)</f>
        <v>2018</v>
      </c>
      <c r="E1397">
        <v>480000</v>
      </c>
      <c r="F1397" t="s">
        <v>85</v>
      </c>
      <c r="G1397">
        <v>1967</v>
      </c>
      <c r="H1397">
        <v>4926</v>
      </c>
      <c r="I1397" t="s">
        <v>111</v>
      </c>
      <c r="J1397">
        <v>76</v>
      </c>
      <c r="K1397">
        <v>60077</v>
      </c>
      <c r="L1397">
        <v>1871</v>
      </c>
      <c r="M1397">
        <v>8</v>
      </c>
      <c r="N1397">
        <v>3</v>
      </c>
      <c r="O1397">
        <v>1</v>
      </c>
      <c r="P1397" t="s">
        <v>79</v>
      </c>
      <c r="Q1397">
        <v>3</v>
      </c>
      <c r="R1397">
        <v>0</v>
      </c>
      <c r="S1397" t="s">
        <v>21</v>
      </c>
      <c r="T1397">
        <v>2.5</v>
      </c>
      <c r="U1397">
        <v>0</v>
      </c>
    </row>
    <row r="1398" spans="1:21" x14ac:dyDescent="0.25">
      <c r="A1398">
        <v>10052871</v>
      </c>
      <c r="B1398" t="s">
        <v>15</v>
      </c>
      <c r="C1398" s="1">
        <v>43383</v>
      </c>
      <c r="D1398" s="2">
        <f>YEAR(C1398)</f>
        <v>2018</v>
      </c>
      <c r="E1398">
        <v>330000</v>
      </c>
      <c r="F1398" t="s">
        <v>85</v>
      </c>
      <c r="G1398">
        <v>1967</v>
      </c>
      <c r="H1398">
        <v>5108</v>
      </c>
      <c r="I1398" t="s">
        <v>176</v>
      </c>
      <c r="J1398">
        <v>76</v>
      </c>
      <c r="K1398">
        <v>60077</v>
      </c>
      <c r="L1398">
        <v>1814</v>
      </c>
      <c r="M1398">
        <v>9</v>
      </c>
      <c r="N1398">
        <v>2</v>
      </c>
      <c r="O1398">
        <v>1</v>
      </c>
      <c r="P1398" t="s">
        <v>79</v>
      </c>
      <c r="Q1398">
        <v>3</v>
      </c>
      <c r="R1398">
        <v>0</v>
      </c>
      <c r="S1398" t="s">
        <v>22</v>
      </c>
      <c r="T1398">
        <v>2</v>
      </c>
      <c r="U1398">
        <v>0</v>
      </c>
    </row>
    <row r="1399" spans="1:21" x14ac:dyDescent="0.25">
      <c r="A1399">
        <v>9950901</v>
      </c>
      <c r="B1399" t="s">
        <v>15</v>
      </c>
      <c r="C1399" s="1">
        <v>43304</v>
      </c>
      <c r="D1399" s="2">
        <f>YEAR(C1399)</f>
        <v>2018</v>
      </c>
      <c r="E1399">
        <v>660000</v>
      </c>
      <c r="F1399" t="s">
        <v>85</v>
      </c>
      <c r="G1399">
        <v>1967</v>
      </c>
      <c r="H1399">
        <v>1726</v>
      </c>
      <c r="I1399" t="s">
        <v>297</v>
      </c>
      <c r="J1399">
        <v>62</v>
      </c>
      <c r="K1399">
        <v>60062</v>
      </c>
      <c r="L1399">
        <v>3200</v>
      </c>
      <c r="M1399">
        <v>8</v>
      </c>
      <c r="N1399">
        <v>3</v>
      </c>
      <c r="O1399">
        <v>1</v>
      </c>
      <c r="P1399" t="s">
        <v>79</v>
      </c>
      <c r="Q1399">
        <v>4</v>
      </c>
      <c r="R1399">
        <v>0</v>
      </c>
      <c r="S1399" t="s">
        <v>21</v>
      </c>
      <c r="T1399">
        <v>2</v>
      </c>
      <c r="U1399">
        <v>0</v>
      </c>
    </row>
    <row r="1400" spans="1:21" x14ac:dyDescent="0.25">
      <c r="A1400">
        <v>9812892</v>
      </c>
      <c r="B1400" t="s">
        <v>15</v>
      </c>
      <c r="C1400" s="1">
        <v>43182</v>
      </c>
      <c r="D1400" s="2">
        <f>YEAR(C1400)</f>
        <v>2018</v>
      </c>
      <c r="E1400">
        <v>582000</v>
      </c>
      <c r="F1400" t="s">
        <v>85</v>
      </c>
      <c r="G1400">
        <v>1967</v>
      </c>
      <c r="H1400">
        <v>1628</v>
      </c>
      <c r="I1400" t="s">
        <v>306</v>
      </c>
      <c r="J1400">
        <v>62</v>
      </c>
      <c r="K1400">
        <v>60062</v>
      </c>
      <c r="L1400">
        <v>2661</v>
      </c>
      <c r="M1400">
        <v>9</v>
      </c>
      <c r="N1400">
        <v>3</v>
      </c>
      <c r="O1400">
        <v>1</v>
      </c>
      <c r="P1400" t="s">
        <v>79</v>
      </c>
      <c r="Q1400">
        <v>4</v>
      </c>
      <c r="R1400">
        <v>1</v>
      </c>
      <c r="S1400" t="s">
        <v>21</v>
      </c>
      <c r="T1400">
        <v>2</v>
      </c>
      <c r="U1400">
        <v>0</v>
      </c>
    </row>
    <row r="1401" spans="1:21" x14ac:dyDescent="0.25">
      <c r="A1401">
        <v>9974974</v>
      </c>
      <c r="B1401" t="s">
        <v>15</v>
      </c>
      <c r="C1401" s="1">
        <v>43370</v>
      </c>
      <c r="D1401" s="2">
        <f>YEAR(C1401)</f>
        <v>2018</v>
      </c>
      <c r="E1401">
        <v>630000</v>
      </c>
      <c r="F1401" t="s">
        <v>85</v>
      </c>
      <c r="G1401">
        <v>1967</v>
      </c>
      <c r="H1401">
        <v>2912</v>
      </c>
      <c r="I1401" t="s">
        <v>316</v>
      </c>
      <c r="J1401">
        <v>62</v>
      </c>
      <c r="K1401">
        <v>60062</v>
      </c>
      <c r="L1401">
        <v>2259</v>
      </c>
      <c r="M1401">
        <v>10</v>
      </c>
      <c r="N1401">
        <v>3</v>
      </c>
      <c r="O1401">
        <v>1</v>
      </c>
      <c r="P1401" t="s">
        <v>79</v>
      </c>
      <c r="Q1401">
        <v>3</v>
      </c>
      <c r="R1401">
        <v>1</v>
      </c>
      <c r="S1401" t="s">
        <v>21</v>
      </c>
      <c r="T1401">
        <v>2</v>
      </c>
      <c r="U1401">
        <v>0</v>
      </c>
    </row>
    <row r="1402" spans="1:21" x14ac:dyDescent="0.25">
      <c r="A1402">
        <v>9906916</v>
      </c>
      <c r="B1402" t="s">
        <v>15</v>
      </c>
      <c r="C1402" s="1">
        <v>43291</v>
      </c>
      <c r="D1402" s="2">
        <f>YEAR(C1402)</f>
        <v>2018</v>
      </c>
      <c r="E1402">
        <v>745000</v>
      </c>
      <c r="F1402" t="s">
        <v>85</v>
      </c>
      <c r="G1402">
        <v>1968</v>
      </c>
      <c r="H1402">
        <v>915</v>
      </c>
      <c r="I1402" t="s">
        <v>495</v>
      </c>
      <c r="J1402">
        <v>62</v>
      </c>
      <c r="K1402">
        <v>60062</v>
      </c>
      <c r="L1402">
        <v>3422</v>
      </c>
      <c r="M1402">
        <v>10</v>
      </c>
      <c r="N1402">
        <v>4</v>
      </c>
      <c r="O1402">
        <v>1</v>
      </c>
      <c r="P1402" t="s">
        <v>79</v>
      </c>
      <c r="Q1402">
        <v>5</v>
      </c>
      <c r="R1402">
        <v>0</v>
      </c>
      <c r="S1402" t="s">
        <v>21</v>
      </c>
      <c r="T1402">
        <v>2</v>
      </c>
      <c r="U1402">
        <v>0</v>
      </c>
    </row>
    <row r="1403" spans="1:21" x14ac:dyDescent="0.25">
      <c r="A1403">
        <v>9775795</v>
      </c>
      <c r="B1403" t="s">
        <v>15</v>
      </c>
      <c r="C1403" s="1">
        <v>43077</v>
      </c>
      <c r="D1403" s="2">
        <f>YEAR(C1403)</f>
        <v>2017</v>
      </c>
      <c r="E1403">
        <v>687000</v>
      </c>
      <c r="F1403" t="s">
        <v>85</v>
      </c>
      <c r="G1403">
        <v>1968</v>
      </c>
      <c r="H1403">
        <v>902</v>
      </c>
      <c r="I1403" t="s">
        <v>496</v>
      </c>
      <c r="J1403">
        <v>62</v>
      </c>
      <c r="K1403">
        <v>60062</v>
      </c>
      <c r="L1403">
        <v>3400</v>
      </c>
      <c r="M1403">
        <v>10</v>
      </c>
      <c r="N1403">
        <v>3</v>
      </c>
      <c r="O1403">
        <v>0</v>
      </c>
      <c r="P1403" t="s">
        <v>79</v>
      </c>
      <c r="Q1403">
        <v>5</v>
      </c>
      <c r="R1403">
        <v>0</v>
      </c>
      <c r="S1403" t="s">
        <v>21</v>
      </c>
      <c r="T1403">
        <v>2</v>
      </c>
      <c r="U1403">
        <v>0</v>
      </c>
    </row>
    <row r="1404" spans="1:21" x14ac:dyDescent="0.25">
      <c r="A1404">
        <v>9937877</v>
      </c>
      <c r="B1404" t="s">
        <v>15</v>
      </c>
      <c r="C1404" s="1">
        <v>43293</v>
      </c>
      <c r="D1404" s="2">
        <f>YEAR(C1404)</f>
        <v>2018</v>
      </c>
      <c r="E1404">
        <v>579000</v>
      </c>
      <c r="F1404" t="s">
        <v>85</v>
      </c>
      <c r="G1404">
        <v>1968</v>
      </c>
      <c r="H1404">
        <v>2837</v>
      </c>
      <c r="I1404" t="s">
        <v>311</v>
      </c>
      <c r="J1404">
        <v>62</v>
      </c>
      <c r="K1404">
        <v>60062</v>
      </c>
      <c r="L1404">
        <v>2707</v>
      </c>
      <c r="M1404">
        <v>10</v>
      </c>
      <c r="N1404">
        <v>3</v>
      </c>
      <c r="O1404">
        <v>1</v>
      </c>
      <c r="P1404" t="s">
        <v>79</v>
      </c>
      <c r="Q1404">
        <v>4</v>
      </c>
      <c r="R1404">
        <v>0</v>
      </c>
      <c r="S1404" t="s">
        <v>21</v>
      </c>
      <c r="T1404">
        <v>2</v>
      </c>
      <c r="U1404">
        <v>0</v>
      </c>
    </row>
    <row r="1405" spans="1:21" x14ac:dyDescent="0.25">
      <c r="A1405">
        <v>10027345</v>
      </c>
      <c r="B1405" t="s">
        <v>15</v>
      </c>
      <c r="C1405" s="1">
        <v>43452</v>
      </c>
      <c r="D1405" s="2">
        <f>YEAR(C1405)</f>
        <v>2018</v>
      </c>
      <c r="E1405">
        <v>465000</v>
      </c>
      <c r="F1405" t="s">
        <v>85</v>
      </c>
      <c r="G1405">
        <v>1968</v>
      </c>
      <c r="H1405">
        <v>1108</v>
      </c>
      <c r="I1405" t="s">
        <v>282</v>
      </c>
      <c r="J1405">
        <v>62</v>
      </c>
      <c r="K1405">
        <v>60062</v>
      </c>
      <c r="L1405">
        <v>2009</v>
      </c>
      <c r="M1405">
        <v>10</v>
      </c>
      <c r="N1405">
        <v>3</v>
      </c>
      <c r="O1405">
        <v>0</v>
      </c>
      <c r="P1405" t="s">
        <v>79</v>
      </c>
      <c r="Q1405">
        <v>3</v>
      </c>
      <c r="R1405">
        <v>1</v>
      </c>
      <c r="S1405" t="s">
        <v>21</v>
      </c>
      <c r="T1405">
        <v>2</v>
      </c>
      <c r="U1405">
        <v>0</v>
      </c>
    </row>
    <row r="1406" spans="1:21" x14ac:dyDescent="0.25">
      <c r="A1406">
        <v>9748724</v>
      </c>
      <c r="B1406" t="s">
        <v>15</v>
      </c>
      <c r="C1406" s="1">
        <v>43223</v>
      </c>
      <c r="D1406" s="2">
        <f>YEAR(C1406)</f>
        <v>2018</v>
      </c>
      <c r="E1406">
        <v>430000</v>
      </c>
      <c r="F1406" t="s">
        <v>85</v>
      </c>
      <c r="G1406">
        <v>1969</v>
      </c>
      <c r="H1406">
        <v>6907</v>
      </c>
      <c r="I1406" t="s">
        <v>233</v>
      </c>
      <c r="J1406">
        <v>76</v>
      </c>
      <c r="K1406">
        <v>60077</v>
      </c>
      <c r="L1406">
        <v>3429</v>
      </c>
      <c r="M1406">
        <v>8</v>
      </c>
      <c r="N1406">
        <v>2</v>
      </c>
      <c r="O1406">
        <v>2</v>
      </c>
      <c r="P1406" t="s">
        <v>79</v>
      </c>
      <c r="Q1406">
        <v>4</v>
      </c>
      <c r="R1406">
        <v>0</v>
      </c>
      <c r="S1406" t="s">
        <v>21</v>
      </c>
      <c r="T1406">
        <v>2</v>
      </c>
      <c r="U1406">
        <v>0</v>
      </c>
    </row>
    <row r="1407" spans="1:21" x14ac:dyDescent="0.25">
      <c r="A1407">
        <v>9890408</v>
      </c>
      <c r="B1407" t="s">
        <v>15</v>
      </c>
      <c r="C1407" s="1">
        <v>43249</v>
      </c>
      <c r="D1407" s="2">
        <f>YEAR(C1407)</f>
        <v>2018</v>
      </c>
      <c r="E1407">
        <v>710000</v>
      </c>
      <c r="F1407" t="s">
        <v>85</v>
      </c>
      <c r="G1407">
        <v>1969</v>
      </c>
      <c r="H1407">
        <v>4015</v>
      </c>
      <c r="I1407" t="s">
        <v>497</v>
      </c>
      <c r="J1407">
        <v>62</v>
      </c>
      <c r="K1407">
        <v>60062</v>
      </c>
      <c r="L1407">
        <v>3600</v>
      </c>
      <c r="M1407">
        <v>11</v>
      </c>
      <c r="N1407">
        <v>3</v>
      </c>
      <c r="O1407">
        <v>1</v>
      </c>
      <c r="P1407" t="s">
        <v>79</v>
      </c>
      <c r="Q1407">
        <v>4</v>
      </c>
      <c r="R1407">
        <v>1</v>
      </c>
      <c r="S1407" t="s">
        <v>21</v>
      </c>
      <c r="T1407">
        <v>2</v>
      </c>
      <c r="U1407">
        <v>0</v>
      </c>
    </row>
    <row r="1408" spans="1:21" x14ac:dyDescent="0.25">
      <c r="A1408">
        <v>9666100</v>
      </c>
      <c r="B1408" t="s">
        <v>15</v>
      </c>
      <c r="C1408" s="1">
        <v>43021</v>
      </c>
      <c r="D1408" s="2">
        <f>YEAR(C1408)</f>
        <v>2017</v>
      </c>
      <c r="E1408">
        <v>510000</v>
      </c>
      <c r="F1408" t="s">
        <v>85</v>
      </c>
      <c r="G1408">
        <v>1969</v>
      </c>
      <c r="H1408">
        <v>1218</v>
      </c>
      <c r="I1408" t="s">
        <v>329</v>
      </c>
      <c r="J1408">
        <v>62</v>
      </c>
      <c r="K1408">
        <v>60062</v>
      </c>
      <c r="L1408">
        <v>3300</v>
      </c>
      <c r="M1408">
        <v>11</v>
      </c>
      <c r="N1408">
        <v>2</v>
      </c>
      <c r="O1408">
        <v>2</v>
      </c>
      <c r="P1408" t="s">
        <v>79</v>
      </c>
      <c r="Q1408">
        <v>4</v>
      </c>
      <c r="R1408">
        <v>1</v>
      </c>
      <c r="S1408" t="s">
        <v>21</v>
      </c>
      <c r="T1408">
        <v>2</v>
      </c>
      <c r="U1408">
        <v>0</v>
      </c>
    </row>
    <row r="1409" spans="1:21" x14ac:dyDescent="0.25">
      <c r="A1409">
        <v>9942617</v>
      </c>
      <c r="B1409" t="s">
        <v>15</v>
      </c>
      <c r="C1409" s="1">
        <v>43350</v>
      </c>
      <c r="D1409" s="2">
        <f>YEAR(C1409)</f>
        <v>2018</v>
      </c>
      <c r="E1409">
        <v>730000</v>
      </c>
      <c r="F1409" t="s">
        <v>85</v>
      </c>
      <c r="G1409">
        <v>1969</v>
      </c>
      <c r="H1409">
        <v>1843</v>
      </c>
      <c r="I1409" t="s">
        <v>498</v>
      </c>
      <c r="J1409">
        <v>62</v>
      </c>
      <c r="K1409">
        <v>60062</v>
      </c>
      <c r="L1409">
        <v>3087</v>
      </c>
      <c r="M1409">
        <v>11</v>
      </c>
      <c r="N1409">
        <v>3</v>
      </c>
      <c r="O1409">
        <v>1</v>
      </c>
      <c r="P1409" t="s">
        <v>79</v>
      </c>
      <c r="Q1409">
        <v>4</v>
      </c>
      <c r="R1409">
        <v>0</v>
      </c>
      <c r="S1409" t="s">
        <v>21</v>
      </c>
      <c r="T1409">
        <v>2</v>
      </c>
      <c r="U1409">
        <v>0</v>
      </c>
    </row>
    <row r="1410" spans="1:21" x14ac:dyDescent="0.25">
      <c r="A1410">
        <v>9913488</v>
      </c>
      <c r="B1410" t="s">
        <v>15</v>
      </c>
      <c r="C1410" s="1">
        <v>43291</v>
      </c>
      <c r="D1410" s="2">
        <f>YEAR(C1410)</f>
        <v>2018</v>
      </c>
      <c r="E1410">
        <v>630000</v>
      </c>
      <c r="F1410" t="s">
        <v>85</v>
      </c>
      <c r="G1410">
        <v>1969</v>
      </c>
      <c r="H1410">
        <v>2048</v>
      </c>
      <c r="I1410" t="s">
        <v>318</v>
      </c>
      <c r="J1410">
        <v>62</v>
      </c>
      <c r="K1410">
        <v>60062</v>
      </c>
      <c r="L1410">
        <v>3012</v>
      </c>
      <c r="M1410">
        <v>10</v>
      </c>
      <c r="N1410">
        <v>2</v>
      </c>
      <c r="O1410">
        <v>2</v>
      </c>
      <c r="P1410" t="s">
        <v>79</v>
      </c>
      <c r="Q1410">
        <v>4</v>
      </c>
      <c r="R1410">
        <v>0</v>
      </c>
      <c r="S1410" t="s">
        <v>21</v>
      </c>
      <c r="T1410">
        <v>2.5</v>
      </c>
      <c r="U1410">
        <v>0</v>
      </c>
    </row>
    <row r="1411" spans="1:21" x14ac:dyDescent="0.25">
      <c r="A1411">
        <v>10023633</v>
      </c>
      <c r="B1411" t="s">
        <v>15</v>
      </c>
      <c r="C1411" s="1">
        <v>43355</v>
      </c>
      <c r="D1411" s="2">
        <f>YEAR(C1411)</f>
        <v>2018</v>
      </c>
      <c r="E1411">
        <v>590000</v>
      </c>
      <c r="F1411" t="s">
        <v>85</v>
      </c>
      <c r="G1411">
        <v>1969</v>
      </c>
      <c r="H1411">
        <v>3316</v>
      </c>
      <c r="I1411" t="s">
        <v>327</v>
      </c>
      <c r="J1411">
        <v>62</v>
      </c>
      <c r="K1411">
        <v>60062</v>
      </c>
      <c r="L1411">
        <v>2898</v>
      </c>
      <c r="M1411">
        <v>12</v>
      </c>
      <c r="N1411">
        <v>2</v>
      </c>
      <c r="O1411">
        <v>2</v>
      </c>
      <c r="P1411" t="s">
        <v>79</v>
      </c>
      <c r="Q1411">
        <v>4</v>
      </c>
      <c r="R1411">
        <v>0</v>
      </c>
      <c r="S1411" t="s">
        <v>21</v>
      </c>
      <c r="T1411">
        <v>2</v>
      </c>
      <c r="U1411">
        <v>0</v>
      </c>
    </row>
    <row r="1412" spans="1:21" x14ac:dyDescent="0.25">
      <c r="A1412">
        <v>9977229</v>
      </c>
      <c r="B1412" t="s">
        <v>15</v>
      </c>
      <c r="C1412" s="1">
        <v>43320</v>
      </c>
      <c r="D1412" s="2">
        <f>YEAR(C1412)</f>
        <v>2018</v>
      </c>
      <c r="E1412">
        <v>640000</v>
      </c>
      <c r="F1412" t="s">
        <v>85</v>
      </c>
      <c r="G1412">
        <v>1969</v>
      </c>
      <c r="H1412">
        <v>4054</v>
      </c>
      <c r="I1412" t="s">
        <v>303</v>
      </c>
      <c r="J1412">
        <v>62</v>
      </c>
      <c r="K1412">
        <v>60062</v>
      </c>
      <c r="L1412">
        <v>2700</v>
      </c>
      <c r="M1412">
        <v>10</v>
      </c>
      <c r="N1412">
        <v>2</v>
      </c>
      <c r="O1412">
        <v>1</v>
      </c>
      <c r="P1412" t="s">
        <v>79</v>
      </c>
      <c r="Q1412">
        <v>4</v>
      </c>
      <c r="R1412">
        <v>1</v>
      </c>
      <c r="S1412" t="s">
        <v>21</v>
      </c>
      <c r="T1412">
        <v>2</v>
      </c>
      <c r="U1412">
        <v>0</v>
      </c>
    </row>
    <row r="1413" spans="1:21" x14ac:dyDescent="0.25">
      <c r="A1413">
        <v>9403977</v>
      </c>
      <c r="B1413" t="s">
        <v>15</v>
      </c>
      <c r="C1413" s="1">
        <v>42811</v>
      </c>
      <c r="D1413" s="2">
        <f>YEAR(C1413)</f>
        <v>2017</v>
      </c>
      <c r="E1413">
        <v>670000</v>
      </c>
      <c r="F1413" t="s">
        <v>85</v>
      </c>
      <c r="G1413">
        <v>1969</v>
      </c>
      <c r="H1413">
        <v>1217</v>
      </c>
      <c r="I1413" t="s">
        <v>329</v>
      </c>
      <c r="J1413">
        <v>62</v>
      </c>
      <c r="K1413">
        <v>60062</v>
      </c>
      <c r="L1413">
        <v>2640</v>
      </c>
      <c r="M1413">
        <v>10</v>
      </c>
      <c r="N1413">
        <v>3</v>
      </c>
      <c r="O1413">
        <v>1</v>
      </c>
      <c r="P1413" t="s">
        <v>79</v>
      </c>
      <c r="Q1413">
        <v>4</v>
      </c>
      <c r="R1413">
        <v>1</v>
      </c>
      <c r="S1413" t="s">
        <v>21</v>
      </c>
      <c r="T1413">
        <v>2</v>
      </c>
      <c r="U1413">
        <v>0</v>
      </c>
    </row>
    <row r="1414" spans="1:21" x14ac:dyDescent="0.25">
      <c r="A1414">
        <v>9638183</v>
      </c>
      <c r="B1414" t="s">
        <v>15</v>
      </c>
      <c r="C1414" s="1">
        <v>42933</v>
      </c>
      <c r="D1414" s="2">
        <f>YEAR(C1414)</f>
        <v>2017</v>
      </c>
      <c r="E1414">
        <v>461350</v>
      </c>
      <c r="F1414" t="s">
        <v>85</v>
      </c>
      <c r="G1414">
        <v>1969</v>
      </c>
      <c r="H1414">
        <v>3912</v>
      </c>
      <c r="I1414" t="s">
        <v>310</v>
      </c>
      <c r="J1414">
        <v>62</v>
      </c>
      <c r="K1414">
        <v>60062</v>
      </c>
      <c r="L1414">
        <v>2620</v>
      </c>
      <c r="M1414">
        <v>10</v>
      </c>
      <c r="N1414">
        <v>3</v>
      </c>
      <c r="O1414">
        <v>1</v>
      </c>
      <c r="P1414" t="s">
        <v>79</v>
      </c>
      <c r="Q1414">
        <v>4</v>
      </c>
      <c r="R1414">
        <v>1</v>
      </c>
      <c r="S1414" t="s">
        <v>21</v>
      </c>
      <c r="T1414">
        <v>2</v>
      </c>
      <c r="U1414">
        <v>0</v>
      </c>
    </row>
    <row r="1415" spans="1:21" x14ac:dyDescent="0.25">
      <c r="A1415">
        <v>9814515</v>
      </c>
      <c r="B1415" t="s">
        <v>15</v>
      </c>
      <c r="C1415" s="1">
        <v>43174</v>
      </c>
      <c r="D1415" s="2">
        <f>YEAR(C1415)</f>
        <v>2018</v>
      </c>
      <c r="E1415">
        <v>672500</v>
      </c>
      <c r="F1415" t="s">
        <v>85</v>
      </c>
      <c r="G1415">
        <v>1969</v>
      </c>
      <c r="H1415">
        <v>3912</v>
      </c>
      <c r="I1415" t="s">
        <v>310</v>
      </c>
      <c r="J1415">
        <v>62</v>
      </c>
      <c r="K1415">
        <v>60062</v>
      </c>
      <c r="L1415">
        <v>2620</v>
      </c>
      <c r="M1415">
        <v>10</v>
      </c>
      <c r="N1415">
        <v>3</v>
      </c>
      <c r="O1415">
        <v>1</v>
      </c>
      <c r="P1415" t="s">
        <v>79</v>
      </c>
      <c r="Q1415">
        <v>4</v>
      </c>
      <c r="R1415">
        <v>1</v>
      </c>
      <c r="S1415" t="s">
        <v>21</v>
      </c>
      <c r="T1415">
        <v>2</v>
      </c>
      <c r="U1415">
        <v>0</v>
      </c>
    </row>
    <row r="1416" spans="1:21" x14ac:dyDescent="0.25">
      <c r="A1416">
        <v>9513256</v>
      </c>
      <c r="B1416" t="s">
        <v>15</v>
      </c>
      <c r="C1416" s="1">
        <v>42985</v>
      </c>
      <c r="D1416" s="2">
        <f>YEAR(C1416)</f>
        <v>2017</v>
      </c>
      <c r="E1416">
        <v>535000</v>
      </c>
      <c r="F1416" t="s">
        <v>85</v>
      </c>
      <c r="G1416">
        <v>1969</v>
      </c>
      <c r="H1416">
        <v>1730</v>
      </c>
      <c r="I1416" t="s">
        <v>314</v>
      </c>
      <c r="J1416">
        <v>62</v>
      </c>
      <c r="K1416">
        <v>60062</v>
      </c>
      <c r="L1416">
        <v>2601</v>
      </c>
      <c r="M1416">
        <v>12</v>
      </c>
      <c r="N1416">
        <v>3</v>
      </c>
      <c r="O1416">
        <v>1</v>
      </c>
      <c r="P1416" t="s">
        <v>79</v>
      </c>
      <c r="Q1416">
        <v>4</v>
      </c>
      <c r="R1416">
        <v>1</v>
      </c>
      <c r="S1416" t="s">
        <v>21</v>
      </c>
      <c r="T1416">
        <v>2</v>
      </c>
      <c r="U1416">
        <v>0</v>
      </c>
    </row>
    <row r="1417" spans="1:21" x14ac:dyDescent="0.25">
      <c r="A1417">
        <v>9841964</v>
      </c>
      <c r="B1417" t="s">
        <v>15</v>
      </c>
      <c r="C1417" s="1">
        <v>43234</v>
      </c>
      <c r="D1417" s="2">
        <f>YEAR(C1417)</f>
        <v>2018</v>
      </c>
      <c r="E1417">
        <v>570000</v>
      </c>
      <c r="F1417" t="s">
        <v>85</v>
      </c>
      <c r="G1417">
        <v>1969</v>
      </c>
      <c r="H1417">
        <v>1235</v>
      </c>
      <c r="I1417" t="s">
        <v>329</v>
      </c>
      <c r="J1417">
        <v>62</v>
      </c>
      <c r="K1417">
        <v>60062</v>
      </c>
      <c r="L1417">
        <v>2500</v>
      </c>
      <c r="M1417">
        <v>9</v>
      </c>
      <c r="N1417">
        <v>2</v>
      </c>
      <c r="O1417">
        <v>2</v>
      </c>
      <c r="P1417" t="s">
        <v>79</v>
      </c>
      <c r="Q1417">
        <v>4</v>
      </c>
      <c r="R1417">
        <v>0</v>
      </c>
      <c r="S1417" t="s">
        <v>21</v>
      </c>
      <c r="T1417">
        <v>2</v>
      </c>
      <c r="U1417">
        <v>0</v>
      </c>
    </row>
    <row r="1418" spans="1:21" x14ac:dyDescent="0.25">
      <c r="A1418">
        <v>9754647</v>
      </c>
      <c r="B1418" t="s">
        <v>15</v>
      </c>
      <c r="C1418" s="1">
        <v>43105</v>
      </c>
      <c r="D1418" s="2">
        <f>YEAR(C1418)</f>
        <v>2018</v>
      </c>
      <c r="E1418">
        <v>640000</v>
      </c>
      <c r="F1418" t="s">
        <v>85</v>
      </c>
      <c r="G1418">
        <v>1970</v>
      </c>
      <c r="H1418">
        <v>1308</v>
      </c>
      <c r="I1418" t="s">
        <v>499</v>
      </c>
      <c r="J1418">
        <v>62</v>
      </c>
      <c r="K1418">
        <v>60062</v>
      </c>
      <c r="L1418">
        <v>3724</v>
      </c>
      <c r="M1418">
        <v>13</v>
      </c>
      <c r="N1418">
        <v>4</v>
      </c>
      <c r="O1418">
        <v>1</v>
      </c>
      <c r="P1418" t="s">
        <v>79</v>
      </c>
      <c r="Q1418">
        <v>5</v>
      </c>
      <c r="R1418">
        <v>1</v>
      </c>
      <c r="S1418" t="s">
        <v>21</v>
      </c>
      <c r="T1418">
        <v>3</v>
      </c>
      <c r="U1418">
        <v>0</v>
      </c>
    </row>
    <row r="1419" spans="1:21" x14ac:dyDescent="0.25">
      <c r="A1419">
        <v>9598309</v>
      </c>
      <c r="B1419" t="s">
        <v>15</v>
      </c>
      <c r="C1419" s="1">
        <v>42892</v>
      </c>
      <c r="D1419" s="2">
        <f>YEAR(C1419)</f>
        <v>2017</v>
      </c>
      <c r="E1419">
        <v>639500</v>
      </c>
      <c r="F1419" t="s">
        <v>85</v>
      </c>
      <c r="G1419">
        <v>1970</v>
      </c>
      <c r="H1419">
        <v>3948</v>
      </c>
      <c r="I1419" t="s">
        <v>310</v>
      </c>
      <c r="J1419">
        <v>62</v>
      </c>
      <c r="K1419">
        <v>60062</v>
      </c>
      <c r="L1419">
        <v>3443</v>
      </c>
      <c r="M1419">
        <v>12</v>
      </c>
      <c r="N1419">
        <v>3</v>
      </c>
      <c r="O1419">
        <v>2</v>
      </c>
      <c r="P1419" t="s">
        <v>79</v>
      </c>
      <c r="Q1419">
        <v>5</v>
      </c>
      <c r="R1419">
        <v>0</v>
      </c>
      <c r="S1419" t="s">
        <v>21</v>
      </c>
      <c r="T1419">
        <v>2</v>
      </c>
      <c r="U1419">
        <v>0</v>
      </c>
    </row>
    <row r="1420" spans="1:21" x14ac:dyDescent="0.25">
      <c r="A1420">
        <v>9869210</v>
      </c>
      <c r="B1420" t="s">
        <v>15</v>
      </c>
      <c r="C1420" s="1">
        <v>43272</v>
      </c>
      <c r="D1420" s="2">
        <f>YEAR(C1420)</f>
        <v>2018</v>
      </c>
      <c r="E1420">
        <v>674500</v>
      </c>
      <c r="F1420" t="s">
        <v>85</v>
      </c>
      <c r="G1420">
        <v>1970</v>
      </c>
      <c r="H1420">
        <v>3948</v>
      </c>
      <c r="I1420" t="s">
        <v>310</v>
      </c>
      <c r="J1420">
        <v>62</v>
      </c>
      <c r="K1420">
        <v>60062</v>
      </c>
      <c r="L1420">
        <v>3443</v>
      </c>
      <c r="M1420">
        <v>11</v>
      </c>
      <c r="N1420">
        <v>3</v>
      </c>
      <c r="O1420">
        <v>2</v>
      </c>
      <c r="P1420" t="s">
        <v>79</v>
      </c>
      <c r="Q1420">
        <v>5</v>
      </c>
      <c r="R1420">
        <v>0</v>
      </c>
      <c r="S1420" t="s">
        <v>21</v>
      </c>
      <c r="T1420">
        <v>2</v>
      </c>
      <c r="U1420">
        <v>0</v>
      </c>
    </row>
    <row r="1421" spans="1:21" x14ac:dyDescent="0.25">
      <c r="A1421">
        <v>9615606</v>
      </c>
      <c r="B1421" t="s">
        <v>15</v>
      </c>
      <c r="C1421" s="1">
        <v>42901</v>
      </c>
      <c r="D1421" s="2">
        <f>YEAR(C1421)</f>
        <v>2017</v>
      </c>
      <c r="E1421">
        <v>515100</v>
      </c>
      <c r="F1421" t="s">
        <v>85</v>
      </c>
      <c r="G1421">
        <v>1970</v>
      </c>
      <c r="H1421">
        <v>4123</v>
      </c>
      <c r="I1421" t="s">
        <v>302</v>
      </c>
      <c r="J1421">
        <v>62</v>
      </c>
      <c r="K1421">
        <v>60062</v>
      </c>
      <c r="L1421">
        <v>2800</v>
      </c>
      <c r="M1421">
        <v>9</v>
      </c>
      <c r="N1421">
        <v>3</v>
      </c>
      <c r="O1421">
        <v>1</v>
      </c>
      <c r="P1421" t="s">
        <v>79</v>
      </c>
      <c r="Q1421">
        <v>5</v>
      </c>
      <c r="R1421">
        <v>0</v>
      </c>
      <c r="S1421" t="s">
        <v>21</v>
      </c>
      <c r="T1421">
        <v>2</v>
      </c>
      <c r="U1421">
        <v>0</v>
      </c>
    </row>
    <row r="1422" spans="1:21" x14ac:dyDescent="0.25">
      <c r="A1422">
        <v>9871174</v>
      </c>
      <c r="B1422" t="s">
        <v>15</v>
      </c>
      <c r="C1422" s="1">
        <v>43206</v>
      </c>
      <c r="D1422" s="2">
        <f>YEAR(C1422)</f>
        <v>2018</v>
      </c>
      <c r="E1422">
        <v>690000</v>
      </c>
      <c r="F1422" t="s">
        <v>85</v>
      </c>
      <c r="G1422">
        <v>1970</v>
      </c>
      <c r="H1422">
        <v>4123</v>
      </c>
      <c r="I1422" t="s">
        <v>302</v>
      </c>
      <c r="J1422">
        <v>62</v>
      </c>
      <c r="K1422">
        <v>60062</v>
      </c>
      <c r="L1422">
        <v>2800</v>
      </c>
      <c r="M1422">
        <v>8</v>
      </c>
      <c r="N1422">
        <v>3</v>
      </c>
      <c r="O1422">
        <v>1</v>
      </c>
      <c r="P1422" t="s">
        <v>79</v>
      </c>
      <c r="Q1422">
        <v>4</v>
      </c>
      <c r="R1422">
        <v>0</v>
      </c>
      <c r="S1422" t="s">
        <v>21</v>
      </c>
      <c r="T1422">
        <v>2</v>
      </c>
      <c r="U1422">
        <v>0</v>
      </c>
    </row>
    <row r="1423" spans="1:21" x14ac:dyDescent="0.25">
      <c r="A1423">
        <v>9711437</v>
      </c>
      <c r="B1423" t="s">
        <v>15</v>
      </c>
      <c r="C1423" s="1">
        <v>43041</v>
      </c>
      <c r="D1423" s="2">
        <f>YEAR(C1423)</f>
        <v>2017</v>
      </c>
      <c r="E1423">
        <v>465000</v>
      </c>
      <c r="F1423" t="s">
        <v>85</v>
      </c>
      <c r="G1423">
        <v>1970</v>
      </c>
      <c r="H1423">
        <v>2613</v>
      </c>
      <c r="I1423" t="s">
        <v>300</v>
      </c>
      <c r="J1423">
        <v>62</v>
      </c>
      <c r="K1423">
        <v>60062</v>
      </c>
      <c r="L1423">
        <v>2716</v>
      </c>
      <c r="M1423">
        <v>9</v>
      </c>
      <c r="N1423">
        <v>3</v>
      </c>
      <c r="O1423">
        <v>1</v>
      </c>
      <c r="P1423" t="s">
        <v>79</v>
      </c>
      <c r="Q1423">
        <v>4</v>
      </c>
      <c r="R1423">
        <v>1</v>
      </c>
      <c r="S1423" t="s">
        <v>21</v>
      </c>
      <c r="T1423">
        <v>2</v>
      </c>
      <c r="U1423">
        <v>0</v>
      </c>
    </row>
    <row r="1424" spans="1:21" x14ac:dyDescent="0.25">
      <c r="A1424">
        <v>9822300</v>
      </c>
      <c r="B1424" t="s">
        <v>15</v>
      </c>
      <c r="C1424" s="1">
        <v>43188</v>
      </c>
      <c r="D1424" s="2">
        <f>YEAR(C1424)</f>
        <v>2018</v>
      </c>
      <c r="E1424">
        <v>578000</v>
      </c>
      <c r="F1424" t="s">
        <v>85</v>
      </c>
      <c r="G1424">
        <v>1970</v>
      </c>
      <c r="H1424">
        <v>3405</v>
      </c>
      <c r="I1424" t="s">
        <v>326</v>
      </c>
      <c r="J1424">
        <v>62</v>
      </c>
      <c r="K1424">
        <v>60062</v>
      </c>
      <c r="L1424">
        <v>2522</v>
      </c>
      <c r="M1424">
        <v>10</v>
      </c>
      <c r="N1424">
        <v>3</v>
      </c>
      <c r="O1424">
        <v>1</v>
      </c>
      <c r="P1424" t="s">
        <v>79</v>
      </c>
      <c r="Q1424">
        <v>4</v>
      </c>
      <c r="R1424">
        <v>0</v>
      </c>
      <c r="S1424" t="s">
        <v>21</v>
      </c>
      <c r="T1424">
        <v>2</v>
      </c>
      <c r="U1424">
        <v>0</v>
      </c>
    </row>
    <row r="1425" spans="1:21" x14ac:dyDescent="0.25">
      <c r="A1425">
        <v>9663646</v>
      </c>
      <c r="B1425" t="s">
        <v>15</v>
      </c>
      <c r="C1425" s="1">
        <v>42944</v>
      </c>
      <c r="D1425" s="2">
        <f>YEAR(C1425)</f>
        <v>2017</v>
      </c>
      <c r="E1425">
        <v>437000</v>
      </c>
      <c r="F1425" t="s">
        <v>85</v>
      </c>
      <c r="G1425">
        <v>1970</v>
      </c>
      <c r="H1425">
        <v>4014</v>
      </c>
      <c r="I1425" t="s">
        <v>336</v>
      </c>
      <c r="J1425">
        <v>62</v>
      </c>
      <c r="K1425">
        <v>60062</v>
      </c>
      <c r="L1425">
        <v>1857</v>
      </c>
      <c r="M1425">
        <v>8</v>
      </c>
      <c r="N1425">
        <v>2</v>
      </c>
      <c r="O1425">
        <v>0</v>
      </c>
      <c r="P1425" t="s">
        <v>79</v>
      </c>
      <c r="Q1425">
        <v>3</v>
      </c>
      <c r="R1425">
        <v>0</v>
      </c>
      <c r="S1425" t="s">
        <v>21</v>
      </c>
      <c r="T1425">
        <v>2</v>
      </c>
      <c r="U1425">
        <v>0</v>
      </c>
    </row>
    <row r="1426" spans="1:21" x14ac:dyDescent="0.25">
      <c r="A1426">
        <v>9639455</v>
      </c>
      <c r="B1426" t="s">
        <v>15</v>
      </c>
      <c r="C1426" s="1">
        <v>43053</v>
      </c>
      <c r="D1426" s="2">
        <f>YEAR(C1426)</f>
        <v>2017</v>
      </c>
      <c r="E1426">
        <v>860000</v>
      </c>
      <c r="F1426" t="s">
        <v>85</v>
      </c>
      <c r="G1426">
        <v>1971</v>
      </c>
      <c r="H1426">
        <v>3750</v>
      </c>
      <c r="I1426" t="s">
        <v>303</v>
      </c>
      <c r="J1426">
        <v>62</v>
      </c>
      <c r="K1426">
        <v>60062</v>
      </c>
      <c r="L1426">
        <v>4100</v>
      </c>
      <c r="M1426">
        <v>15</v>
      </c>
      <c r="N1426">
        <v>3</v>
      </c>
      <c r="O1426">
        <v>2</v>
      </c>
      <c r="P1426" t="s">
        <v>79</v>
      </c>
      <c r="Q1426">
        <v>5</v>
      </c>
      <c r="R1426">
        <v>0</v>
      </c>
      <c r="S1426" t="s">
        <v>21</v>
      </c>
      <c r="T1426">
        <v>2.5</v>
      </c>
      <c r="U1426">
        <v>0</v>
      </c>
    </row>
    <row r="1427" spans="1:21" x14ac:dyDescent="0.25">
      <c r="A1427">
        <v>9563648</v>
      </c>
      <c r="B1427" t="s">
        <v>15</v>
      </c>
      <c r="C1427" s="1">
        <v>42909</v>
      </c>
      <c r="D1427" s="2">
        <f>YEAR(C1427)</f>
        <v>2017</v>
      </c>
      <c r="E1427">
        <v>610000</v>
      </c>
      <c r="F1427" t="s">
        <v>85</v>
      </c>
      <c r="G1427">
        <v>1971</v>
      </c>
      <c r="H1427">
        <v>3818</v>
      </c>
      <c r="I1427" t="s">
        <v>41</v>
      </c>
      <c r="J1427">
        <v>62</v>
      </c>
      <c r="K1427">
        <v>60062</v>
      </c>
      <c r="L1427">
        <v>3154</v>
      </c>
      <c r="M1427">
        <v>13</v>
      </c>
      <c r="N1427">
        <v>3</v>
      </c>
      <c r="O1427">
        <v>1</v>
      </c>
      <c r="P1427" t="s">
        <v>79</v>
      </c>
      <c r="Q1427">
        <v>4</v>
      </c>
      <c r="R1427">
        <v>1</v>
      </c>
      <c r="S1427" t="s">
        <v>21</v>
      </c>
      <c r="T1427">
        <v>3</v>
      </c>
      <c r="U1427">
        <v>0</v>
      </c>
    </row>
    <row r="1428" spans="1:21" x14ac:dyDescent="0.25">
      <c r="A1428">
        <v>9798332</v>
      </c>
      <c r="B1428" t="s">
        <v>15</v>
      </c>
      <c r="C1428" s="1">
        <v>43105</v>
      </c>
      <c r="D1428" s="2">
        <f>YEAR(C1428)</f>
        <v>2018</v>
      </c>
      <c r="E1428">
        <v>637500</v>
      </c>
      <c r="F1428" t="s">
        <v>85</v>
      </c>
      <c r="G1428">
        <v>1971</v>
      </c>
      <c r="H1428">
        <v>412</v>
      </c>
      <c r="I1428" t="s">
        <v>353</v>
      </c>
      <c r="J1428">
        <v>62</v>
      </c>
      <c r="K1428">
        <v>60062</v>
      </c>
      <c r="L1428">
        <v>3018</v>
      </c>
      <c r="M1428">
        <v>11</v>
      </c>
      <c r="N1428">
        <v>3</v>
      </c>
      <c r="O1428">
        <v>1</v>
      </c>
      <c r="P1428" t="s">
        <v>79</v>
      </c>
      <c r="Q1428">
        <v>4</v>
      </c>
      <c r="R1428">
        <v>1</v>
      </c>
      <c r="S1428" t="s">
        <v>21</v>
      </c>
      <c r="T1428">
        <v>2.5</v>
      </c>
      <c r="U1428">
        <v>0</v>
      </c>
    </row>
    <row r="1429" spans="1:21" x14ac:dyDescent="0.25">
      <c r="A1429">
        <v>9986883</v>
      </c>
      <c r="B1429" t="s">
        <v>15</v>
      </c>
      <c r="C1429" s="1">
        <v>43364</v>
      </c>
      <c r="D1429" s="2">
        <f>YEAR(C1429)</f>
        <v>2018</v>
      </c>
      <c r="E1429">
        <v>378000</v>
      </c>
      <c r="F1429" t="s">
        <v>85</v>
      </c>
      <c r="G1429">
        <v>1971</v>
      </c>
      <c r="H1429">
        <v>1165</v>
      </c>
      <c r="I1429" t="s">
        <v>378</v>
      </c>
      <c r="J1429">
        <v>62</v>
      </c>
      <c r="K1429">
        <v>60062</v>
      </c>
      <c r="L1429">
        <v>2098</v>
      </c>
      <c r="M1429">
        <v>10</v>
      </c>
      <c r="N1429">
        <v>3</v>
      </c>
      <c r="O1429">
        <v>1</v>
      </c>
      <c r="P1429" t="s">
        <v>79</v>
      </c>
      <c r="Q1429">
        <v>4</v>
      </c>
      <c r="R1429">
        <v>0</v>
      </c>
      <c r="S1429" t="s">
        <v>21</v>
      </c>
      <c r="T1429">
        <v>2.5</v>
      </c>
      <c r="U1429">
        <v>0</v>
      </c>
    </row>
    <row r="1430" spans="1:21" x14ac:dyDescent="0.25">
      <c r="A1430">
        <v>9840001</v>
      </c>
      <c r="B1430" t="s">
        <v>15</v>
      </c>
      <c r="C1430" s="1">
        <v>43181</v>
      </c>
      <c r="D1430" s="2">
        <f>YEAR(C1430)</f>
        <v>2018</v>
      </c>
      <c r="E1430">
        <v>710000</v>
      </c>
      <c r="F1430" t="s">
        <v>85</v>
      </c>
      <c r="G1430">
        <v>1972</v>
      </c>
      <c r="H1430">
        <v>4018</v>
      </c>
      <c r="I1430" t="s">
        <v>303</v>
      </c>
      <c r="J1430">
        <v>62</v>
      </c>
      <c r="K1430">
        <v>60062</v>
      </c>
      <c r="L1430">
        <v>5328</v>
      </c>
      <c r="M1430">
        <v>12</v>
      </c>
      <c r="N1430">
        <v>6</v>
      </c>
      <c r="O1430">
        <v>1</v>
      </c>
      <c r="P1430" t="s">
        <v>79</v>
      </c>
      <c r="Q1430">
        <v>5</v>
      </c>
      <c r="R1430">
        <v>0</v>
      </c>
      <c r="S1430" t="s">
        <v>21</v>
      </c>
      <c r="T1430">
        <v>2</v>
      </c>
      <c r="U1430">
        <v>0</v>
      </c>
    </row>
    <row r="1431" spans="1:21" x14ac:dyDescent="0.25">
      <c r="A1431">
        <v>9840699</v>
      </c>
      <c r="B1431" t="s">
        <v>15</v>
      </c>
      <c r="C1431" s="1">
        <v>43210</v>
      </c>
      <c r="D1431" s="2">
        <f>YEAR(C1431)</f>
        <v>2018</v>
      </c>
      <c r="E1431">
        <v>739000</v>
      </c>
      <c r="F1431" t="s">
        <v>85</v>
      </c>
      <c r="G1431">
        <v>1972</v>
      </c>
      <c r="H1431">
        <v>2179</v>
      </c>
      <c r="I1431" t="s">
        <v>500</v>
      </c>
      <c r="J1431">
        <v>62</v>
      </c>
      <c r="K1431">
        <v>60062</v>
      </c>
      <c r="L1431">
        <v>4700</v>
      </c>
      <c r="M1431">
        <v>14</v>
      </c>
      <c r="N1431">
        <v>5</v>
      </c>
      <c r="O1431">
        <v>1</v>
      </c>
      <c r="P1431" t="s">
        <v>79</v>
      </c>
      <c r="Q1431">
        <v>7</v>
      </c>
      <c r="R1431">
        <v>0</v>
      </c>
      <c r="S1431" t="s">
        <v>21</v>
      </c>
      <c r="T1431">
        <v>2</v>
      </c>
      <c r="U1431">
        <v>0</v>
      </c>
    </row>
    <row r="1432" spans="1:21" x14ac:dyDescent="0.25">
      <c r="A1432">
        <v>9691168</v>
      </c>
      <c r="B1432" t="s">
        <v>15</v>
      </c>
      <c r="C1432" s="1">
        <v>42975</v>
      </c>
      <c r="D1432" s="2">
        <f>YEAR(C1432)</f>
        <v>2017</v>
      </c>
      <c r="E1432">
        <v>570000</v>
      </c>
      <c r="F1432" t="s">
        <v>85</v>
      </c>
      <c r="G1432">
        <v>1972</v>
      </c>
      <c r="H1432">
        <v>2680</v>
      </c>
      <c r="I1432" t="s">
        <v>501</v>
      </c>
      <c r="J1432">
        <v>62</v>
      </c>
      <c r="K1432">
        <v>60062</v>
      </c>
      <c r="L1432">
        <v>3042</v>
      </c>
      <c r="M1432">
        <v>13</v>
      </c>
      <c r="N1432">
        <v>3</v>
      </c>
      <c r="O1432">
        <v>2</v>
      </c>
      <c r="P1432" t="s">
        <v>79</v>
      </c>
      <c r="Q1432">
        <v>4</v>
      </c>
      <c r="R1432">
        <v>1</v>
      </c>
      <c r="S1432" t="s">
        <v>21</v>
      </c>
      <c r="T1432">
        <v>2.5</v>
      </c>
      <c r="U1432">
        <v>0</v>
      </c>
    </row>
    <row r="1433" spans="1:21" x14ac:dyDescent="0.25">
      <c r="A1433">
        <v>9816015</v>
      </c>
      <c r="B1433" t="s">
        <v>15</v>
      </c>
      <c r="C1433" s="1">
        <v>43244</v>
      </c>
      <c r="D1433" s="2">
        <f>YEAR(C1433)</f>
        <v>2018</v>
      </c>
      <c r="E1433">
        <v>610000</v>
      </c>
      <c r="F1433" t="s">
        <v>85</v>
      </c>
      <c r="G1433">
        <v>1972</v>
      </c>
      <c r="H1433">
        <v>2245</v>
      </c>
      <c r="I1433" t="s">
        <v>502</v>
      </c>
      <c r="J1433">
        <v>62</v>
      </c>
      <c r="K1433">
        <v>60062</v>
      </c>
      <c r="L1433">
        <v>2958</v>
      </c>
      <c r="M1433">
        <v>9</v>
      </c>
      <c r="N1433">
        <v>3</v>
      </c>
      <c r="O1433">
        <v>2</v>
      </c>
      <c r="P1433" t="s">
        <v>79</v>
      </c>
      <c r="Q1433">
        <v>4</v>
      </c>
      <c r="R1433">
        <v>1</v>
      </c>
      <c r="S1433" t="s">
        <v>21</v>
      </c>
      <c r="T1433">
        <v>2</v>
      </c>
      <c r="U1433">
        <v>0</v>
      </c>
    </row>
    <row r="1434" spans="1:21" x14ac:dyDescent="0.25">
      <c r="A1434">
        <v>9646632</v>
      </c>
      <c r="B1434" t="s">
        <v>15</v>
      </c>
      <c r="C1434" s="1">
        <v>42999</v>
      </c>
      <c r="D1434" s="2">
        <f>YEAR(C1434)</f>
        <v>2017</v>
      </c>
      <c r="E1434">
        <v>575000</v>
      </c>
      <c r="F1434" t="s">
        <v>85</v>
      </c>
      <c r="G1434">
        <v>1972</v>
      </c>
      <c r="H1434">
        <v>3826</v>
      </c>
      <c r="I1434" t="s">
        <v>315</v>
      </c>
      <c r="J1434">
        <v>62</v>
      </c>
      <c r="K1434">
        <v>60062</v>
      </c>
      <c r="L1434">
        <v>2618</v>
      </c>
      <c r="M1434">
        <v>10</v>
      </c>
      <c r="N1434">
        <v>3</v>
      </c>
      <c r="O1434">
        <v>1</v>
      </c>
      <c r="P1434" t="s">
        <v>79</v>
      </c>
      <c r="Q1434">
        <v>3</v>
      </c>
      <c r="R1434">
        <v>1</v>
      </c>
      <c r="S1434" t="s">
        <v>21</v>
      </c>
      <c r="T1434">
        <v>2</v>
      </c>
      <c r="U1434">
        <v>0</v>
      </c>
    </row>
    <row r="1435" spans="1:21" x14ac:dyDescent="0.25">
      <c r="A1435">
        <v>9562239</v>
      </c>
      <c r="B1435" t="s">
        <v>15</v>
      </c>
      <c r="C1435" s="1">
        <v>43105</v>
      </c>
      <c r="D1435" s="2">
        <f>YEAR(C1435)</f>
        <v>2018</v>
      </c>
      <c r="E1435">
        <v>330000</v>
      </c>
      <c r="F1435" t="s">
        <v>85</v>
      </c>
      <c r="G1435">
        <v>1972</v>
      </c>
      <c r="H1435">
        <v>3435</v>
      </c>
      <c r="I1435" t="s">
        <v>481</v>
      </c>
      <c r="J1435">
        <v>62</v>
      </c>
      <c r="K1435">
        <v>60062</v>
      </c>
      <c r="L1435">
        <v>1900</v>
      </c>
      <c r="M1435">
        <v>9</v>
      </c>
      <c r="N1435">
        <v>2</v>
      </c>
      <c r="O1435">
        <v>1</v>
      </c>
      <c r="P1435" t="s">
        <v>79</v>
      </c>
      <c r="Q1435">
        <v>3</v>
      </c>
      <c r="R1435">
        <v>0</v>
      </c>
      <c r="S1435" t="s">
        <v>21</v>
      </c>
      <c r="T1435">
        <v>2</v>
      </c>
      <c r="U1435">
        <v>0</v>
      </c>
    </row>
    <row r="1436" spans="1:21" x14ac:dyDescent="0.25">
      <c r="A1436">
        <v>9511622</v>
      </c>
      <c r="B1436" t="s">
        <v>15</v>
      </c>
      <c r="C1436" s="1">
        <v>42878</v>
      </c>
      <c r="D1436" s="2">
        <f>YEAR(C1436)</f>
        <v>2017</v>
      </c>
      <c r="E1436">
        <v>401100</v>
      </c>
      <c r="F1436" t="s">
        <v>85</v>
      </c>
      <c r="G1436">
        <v>1973</v>
      </c>
      <c r="H1436">
        <v>9001</v>
      </c>
      <c r="I1436" t="s">
        <v>47</v>
      </c>
      <c r="J1436">
        <v>76</v>
      </c>
      <c r="K1436">
        <v>60077</v>
      </c>
      <c r="L1436">
        <v>2967</v>
      </c>
      <c r="M1436">
        <v>8</v>
      </c>
      <c r="N1436">
        <v>2</v>
      </c>
      <c r="O1436">
        <v>1</v>
      </c>
      <c r="P1436" t="s">
        <v>79</v>
      </c>
      <c r="Q1436">
        <v>4</v>
      </c>
      <c r="R1436">
        <v>0</v>
      </c>
      <c r="S1436" t="s">
        <v>21</v>
      </c>
      <c r="T1436">
        <v>2</v>
      </c>
      <c r="U1436">
        <v>0</v>
      </c>
    </row>
    <row r="1437" spans="1:21" x14ac:dyDescent="0.25">
      <c r="A1437">
        <v>9897005</v>
      </c>
      <c r="B1437" t="s">
        <v>15</v>
      </c>
      <c r="C1437" s="1">
        <v>43256</v>
      </c>
      <c r="D1437" s="2">
        <f>YEAR(C1437)</f>
        <v>2018</v>
      </c>
      <c r="E1437">
        <v>395000</v>
      </c>
      <c r="F1437" t="s">
        <v>85</v>
      </c>
      <c r="G1437">
        <v>1973</v>
      </c>
      <c r="H1437">
        <v>9451</v>
      </c>
      <c r="I1437" t="s">
        <v>33</v>
      </c>
      <c r="J1437">
        <v>76</v>
      </c>
      <c r="K1437">
        <v>60077</v>
      </c>
      <c r="L1437">
        <v>1431</v>
      </c>
      <c r="M1437">
        <v>8</v>
      </c>
      <c r="N1437">
        <v>2</v>
      </c>
      <c r="O1437">
        <v>0</v>
      </c>
      <c r="P1437" t="s">
        <v>79</v>
      </c>
      <c r="Q1437">
        <v>4</v>
      </c>
      <c r="R1437">
        <v>0</v>
      </c>
      <c r="S1437" t="s">
        <v>21</v>
      </c>
      <c r="T1437">
        <v>2</v>
      </c>
      <c r="U1437">
        <v>0</v>
      </c>
    </row>
    <row r="1438" spans="1:21" x14ac:dyDescent="0.25">
      <c r="A1438">
        <v>9799935</v>
      </c>
      <c r="B1438" t="s">
        <v>15</v>
      </c>
      <c r="C1438" s="1">
        <v>43252</v>
      </c>
      <c r="D1438" s="2">
        <f>YEAR(C1438)</f>
        <v>2018</v>
      </c>
      <c r="E1438">
        <v>727000</v>
      </c>
      <c r="F1438" t="s">
        <v>85</v>
      </c>
      <c r="G1438">
        <v>1973</v>
      </c>
      <c r="H1438">
        <v>3415</v>
      </c>
      <c r="I1438" t="s">
        <v>503</v>
      </c>
      <c r="J1438">
        <v>62</v>
      </c>
      <c r="K1438">
        <v>60062</v>
      </c>
      <c r="L1438">
        <v>5240</v>
      </c>
      <c r="M1438">
        <v>12</v>
      </c>
      <c r="N1438">
        <v>5</v>
      </c>
      <c r="O1438">
        <v>1</v>
      </c>
      <c r="P1438" t="s">
        <v>79</v>
      </c>
      <c r="Q1438">
        <v>5</v>
      </c>
      <c r="R1438">
        <v>0</v>
      </c>
      <c r="S1438" t="s">
        <v>21</v>
      </c>
      <c r="T1438">
        <v>2.5</v>
      </c>
      <c r="U1438">
        <v>0</v>
      </c>
    </row>
    <row r="1439" spans="1:21" x14ac:dyDescent="0.25">
      <c r="A1439">
        <v>10007341</v>
      </c>
      <c r="B1439" t="s">
        <v>15</v>
      </c>
      <c r="C1439" s="1">
        <v>43385</v>
      </c>
      <c r="D1439" s="2">
        <f>YEAR(C1439)</f>
        <v>2018</v>
      </c>
      <c r="E1439">
        <v>710000</v>
      </c>
      <c r="F1439" t="s">
        <v>85</v>
      </c>
      <c r="G1439">
        <v>1973</v>
      </c>
      <c r="H1439">
        <v>3539</v>
      </c>
      <c r="I1439" t="s">
        <v>327</v>
      </c>
      <c r="J1439">
        <v>62</v>
      </c>
      <c r="K1439">
        <v>60062</v>
      </c>
      <c r="L1439">
        <v>4078</v>
      </c>
      <c r="M1439">
        <v>11</v>
      </c>
      <c r="N1439">
        <v>4</v>
      </c>
      <c r="O1439">
        <v>1</v>
      </c>
      <c r="P1439" t="s">
        <v>79</v>
      </c>
      <c r="Q1439">
        <v>4</v>
      </c>
      <c r="R1439">
        <v>0</v>
      </c>
      <c r="S1439" t="s">
        <v>21</v>
      </c>
      <c r="T1439">
        <v>3</v>
      </c>
      <c r="U1439">
        <v>0</v>
      </c>
    </row>
    <row r="1440" spans="1:21" x14ac:dyDescent="0.25">
      <c r="A1440">
        <v>9508517</v>
      </c>
      <c r="B1440" t="s">
        <v>15</v>
      </c>
      <c r="C1440" s="1">
        <v>42870</v>
      </c>
      <c r="D1440" s="2">
        <f>YEAR(C1440)</f>
        <v>2017</v>
      </c>
      <c r="E1440">
        <v>610000</v>
      </c>
      <c r="F1440" t="s">
        <v>85</v>
      </c>
      <c r="G1440">
        <v>1973</v>
      </c>
      <c r="H1440">
        <v>2327</v>
      </c>
      <c r="I1440" t="s">
        <v>502</v>
      </c>
      <c r="J1440">
        <v>62</v>
      </c>
      <c r="K1440">
        <v>60062</v>
      </c>
      <c r="L1440">
        <v>3708</v>
      </c>
      <c r="M1440">
        <v>12</v>
      </c>
      <c r="N1440">
        <v>3</v>
      </c>
      <c r="O1440">
        <v>1</v>
      </c>
      <c r="P1440" t="s">
        <v>79</v>
      </c>
      <c r="Q1440">
        <v>4</v>
      </c>
      <c r="R1440">
        <v>0</v>
      </c>
      <c r="S1440" t="s">
        <v>21</v>
      </c>
      <c r="T1440">
        <v>2</v>
      </c>
      <c r="U1440">
        <v>0</v>
      </c>
    </row>
    <row r="1441" spans="1:21" x14ac:dyDescent="0.25">
      <c r="A1441">
        <v>9521916</v>
      </c>
      <c r="B1441" t="s">
        <v>15</v>
      </c>
      <c r="C1441" s="1">
        <v>42872</v>
      </c>
      <c r="D1441" s="2">
        <f>YEAR(C1441)</f>
        <v>2017</v>
      </c>
      <c r="E1441">
        <v>635000</v>
      </c>
      <c r="F1441" t="s">
        <v>85</v>
      </c>
      <c r="G1441">
        <v>1973</v>
      </c>
      <c r="H1441">
        <v>3040</v>
      </c>
      <c r="I1441" t="s">
        <v>311</v>
      </c>
      <c r="J1441">
        <v>62</v>
      </c>
      <c r="K1441">
        <v>60062</v>
      </c>
      <c r="L1441">
        <v>3092</v>
      </c>
      <c r="M1441">
        <v>10</v>
      </c>
      <c r="N1441">
        <v>3</v>
      </c>
      <c r="O1441">
        <v>1</v>
      </c>
      <c r="P1441" t="s">
        <v>79</v>
      </c>
      <c r="Q1441">
        <v>4</v>
      </c>
      <c r="R1441">
        <v>0</v>
      </c>
      <c r="S1441" t="s">
        <v>21</v>
      </c>
      <c r="T1441">
        <v>2</v>
      </c>
      <c r="U1441">
        <v>0</v>
      </c>
    </row>
    <row r="1442" spans="1:21" x14ac:dyDescent="0.25">
      <c r="A1442">
        <v>9825320</v>
      </c>
      <c r="B1442" t="s">
        <v>15</v>
      </c>
      <c r="C1442" s="1">
        <v>43210</v>
      </c>
      <c r="D1442" s="2">
        <f>YEAR(C1442)</f>
        <v>2018</v>
      </c>
      <c r="E1442">
        <v>605000</v>
      </c>
      <c r="F1442" t="s">
        <v>85</v>
      </c>
      <c r="G1442">
        <v>1973</v>
      </c>
      <c r="H1442">
        <v>2100</v>
      </c>
      <c r="I1442" t="s">
        <v>359</v>
      </c>
      <c r="J1442">
        <v>62</v>
      </c>
      <c r="K1442">
        <v>60062</v>
      </c>
      <c r="L1442">
        <v>2736</v>
      </c>
      <c r="M1442">
        <v>11</v>
      </c>
      <c r="N1442">
        <v>3</v>
      </c>
      <c r="O1442">
        <v>1</v>
      </c>
      <c r="P1442" t="s">
        <v>79</v>
      </c>
      <c r="Q1442">
        <v>4</v>
      </c>
      <c r="R1442">
        <v>1</v>
      </c>
      <c r="S1442" t="s">
        <v>21</v>
      </c>
      <c r="T1442">
        <v>2</v>
      </c>
      <c r="U1442">
        <v>0</v>
      </c>
    </row>
    <row r="1443" spans="1:21" x14ac:dyDescent="0.25">
      <c r="A1443">
        <v>9873849</v>
      </c>
      <c r="B1443" t="s">
        <v>15</v>
      </c>
      <c r="C1443" s="1">
        <v>43398</v>
      </c>
      <c r="D1443" s="2">
        <f>YEAR(C1443)</f>
        <v>2018</v>
      </c>
      <c r="E1443">
        <v>1700000</v>
      </c>
      <c r="F1443" t="s">
        <v>85</v>
      </c>
      <c r="G1443">
        <v>1974</v>
      </c>
      <c r="H1443">
        <v>1780</v>
      </c>
      <c r="I1443" t="s">
        <v>504</v>
      </c>
      <c r="J1443">
        <v>62</v>
      </c>
      <c r="K1443">
        <v>60062</v>
      </c>
      <c r="L1443">
        <v>10696</v>
      </c>
      <c r="M1443">
        <v>15</v>
      </c>
      <c r="N1443">
        <v>6</v>
      </c>
      <c r="O1443">
        <v>1</v>
      </c>
      <c r="P1443" t="s">
        <v>79</v>
      </c>
      <c r="Q1443">
        <v>5</v>
      </c>
      <c r="R1443">
        <v>0</v>
      </c>
      <c r="S1443" t="s">
        <v>21</v>
      </c>
      <c r="T1443">
        <v>4</v>
      </c>
      <c r="U1443">
        <v>0</v>
      </c>
    </row>
    <row r="1444" spans="1:21" x14ac:dyDescent="0.25">
      <c r="A1444">
        <v>9587385</v>
      </c>
      <c r="B1444" t="s">
        <v>15</v>
      </c>
      <c r="C1444" s="1">
        <v>42885</v>
      </c>
      <c r="D1444" s="2">
        <f>YEAR(C1444)</f>
        <v>2017</v>
      </c>
      <c r="E1444">
        <v>680000</v>
      </c>
      <c r="F1444" t="s">
        <v>85</v>
      </c>
      <c r="G1444">
        <v>1975</v>
      </c>
      <c r="H1444">
        <v>2143</v>
      </c>
      <c r="I1444" t="s">
        <v>505</v>
      </c>
      <c r="J1444">
        <v>62</v>
      </c>
      <c r="K1444">
        <v>60062</v>
      </c>
      <c r="L1444">
        <v>3509</v>
      </c>
      <c r="M1444">
        <v>12</v>
      </c>
      <c r="N1444">
        <v>4</v>
      </c>
      <c r="O1444">
        <v>1</v>
      </c>
      <c r="P1444" t="s">
        <v>79</v>
      </c>
      <c r="Q1444">
        <v>4</v>
      </c>
      <c r="R1444">
        <v>0</v>
      </c>
      <c r="S1444" t="s">
        <v>21</v>
      </c>
      <c r="T1444">
        <v>2</v>
      </c>
      <c r="U1444">
        <v>0</v>
      </c>
    </row>
    <row r="1445" spans="1:21" x14ac:dyDescent="0.25">
      <c r="A1445">
        <v>9518236</v>
      </c>
      <c r="B1445" t="s">
        <v>15</v>
      </c>
      <c r="C1445" s="1">
        <v>42836</v>
      </c>
      <c r="D1445" s="2">
        <f>YEAR(C1445)</f>
        <v>2017</v>
      </c>
      <c r="E1445">
        <v>620000</v>
      </c>
      <c r="F1445" t="s">
        <v>85</v>
      </c>
      <c r="G1445">
        <v>1975</v>
      </c>
      <c r="H1445">
        <v>1907</v>
      </c>
      <c r="I1445" t="s">
        <v>367</v>
      </c>
      <c r="J1445">
        <v>62</v>
      </c>
      <c r="K1445">
        <v>60062</v>
      </c>
      <c r="L1445">
        <v>2867</v>
      </c>
      <c r="M1445">
        <v>10</v>
      </c>
      <c r="N1445">
        <v>3</v>
      </c>
      <c r="O1445">
        <v>1</v>
      </c>
      <c r="P1445" t="s">
        <v>79</v>
      </c>
      <c r="Q1445">
        <v>5</v>
      </c>
      <c r="R1445">
        <v>0</v>
      </c>
      <c r="S1445" t="s">
        <v>21</v>
      </c>
      <c r="T1445">
        <v>2</v>
      </c>
      <c r="U1445">
        <v>0</v>
      </c>
    </row>
    <row r="1446" spans="1:21" x14ac:dyDescent="0.25">
      <c r="A1446">
        <v>9569585</v>
      </c>
      <c r="B1446" t="s">
        <v>15</v>
      </c>
      <c r="C1446" s="1">
        <v>42863</v>
      </c>
      <c r="D1446" s="2">
        <f>YEAR(C1446)</f>
        <v>2017</v>
      </c>
      <c r="E1446">
        <v>712000</v>
      </c>
      <c r="F1446" t="s">
        <v>85</v>
      </c>
      <c r="G1446">
        <v>1975</v>
      </c>
      <c r="H1446">
        <v>2820</v>
      </c>
      <c r="I1446" t="s">
        <v>371</v>
      </c>
      <c r="J1446">
        <v>62</v>
      </c>
      <c r="K1446">
        <v>60062</v>
      </c>
      <c r="L1446">
        <v>2750</v>
      </c>
      <c r="M1446">
        <v>10</v>
      </c>
      <c r="N1446">
        <v>3</v>
      </c>
      <c r="O1446">
        <v>1</v>
      </c>
      <c r="P1446" t="s">
        <v>79</v>
      </c>
      <c r="Q1446">
        <v>4</v>
      </c>
      <c r="R1446">
        <v>1</v>
      </c>
      <c r="S1446" t="s">
        <v>21</v>
      </c>
      <c r="T1446">
        <v>2</v>
      </c>
      <c r="U1446">
        <v>0</v>
      </c>
    </row>
    <row r="1447" spans="1:21" x14ac:dyDescent="0.25">
      <c r="A1447">
        <v>9506443</v>
      </c>
      <c r="B1447" t="s">
        <v>15</v>
      </c>
      <c r="C1447" s="1">
        <v>42900</v>
      </c>
      <c r="D1447" s="2">
        <f>YEAR(C1447)</f>
        <v>2017</v>
      </c>
      <c r="E1447">
        <v>425000</v>
      </c>
      <c r="F1447" t="s">
        <v>85</v>
      </c>
      <c r="G1447">
        <v>1975</v>
      </c>
      <c r="H1447">
        <v>15</v>
      </c>
      <c r="I1447" t="s">
        <v>365</v>
      </c>
      <c r="J1447">
        <v>62</v>
      </c>
      <c r="K1447">
        <v>60062</v>
      </c>
      <c r="L1447">
        <v>1525</v>
      </c>
      <c r="M1447">
        <v>7</v>
      </c>
      <c r="N1447">
        <v>3</v>
      </c>
      <c r="O1447">
        <v>0</v>
      </c>
      <c r="P1447" t="s">
        <v>79</v>
      </c>
      <c r="Q1447">
        <v>3</v>
      </c>
      <c r="R1447">
        <v>0</v>
      </c>
      <c r="S1447" t="s">
        <v>21</v>
      </c>
      <c r="T1447">
        <v>2</v>
      </c>
      <c r="U1447">
        <v>0</v>
      </c>
    </row>
    <row r="1448" spans="1:21" x14ac:dyDescent="0.25">
      <c r="A1448">
        <v>9653109</v>
      </c>
      <c r="B1448" t="s">
        <v>15</v>
      </c>
      <c r="C1448" s="1">
        <v>42949</v>
      </c>
      <c r="D1448" s="2">
        <f>YEAR(C1448)</f>
        <v>2017</v>
      </c>
      <c r="E1448">
        <v>715000</v>
      </c>
      <c r="F1448" t="s">
        <v>85</v>
      </c>
      <c r="G1448">
        <v>1976</v>
      </c>
      <c r="H1448">
        <v>3338</v>
      </c>
      <c r="I1448" t="s">
        <v>506</v>
      </c>
      <c r="J1448">
        <v>62</v>
      </c>
      <c r="K1448">
        <v>60062</v>
      </c>
      <c r="L1448">
        <v>3767</v>
      </c>
      <c r="M1448">
        <v>13</v>
      </c>
      <c r="N1448">
        <v>3</v>
      </c>
      <c r="O1448">
        <v>1</v>
      </c>
      <c r="P1448" t="s">
        <v>79</v>
      </c>
      <c r="Q1448">
        <v>4</v>
      </c>
      <c r="R1448">
        <v>1</v>
      </c>
      <c r="S1448" t="s">
        <v>21</v>
      </c>
      <c r="T1448">
        <v>2</v>
      </c>
      <c r="U1448">
        <v>0</v>
      </c>
    </row>
    <row r="1449" spans="1:21" x14ac:dyDescent="0.25">
      <c r="A1449">
        <v>10015165</v>
      </c>
      <c r="B1449" t="s">
        <v>15</v>
      </c>
      <c r="C1449" s="1">
        <v>43433</v>
      </c>
      <c r="D1449" s="2">
        <f>YEAR(C1449)</f>
        <v>2018</v>
      </c>
      <c r="E1449">
        <v>650000</v>
      </c>
      <c r="F1449" t="s">
        <v>85</v>
      </c>
      <c r="G1449">
        <v>1976</v>
      </c>
      <c r="H1449">
        <v>1920</v>
      </c>
      <c r="I1449" t="s">
        <v>367</v>
      </c>
      <c r="J1449">
        <v>62</v>
      </c>
      <c r="K1449">
        <v>60062</v>
      </c>
      <c r="L1449">
        <v>3121</v>
      </c>
      <c r="M1449">
        <v>10</v>
      </c>
      <c r="N1449">
        <v>3</v>
      </c>
      <c r="O1449">
        <v>1</v>
      </c>
      <c r="P1449" t="s">
        <v>79</v>
      </c>
      <c r="Q1449">
        <v>4</v>
      </c>
      <c r="R1449">
        <v>1</v>
      </c>
      <c r="S1449" t="s">
        <v>21</v>
      </c>
      <c r="T1449">
        <v>2</v>
      </c>
      <c r="U1449">
        <v>0</v>
      </c>
    </row>
    <row r="1450" spans="1:21" x14ac:dyDescent="0.25">
      <c r="A1450">
        <v>9896705</v>
      </c>
      <c r="B1450" t="s">
        <v>15</v>
      </c>
      <c r="C1450" s="1">
        <v>43276</v>
      </c>
      <c r="D1450" s="2">
        <f>YEAR(C1450)</f>
        <v>2018</v>
      </c>
      <c r="E1450">
        <v>670000</v>
      </c>
      <c r="F1450" t="s">
        <v>85</v>
      </c>
      <c r="G1450">
        <v>1976</v>
      </c>
      <c r="H1450">
        <v>2400</v>
      </c>
      <c r="I1450" t="s">
        <v>372</v>
      </c>
      <c r="J1450">
        <v>62</v>
      </c>
      <c r="K1450">
        <v>60062</v>
      </c>
      <c r="L1450">
        <v>2750</v>
      </c>
      <c r="M1450">
        <v>11</v>
      </c>
      <c r="N1450">
        <v>3</v>
      </c>
      <c r="O1450">
        <v>1</v>
      </c>
      <c r="P1450" t="s">
        <v>79</v>
      </c>
      <c r="Q1450">
        <v>4</v>
      </c>
      <c r="R1450">
        <v>1</v>
      </c>
      <c r="S1450" t="s">
        <v>21</v>
      </c>
      <c r="T1450">
        <v>2.5</v>
      </c>
      <c r="U1450">
        <v>0</v>
      </c>
    </row>
    <row r="1451" spans="1:21" x14ac:dyDescent="0.25">
      <c r="A1451">
        <v>9669205</v>
      </c>
      <c r="B1451" t="s">
        <v>15</v>
      </c>
      <c r="C1451" s="1">
        <v>42972</v>
      </c>
      <c r="D1451" s="2">
        <f>YEAR(C1451)</f>
        <v>2017</v>
      </c>
      <c r="E1451">
        <v>285000</v>
      </c>
      <c r="F1451" t="s">
        <v>85</v>
      </c>
      <c r="G1451">
        <v>1977</v>
      </c>
      <c r="H1451">
        <v>7945</v>
      </c>
      <c r="I1451" t="s">
        <v>148</v>
      </c>
      <c r="J1451">
        <v>76</v>
      </c>
      <c r="K1451">
        <v>60076</v>
      </c>
      <c r="L1451">
        <v>1200</v>
      </c>
      <c r="M1451">
        <v>6</v>
      </c>
      <c r="N1451">
        <v>2</v>
      </c>
      <c r="O1451">
        <v>0</v>
      </c>
      <c r="P1451" t="s">
        <v>79</v>
      </c>
      <c r="Q1451">
        <v>2</v>
      </c>
      <c r="R1451">
        <v>1</v>
      </c>
      <c r="S1451" t="s">
        <v>22</v>
      </c>
      <c r="T1451">
        <v>2</v>
      </c>
      <c r="U1451">
        <v>0</v>
      </c>
    </row>
    <row r="1452" spans="1:21" x14ac:dyDescent="0.25">
      <c r="A1452">
        <v>9942667</v>
      </c>
      <c r="B1452" t="s">
        <v>15</v>
      </c>
      <c r="C1452" s="1">
        <v>43266</v>
      </c>
      <c r="D1452" s="2">
        <f>YEAR(C1452)</f>
        <v>2018</v>
      </c>
      <c r="E1452">
        <v>645000</v>
      </c>
      <c r="F1452" t="s">
        <v>85</v>
      </c>
      <c r="G1452">
        <v>1977</v>
      </c>
      <c r="H1452">
        <v>3616</v>
      </c>
      <c r="I1452" t="s">
        <v>419</v>
      </c>
      <c r="J1452">
        <v>62</v>
      </c>
      <c r="K1452">
        <v>60062</v>
      </c>
      <c r="L1452">
        <v>3350</v>
      </c>
      <c r="M1452">
        <v>9</v>
      </c>
      <c r="N1452">
        <v>2</v>
      </c>
      <c r="O1452">
        <v>2</v>
      </c>
      <c r="P1452" t="s">
        <v>79</v>
      </c>
      <c r="Q1452">
        <v>4</v>
      </c>
      <c r="R1452">
        <v>0</v>
      </c>
      <c r="S1452" t="s">
        <v>21</v>
      </c>
      <c r="T1452">
        <v>2</v>
      </c>
      <c r="U1452">
        <v>0</v>
      </c>
    </row>
    <row r="1453" spans="1:21" x14ac:dyDescent="0.25">
      <c r="A1453">
        <v>9879201</v>
      </c>
      <c r="B1453" t="s">
        <v>15</v>
      </c>
      <c r="C1453" s="1">
        <v>43273</v>
      </c>
      <c r="D1453" s="2">
        <f>YEAR(C1453)</f>
        <v>2018</v>
      </c>
      <c r="E1453">
        <v>580000</v>
      </c>
      <c r="F1453" t="s">
        <v>85</v>
      </c>
      <c r="G1453">
        <v>1977</v>
      </c>
      <c r="H1453">
        <v>1655</v>
      </c>
      <c r="I1453" t="s">
        <v>393</v>
      </c>
      <c r="J1453">
        <v>62</v>
      </c>
      <c r="K1453">
        <v>60062</v>
      </c>
      <c r="L1453">
        <v>3162</v>
      </c>
      <c r="M1453">
        <v>11</v>
      </c>
      <c r="N1453">
        <v>3</v>
      </c>
      <c r="O1453">
        <v>1</v>
      </c>
      <c r="P1453" t="s">
        <v>79</v>
      </c>
      <c r="Q1453">
        <v>4</v>
      </c>
      <c r="R1453">
        <v>1</v>
      </c>
      <c r="S1453" t="s">
        <v>21</v>
      </c>
      <c r="T1453">
        <v>2</v>
      </c>
      <c r="U1453">
        <v>0</v>
      </c>
    </row>
    <row r="1454" spans="1:21" x14ac:dyDescent="0.25">
      <c r="A1454">
        <v>9567354</v>
      </c>
      <c r="B1454" t="s">
        <v>15</v>
      </c>
      <c r="C1454" s="1">
        <v>42867</v>
      </c>
      <c r="D1454" s="2">
        <f>YEAR(C1454)</f>
        <v>2017</v>
      </c>
      <c r="E1454">
        <v>532000</v>
      </c>
      <c r="F1454" t="s">
        <v>85</v>
      </c>
      <c r="G1454">
        <v>1977</v>
      </c>
      <c r="H1454">
        <v>2620</v>
      </c>
      <c r="I1454" t="s">
        <v>377</v>
      </c>
      <c r="J1454">
        <v>62</v>
      </c>
      <c r="K1454">
        <v>60062</v>
      </c>
      <c r="L1454">
        <v>2184</v>
      </c>
      <c r="M1454">
        <v>8</v>
      </c>
      <c r="N1454">
        <v>2</v>
      </c>
      <c r="O1454">
        <v>2</v>
      </c>
      <c r="P1454" t="s">
        <v>79</v>
      </c>
      <c r="Q1454">
        <v>4</v>
      </c>
      <c r="R1454">
        <v>0</v>
      </c>
      <c r="S1454" t="s">
        <v>21</v>
      </c>
      <c r="T1454">
        <v>2</v>
      </c>
      <c r="U1454">
        <v>0</v>
      </c>
    </row>
    <row r="1455" spans="1:21" x14ac:dyDescent="0.25">
      <c r="A1455">
        <v>9903357</v>
      </c>
      <c r="B1455" t="s">
        <v>15</v>
      </c>
      <c r="C1455" s="1">
        <v>43237</v>
      </c>
      <c r="D1455" s="2">
        <f>YEAR(C1455)</f>
        <v>2018</v>
      </c>
      <c r="E1455">
        <v>530000</v>
      </c>
      <c r="F1455" t="s">
        <v>85</v>
      </c>
      <c r="G1455">
        <v>1977</v>
      </c>
      <c r="H1455">
        <v>2660</v>
      </c>
      <c r="I1455" t="s">
        <v>377</v>
      </c>
      <c r="J1455">
        <v>62</v>
      </c>
      <c r="K1455">
        <v>60062</v>
      </c>
      <c r="L1455">
        <v>2168</v>
      </c>
      <c r="M1455">
        <v>10</v>
      </c>
      <c r="N1455">
        <v>3</v>
      </c>
      <c r="O1455">
        <v>0</v>
      </c>
      <c r="P1455" t="s">
        <v>79</v>
      </c>
      <c r="Q1455">
        <v>4</v>
      </c>
      <c r="R1455">
        <v>0</v>
      </c>
      <c r="S1455" t="s">
        <v>21</v>
      </c>
      <c r="T1455">
        <v>2</v>
      </c>
      <c r="U1455">
        <v>0</v>
      </c>
    </row>
    <row r="1456" spans="1:21" x14ac:dyDescent="0.25">
      <c r="A1456">
        <v>10066047</v>
      </c>
      <c r="B1456" t="s">
        <v>15</v>
      </c>
      <c r="C1456" s="1">
        <v>43342</v>
      </c>
      <c r="D1456" s="2">
        <f>YEAR(C1456)</f>
        <v>2018</v>
      </c>
      <c r="E1456">
        <v>445000</v>
      </c>
      <c r="F1456" t="s">
        <v>85</v>
      </c>
      <c r="G1456">
        <v>1977</v>
      </c>
      <c r="H1456">
        <v>2447</v>
      </c>
      <c r="I1456" t="s">
        <v>507</v>
      </c>
      <c r="J1456">
        <v>62</v>
      </c>
      <c r="K1456">
        <v>60062</v>
      </c>
      <c r="L1456">
        <v>2000</v>
      </c>
      <c r="M1456">
        <v>8</v>
      </c>
      <c r="N1456">
        <v>3</v>
      </c>
      <c r="O1456">
        <v>0</v>
      </c>
      <c r="P1456" t="s">
        <v>79</v>
      </c>
      <c r="Q1456">
        <v>3</v>
      </c>
      <c r="R1456">
        <v>0</v>
      </c>
      <c r="S1456" t="s">
        <v>21</v>
      </c>
      <c r="T1456">
        <v>2</v>
      </c>
      <c r="U1456">
        <v>0</v>
      </c>
    </row>
    <row r="1457" spans="1:21" x14ac:dyDescent="0.25">
      <c r="A1457">
        <v>9741053</v>
      </c>
      <c r="B1457" t="s">
        <v>15</v>
      </c>
      <c r="C1457" s="1">
        <v>43280</v>
      </c>
      <c r="D1457" s="2">
        <f>YEAR(C1457)</f>
        <v>2018</v>
      </c>
      <c r="E1457">
        <v>365500</v>
      </c>
      <c r="F1457" t="s">
        <v>85</v>
      </c>
      <c r="G1457">
        <v>1977</v>
      </c>
      <c r="H1457">
        <v>2504</v>
      </c>
      <c r="I1457" t="s">
        <v>508</v>
      </c>
      <c r="J1457">
        <v>62</v>
      </c>
      <c r="K1457">
        <v>60062</v>
      </c>
      <c r="L1457">
        <v>1977</v>
      </c>
      <c r="M1457">
        <v>8</v>
      </c>
      <c r="N1457">
        <v>2</v>
      </c>
      <c r="O1457">
        <v>1</v>
      </c>
      <c r="P1457" t="s">
        <v>79</v>
      </c>
      <c r="Q1457">
        <v>2</v>
      </c>
      <c r="R1457">
        <v>1</v>
      </c>
      <c r="S1457" t="s">
        <v>21</v>
      </c>
      <c r="T1457">
        <v>2.5</v>
      </c>
      <c r="U1457">
        <v>0</v>
      </c>
    </row>
    <row r="1458" spans="1:21" x14ac:dyDescent="0.25">
      <c r="A1458">
        <v>9978642</v>
      </c>
      <c r="B1458" t="s">
        <v>15</v>
      </c>
      <c r="C1458" s="1">
        <v>43336</v>
      </c>
      <c r="D1458" s="2">
        <f>YEAR(C1458)</f>
        <v>2018</v>
      </c>
      <c r="E1458">
        <v>335000</v>
      </c>
      <c r="F1458" t="s">
        <v>85</v>
      </c>
      <c r="G1458">
        <v>1977</v>
      </c>
      <c r="H1458">
        <v>2025</v>
      </c>
      <c r="I1458" t="s">
        <v>367</v>
      </c>
      <c r="J1458">
        <v>62</v>
      </c>
      <c r="K1458">
        <v>60062</v>
      </c>
      <c r="L1458">
        <v>1138</v>
      </c>
      <c r="M1458">
        <v>7</v>
      </c>
      <c r="N1458">
        <v>2</v>
      </c>
      <c r="O1458">
        <v>0</v>
      </c>
      <c r="P1458" t="s">
        <v>79</v>
      </c>
      <c r="Q1458">
        <v>3</v>
      </c>
      <c r="R1458">
        <v>0</v>
      </c>
      <c r="S1458" t="s">
        <v>21</v>
      </c>
      <c r="T1458">
        <v>2.5</v>
      </c>
      <c r="U1458">
        <v>0</v>
      </c>
    </row>
    <row r="1459" spans="1:21" x14ac:dyDescent="0.25">
      <c r="A1459">
        <v>9912124</v>
      </c>
      <c r="B1459" t="s">
        <v>15</v>
      </c>
      <c r="C1459" s="1">
        <v>43301</v>
      </c>
      <c r="D1459" s="2">
        <f>YEAR(C1459)</f>
        <v>2018</v>
      </c>
      <c r="E1459">
        <v>787500</v>
      </c>
      <c r="F1459" t="s">
        <v>85</v>
      </c>
      <c r="G1459">
        <v>1978</v>
      </c>
      <c r="H1459">
        <v>2511</v>
      </c>
      <c r="I1459" t="s">
        <v>379</v>
      </c>
      <c r="J1459">
        <v>62</v>
      </c>
      <c r="K1459">
        <v>60062</v>
      </c>
      <c r="L1459">
        <v>3200</v>
      </c>
      <c r="M1459">
        <v>12</v>
      </c>
      <c r="N1459">
        <v>3</v>
      </c>
      <c r="O1459">
        <v>1</v>
      </c>
      <c r="P1459" t="s">
        <v>79</v>
      </c>
      <c r="Q1459">
        <v>4</v>
      </c>
      <c r="R1459">
        <v>1</v>
      </c>
      <c r="S1459" t="s">
        <v>21</v>
      </c>
      <c r="T1459">
        <v>2</v>
      </c>
      <c r="U1459">
        <v>0</v>
      </c>
    </row>
    <row r="1460" spans="1:21" x14ac:dyDescent="0.25">
      <c r="A1460">
        <v>9797572</v>
      </c>
      <c r="B1460" t="s">
        <v>15</v>
      </c>
      <c r="C1460" s="1">
        <v>43096</v>
      </c>
      <c r="D1460" s="2">
        <f>YEAR(C1460)</f>
        <v>2017</v>
      </c>
      <c r="E1460">
        <v>462000</v>
      </c>
      <c r="F1460" t="s">
        <v>85</v>
      </c>
      <c r="G1460">
        <v>1978</v>
      </c>
      <c r="H1460">
        <v>4122</v>
      </c>
      <c r="I1460" t="s">
        <v>509</v>
      </c>
      <c r="J1460">
        <v>62</v>
      </c>
      <c r="K1460">
        <v>60062</v>
      </c>
      <c r="L1460">
        <v>2952</v>
      </c>
      <c r="M1460">
        <v>8</v>
      </c>
      <c r="N1460">
        <v>2</v>
      </c>
      <c r="O1460">
        <v>2</v>
      </c>
      <c r="P1460" t="s">
        <v>79</v>
      </c>
      <c r="Q1460">
        <v>4</v>
      </c>
      <c r="R1460">
        <v>0</v>
      </c>
      <c r="S1460" t="s">
        <v>21</v>
      </c>
      <c r="T1460">
        <v>2</v>
      </c>
      <c r="U1460">
        <v>0</v>
      </c>
    </row>
    <row r="1461" spans="1:21" x14ac:dyDescent="0.25">
      <c r="A1461">
        <v>9484759</v>
      </c>
      <c r="B1461" t="s">
        <v>15</v>
      </c>
      <c r="C1461" s="1">
        <v>42818</v>
      </c>
      <c r="D1461" s="2">
        <f>YEAR(C1461)</f>
        <v>2017</v>
      </c>
      <c r="E1461">
        <v>533000</v>
      </c>
      <c r="F1461" t="s">
        <v>85</v>
      </c>
      <c r="G1461">
        <v>1978</v>
      </c>
      <c r="H1461">
        <v>4103</v>
      </c>
      <c r="I1461" t="s">
        <v>392</v>
      </c>
      <c r="J1461">
        <v>62</v>
      </c>
      <c r="K1461">
        <v>60062</v>
      </c>
      <c r="L1461">
        <v>2819</v>
      </c>
      <c r="M1461">
        <v>9</v>
      </c>
      <c r="N1461">
        <v>3</v>
      </c>
      <c r="O1461">
        <v>1</v>
      </c>
      <c r="P1461" t="s">
        <v>79</v>
      </c>
      <c r="Q1461">
        <v>4</v>
      </c>
      <c r="R1461">
        <v>0</v>
      </c>
      <c r="S1461" t="s">
        <v>21</v>
      </c>
      <c r="T1461">
        <v>2</v>
      </c>
      <c r="U1461">
        <v>0</v>
      </c>
    </row>
    <row r="1462" spans="1:21" x14ac:dyDescent="0.25">
      <c r="A1462">
        <v>9808408</v>
      </c>
      <c r="B1462" t="s">
        <v>15</v>
      </c>
      <c r="C1462" s="1">
        <v>43146</v>
      </c>
      <c r="D1462" s="2">
        <f>YEAR(C1462)</f>
        <v>2018</v>
      </c>
      <c r="E1462">
        <v>635000</v>
      </c>
      <c r="F1462" t="s">
        <v>85</v>
      </c>
      <c r="G1462">
        <v>1978</v>
      </c>
      <c r="H1462">
        <v>4115</v>
      </c>
      <c r="I1462" t="s">
        <v>392</v>
      </c>
      <c r="J1462">
        <v>62</v>
      </c>
      <c r="K1462">
        <v>60062</v>
      </c>
      <c r="L1462">
        <v>2819</v>
      </c>
      <c r="M1462">
        <v>8</v>
      </c>
      <c r="N1462">
        <v>3</v>
      </c>
      <c r="O1462">
        <v>1</v>
      </c>
      <c r="P1462" t="s">
        <v>79</v>
      </c>
      <c r="Q1462">
        <v>4</v>
      </c>
      <c r="R1462">
        <v>0</v>
      </c>
      <c r="S1462" t="s">
        <v>21</v>
      </c>
      <c r="T1462">
        <v>2</v>
      </c>
      <c r="U1462">
        <v>0</v>
      </c>
    </row>
    <row r="1463" spans="1:21" x14ac:dyDescent="0.25">
      <c r="A1463">
        <v>9515668</v>
      </c>
      <c r="B1463" t="s">
        <v>15</v>
      </c>
      <c r="C1463" s="1">
        <v>42887</v>
      </c>
      <c r="D1463" s="2">
        <f>YEAR(C1463)</f>
        <v>2017</v>
      </c>
      <c r="E1463">
        <v>635000</v>
      </c>
      <c r="F1463" t="s">
        <v>85</v>
      </c>
      <c r="G1463">
        <v>1978</v>
      </c>
      <c r="H1463">
        <v>4132</v>
      </c>
      <c r="I1463" t="s">
        <v>509</v>
      </c>
      <c r="J1463">
        <v>62</v>
      </c>
      <c r="K1463">
        <v>60062</v>
      </c>
      <c r="L1463">
        <v>2713</v>
      </c>
      <c r="M1463">
        <v>11</v>
      </c>
      <c r="N1463">
        <v>3</v>
      </c>
      <c r="O1463">
        <v>1</v>
      </c>
      <c r="P1463" t="s">
        <v>79</v>
      </c>
      <c r="Q1463">
        <v>5</v>
      </c>
      <c r="R1463">
        <v>0</v>
      </c>
      <c r="S1463" t="s">
        <v>21</v>
      </c>
      <c r="T1463">
        <v>2.5</v>
      </c>
      <c r="U1463">
        <v>0</v>
      </c>
    </row>
    <row r="1464" spans="1:21" x14ac:dyDescent="0.25">
      <c r="A1464">
        <v>9928379</v>
      </c>
      <c r="B1464" t="s">
        <v>15</v>
      </c>
      <c r="C1464" s="1">
        <v>43336</v>
      </c>
      <c r="D1464" s="2">
        <f>YEAR(C1464)</f>
        <v>2018</v>
      </c>
      <c r="E1464">
        <v>675000</v>
      </c>
      <c r="F1464" t="s">
        <v>85</v>
      </c>
      <c r="G1464">
        <v>1978</v>
      </c>
      <c r="H1464">
        <v>3110</v>
      </c>
      <c r="I1464" t="s">
        <v>326</v>
      </c>
      <c r="J1464">
        <v>62</v>
      </c>
      <c r="K1464">
        <v>60062</v>
      </c>
      <c r="L1464">
        <v>2378</v>
      </c>
      <c r="M1464">
        <v>7</v>
      </c>
      <c r="N1464">
        <v>3</v>
      </c>
      <c r="O1464">
        <v>1</v>
      </c>
      <c r="P1464" t="s">
        <v>79</v>
      </c>
      <c r="Q1464">
        <v>2</v>
      </c>
      <c r="R1464">
        <v>0</v>
      </c>
      <c r="S1464" t="s">
        <v>21</v>
      </c>
      <c r="T1464">
        <v>2</v>
      </c>
      <c r="U1464">
        <v>0</v>
      </c>
    </row>
    <row r="1465" spans="1:21" x14ac:dyDescent="0.25">
      <c r="A1465">
        <v>9862773</v>
      </c>
      <c r="B1465" t="s">
        <v>15</v>
      </c>
      <c r="C1465" s="1">
        <v>43238</v>
      </c>
      <c r="D1465" s="2">
        <f>YEAR(C1465)</f>
        <v>2018</v>
      </c>
      <c r="E1465">
        <v>466500</v>
      </c>
      <c r="F1465" t="s">
        <v>85</v>
      </c>
      <c r="G1465">
        <v>1978</v>
      </c>
      <c r="H1465">
        <v>131</v>
      </c>
      <c r="I1465" t="s">
        <v>510</v>
      </c>
      <c r="J1465">
        <v>62</v>
      </c>
      <c r="K1465">
        <v>60062</v>
      </c>
      <c r="L1465">
        <v>2000</v>
      </c>
      <c r="M1465">
        <v>9</v>
      </c>
      <c r="N1465">
        <v>2</v>
      </c>
      <c r="O1465">
        <v>1</v>
      </c>
      <c r="P1465" t="s">
        <v>79</v>
      </c>
      <c r="Q1465">
        <v>3</v>
      </c>
      <c r="R1465">
        <v>0</v>
      </c>
      <c r="S1465" t="s">
        <v>21</v>
      </c>
      <c r="T1465">
        <v>2.5</v>
      </c>
      <c r="U1465">
        <v>0</v>
      </c>
    </row>
    <row r="1466" spans="1:21" x14ac:dyDescent="0.25">
      <c r="A1466">
        <v>9870515</v>
      </c>
      <c r="B1466" t="s">
        <v>15</v>
      </c>
      <c r="C1466" s="1">
        <v>43238</v>
      </c>
      <c r="D1466" s="2">
        <f>YEAR(C1466)</f>
        <v>2018</v>
      </c>
      <c r="E1466">
        <v>657000</v>
      </c>
      <c r="F1466" t="s">
        <v>85</v>
      </c>
      <c r="G1466">
        <v>1979</v>
      </c>
      <c r="H1466">
        <v>1426</v>
      </c>
      <c r="I1466" t="s">
        <v>511</v>
      </c>
      <c r="J1466">
        <v>62</v>
      </c>
      <c r="K1466">
        <v>60062</v>
      </c>
      <c r="L1466">
        <v>3431</v>
      </c>
      <c r="M1466">
        <v>11</v>
      </c>
      <c r="N1466">
        <v>2</v>
      </c>
      <c r="O1466">
        <v>2</v>
      </c>
      <c r="P1466" t="s">
        <v>79</v>
      </c>
      <c r="Q1466">
        <v>4</v>
      </c>
      <c r="R1466">
        <v>0</v>
      </c>
      <c r="S1466" t="s">
        <v>21</v>
      </c>
      <c r="T1466">
        <v>2</v>
      </c>
      <c r="U1466">
        <v>0</v>
      </c>
    </row>
    <row r="1467" spans="1:21" x14ac:dyDescent="0.25">
      <c r="A1467">
        <v>9625032</v>
      </c>
      <c r="B1467" t="s">
        <v>15</v>
      </c>
      <c r="C1467" s="1">
        <v>42965</v>
      </c>
      <c r="D1467" s="2">
        <f>YEAR(C1467)</f>
        <v>2017</v>
      </c>
      <c r="E1467">
        <v>651000</v>
      </c>
      <c r="F1467" t="s">
        <v>85</v>
      </c>
      <c r="G1467">
        <v>1979</v>
      </c>
      <c r="H1467">
        <v>4203</v>
      </c>
      <c r="I1467" t="s">
        <v>392</v>
      </c>
      <c r="J1467">
        <v>62</v>
      </c>
      <c r="K1467">
        <v>60062</v>
      </c>
      <c r="L1467">
        <v>3250</v>
      </c>
      <c r="M1467">
        <v>12</v>
      </c>
      <c r="N1467">
        <v>3</v>
      </c>
      <c r="O1467">
        <v>1</v>
      </c>
      <c r="P1467" t="s">
        <v>79</v>
      </c>
      <c r="Q1467">
        <v>5</v>
      </c>
      <c r="R1467">
        <v>1</v>
      </c>
      <c r="S1467" t="s">
        <v>21</v>
      </c>
      <c r="T1467">
        <v>3</v>
      </c>
      <c r="U1467">
        <v>0</v>
      </c>
    </row>
    <row r="1468" spans="1:21" x14ac:dyDescent="0.25">
      <c r="A1468">
        <v>9782567</v>
      </c>
      <c r="B1468" t="s">
        <v>15</v>
      </c>
      <c r="C1468" s="1">
        <v>43082</v>
      </c>
      <c r="D1468" s="2">
        <f>YEAR(C1468)</f>
        <v>2017</v>
      </c>
      <c r="E1468">
        <v>310000</v>
      </c>
      <c r="F1468" t="s">
        <v>85</v>
      </c>
      <c r="G1468">
        <v>1980</v>
      </c>
      <c r="H1468">
        <v>5021</v>
      </c>
      <c r="I1468" t="s">
        <v>221</v>
      </c>
      <c r="J1468">
        <v>76</v>
      </c>
      <c r="K1468">
        <v>60077</v>
      </c>
      <c r="L1468">
        <v>1650</v>
      </c>
      <c r="M1468">
        <v>8</v>
      </c>
      <c r="N1468">
        <v>2</v>
      </c>
      <c r="O1468">
        <v>1</v>
      </c>
      <c r="P1468" t="s">
        <v>79</v>
      </c>
      <c r="Q1468">
        <v>4</v>
      </c>
      <c r="R1468">
        <v>0</v>
      </c>
      <c r="S1468" t="s">
        <v>22</v>
      </c>
      <c r="T1468">
        <v>2</v>
      </c>
      <c r="U1468">
        <v>0</v>
      </c>
    </row>
    <row r="1469" spans="1:21" x14ac:dyDescent="0.25">
      <c r="A1469">
        <v>9486308</v>
      </c>
      <c r="B1469" t="s">
        <v>15</v>
      </c>
      <c r="C1469" s="1">
        <v>42905</v>
      </c>
      <c r="D1469" s="2">
        <f>YEAR(C1469)</f>
        <v>2017</v>
      </c>
      <c r="E1469">
        <v>677000</v>
      </c>
      <c r="F1469" t="s">
        <v>85</v>
      </c>
      <c r="G1469">
        <v>1980</v>
      </c>
      <c r="H1469">
        <v>3714</v>
      </c>
      <c r="I1469" t="s">
        <v>513</v>
      </c>
      <c r="J1469">
        <v>62</v>
      </c>
      <c r="K1469">
        <v>60062</v>
      </c>
      <c r="L1469">
        <v>3216</v>
      </c>
      <c r="M1469">
        <v>13</v>
      </c>
      <c r="N1469">
        <v>3</v>
      </c>
      <c r="O1469">
        <v>1</v>
      </c>
      <c r="P1469" t="s">
        <v>79</v>
      </c>
      <c r="Q1469">
        <v>5</v>
      </c>
      <c r="R1469">
        <v>0</v>
      </c>
      <c r="S1469" t="s">
        <v>21</v>
      </c>
      <c r="T1469">
        <v>2</v>
      </c>
      <c r="U1469">
        <v>0</v>
      </c>
    </row>
    <row r="1470" spans="1:21" x14ac:dyDescent="0.25">
      <c r="A1470">
        <v>9600369</v>
      </c>
      <c r="B1470" t="s">
        <v>15</v>
      </c>
      <c r="C1470" s="1">
        <v>42922</v>
      </c>
      <c r="D1470" s="2">
        <f>YEAR(C1470)</f>
        <v>2017</v>
      </c>
      <c r="E1470">
        <v>600000</v>
      </c>
      <c r="F1470" t="s">
        <v>85</v>
      </c>
      <c r="G1470">
        <v>1980</v>
      </c>
      <c r="H1470">
        <v>4200</v>
      </c>
      <c r="I1470" t="s">
        <v>472</v>
      </c>
      <c r="J1470">
        <v>62</v>
      </c>
      <c r="K1470">
        <v>60062</v>
      </c>
      <c r="L1470">
        <v>3200</v>
      </c>
      <c r="M1470">
        <v>10</v>
      </c>
      <c r="N1470">
        <v>3</v>
      </c>
      <c r="O1470">
        <v>1</v>
      </c>
      <c r="P1470" t="s">
        <v>79</v>
      </c>
      <c r="Q1470">
        <v>4</v>
      </c>
      <c r="R1470">
        <v>1</v>
      </c>
      <c r="S1470" t="s">
        <v>21</v>
      </c>
      <c r="T1470">
        <v>2</v>
      </c>
      <c r="U1470">
        <v>0</v>
      </c>
    </row>
    <row r="1471" spans="1:21" x14ac:dyDescent="0.25">
      <c r="A1471">
        <v>9574877</v>
      </c>
      <c r="B1471" t="s">
        <v>15</v>
      </c>
      <c r="C1471" s="1">
        <v>42895</v>
      </c>
      <c r="D1471" s="2">
        <f>YEAR(C1471)</f>
        <v>2017</v>
      </c>
      <c r="E1471">
        <v>605000</v>
      </c>
      <c r="F1471" t="s">
        <v>85</v>
      </c>
      <c r="G1471">
        <v>1980</v>
      </c>
      <c r="H1471">
        <v>4208</v>
      </c>
      <c r="I1471" t="s">
        <v>514</v>
      </c>
      <c r="J1471">
        <v>62</v>
      </c>
      <c r="K1471">
        <v>60062</v>
      </c>
      <c r="L1471">
        <v>3130</v>
      </c>
      <c r="M1471">
        <v>11</v>
      </c>
      <c r="N1471">
        <v>3</v>
      </c>
      <c r="O1471">
        <v>1</v>
      </c>
      <c r="P1471" t="s">
        <v>79</v>
      </c>
      <c r="Q1471">
        <v>5</v>
      </c>
      <c r="R1471">
        <v>0</v>
      </c>
      <c r="S1471" t="s">
        <v>21</v>
      </c>
      <c r="T1471">
        <v>2.5</v>
      </c>
      <c r="U1471">
        <v>0</v>
      </c>
    </row>
    <row r="1472" spans="1:21" x14ac:dyDescent="0.25">
      <c r="A1472">
        <v>9325237</v>
      </c>
      <c r="B1472" t="s">
        <v>15</v>
      </c>
      <c r="C1472" s="1">
        <v>42870</v>
      </c>
      <c r="D1472" s="2">
        <f>YEAR(C1472)</f>
        <v>2017</v>
      </c>
      <c r="E1472">
        <v>610000</v>
      </c>
      <c r="F1472" t="s">
        <v>85</v>
      </c>
      <c r="G1472">
        <v>1980</v>
      </c>
      <c r="H1472">
        <v>175</v>
      </c>
      <c r="I1472" t="s">
        <v>401</v>
      </c>
      <c r="J1472">
        <v>62</v>
      </c>
      <c r="K1472">
        <v>60062</v>
      </c>
      <c r="L1472">
        <v>2773</v>
      </c>
      <c r="M1472">
        <v>9</v>
      </c>
      <c r="N1472">
        <v>2</v>
      </c>
      <c r="O1472">
        <v>2</v>
      </c>
      <c r="P1472" t="s">
        <v>79</v>
      </c>
      <c r="Q1472">
        <v>4</v>
      </c>
      <c r="R1472">
        <v>0</v>
      </c>
      <c r="S1472" t="s">
        <v>21</v>
      </c>
      <c r="T1472">
        <v>2</v>
      </c>
      <c r="U1472">
        <v>0</v>
      </c>
    </row>
    <row r="1473" spans="1:21" x14ac:dyDescent="0.25">
      <c r="A1473">
        <v>9502517</v>
      </c>
      <c r="B1473" t="s">
        <v>15</v>
      </c>
      <c r="C1473" s="1">
        <v>42825</v>
      </c>
      <c r="D1473" s="2">
        <f>YEAR(C1473)</f>
        <v>2017</v>
      </c>
      <c r="E1473">
        <v>448000</v>
      </c>
      <c r="F1473" t="s">
        <v>85</v>
      </c>
      <c r="G1473">
        <v>1980</v>
      </c>
      <c r="H1473">
        <v>327</v>
      </c>
      <c r="I1473" t="s">
        <v>404</v>
      </c>
      <c r="J1473">
        <v>62</v>
      </c>
      <c r="K1473">
        <v>60062</v>
      </c>
      <c r="L1473">
        <v>2581</v>
      </c>
      <c r="M1473">
        <v>8</v>
      </c>
      <c r="N1473">
        <v>3</v>
      </c>
      <c r="O1473">
        <v>1</v>
      </c>
      <c r="P1473" t="s">
        <v>79</v>
      </c>
      <c r="Q1473">
        <v>2</v>
      </c>
      <c r="R1473">
        <v>1</v>
      </c>
      <c r="S1473" t="s">
        <v>21</v>
      </c>
      <c r="T1473">
        <v>2.5</v>
      </c>
      <c r="U1473">
        <v>0</v>
      </c>
    </row>
    <row r="1474" spans="1:21" x14ac:dyDescent="0.25">
      <c r="A1474">
        <v>9850547</v>
      </c>
      <c r="B1474" t="s">
        <v>15</v>
      </c>
      <c r="C1474" s="1">
        <v>43224</v>
      </c>
      <c r="D1474" s="2">
        <f>YEAR(C1474)</f>
        <v>2018</v>
      </c>
      <c r="E1474">
        <v>640000</v>
      </c>
      <c r="F1474" t="s">
        <v>85</v>
      </c>
      <c r="G1474">
        <v>1981</v>
      </c>
      <c r="H1474">
        <v>4306</v>
      </c>
      <c r="I1474" t="s">
        <v>515</v>
      </c>
      <c r="J1474">
        <v>62</v>
      </c>
      <c r="K1474">
        <v>60062</v>
      </c>
      <c r="L1474">
        <v>2900</v>
      </c>
      <c r="M1474">
        <v>12</v>
      </c>
      <c r="N1474">
        <v>3</v>
      </c>
      <c r="O1474">
        <v>1</v>
      </c>
      <c r="P1474" t="s">
        <v>79</v>
      </c>
      <c r="Q1474">
        <v>4</v>
      </c>
      <c r="R1474">
        <v>1</v>
      </c>
      <c r="S1474" t="s">
        <v>21</v>
      </c>
      <c r="T1474">
        <v>2.5</v>
      </c>
      <c r="U1474">
        <v>0</v>
      </c>
    </row>
    <row r="1475" spans="1:21" x14ac:dyDescent="0.25">
      <c r="A1475">
        <v>9737178</v>
      </c>
      <c r="B1475" t="s">
        <v>15</v>
      </c>
      <c r="C1475" s="1">
        <v>43000</v>
      </c>
      <c r="D1475" s="2">
        <f>YEAR(C1475)</f>
        <v>2017</v>
      </c>
      <c r="E1475">
        <v>400000</v>
      </c>
      <c r="F1475" t="s">
        <v>85</v>
      </c>
      <c r="G1475">
        <v>1981</v>
      </c>
      <c r="H1475">
        <v>3136</v>
      </c>
      <c r="I1475" t="s">
        <v>326</v>
      </c>
      <c r="J1475">
        <v>62</v>
      </c>
      <c r="K1475">
        <v>60062</v>
      </c>
      <c r="L1475">
        <v>2800</v>
      </c>
      <c r="M1475">
        <v>8</v>
      </c>
      <c r="N1475">
        <v>3</v>
      </c>
      <c r="O1475">
        <v>1</v>
      </c>
      <c r="P1475" t="s">
        <v>79</v>
      </c>
      <c r="Q1475">
        <v>2</v>
      </c>
      <c r="R1475">
        <v>0</v>
      </c>
      <c r="S1475" t="s">
        <v>21</v>
      </c>
      <c r="T1475">
        <v>2</v>
      </c>
      <c r="U1475">
        <v>0</v>
      </c>
    </row>
    <row r="1476" spans="1:21" x14ac:dyDescent="0.25">
      <c r="A1476">
        <v>9926664</v>
      </c>
      <c r="B1476" t="s">
        <v>15</v>
      </c>
      <c r="C1476" s="1">
        <v>43262</v>
      </c>
      <c r="D1476" s="2">
        <f>YEAR(C1476)</f>
        <v>2018</v>
      </c>
      <c r="E1476">
        <v>665000</v>
      </c>
      <c r="F1476" t="s">
        <v>85</v>
      </c>
      <c r="G1476">
        <v>1981</v>
      </c>
      <c r="H1476">
        <v>3136</v>
      </c>
      <c r="I1476" t="s">
        <v>326</v>
      </c>
      <c r="J1476">
        <v>62</v>
      </c>
      <c r="K1476">
        <v>60062</v>
      </c>
      <c r="L1476">
        <v>2800</v>
      </c>
      <c r="M1476">
        <v>9</v>
      </c>
      <c r="N1476">
        <v>3</v>
      </c>
      <c r="O1476">
        <v>1</v>
      </c>
      <c r="P1476" t="s">
        <v>79</v>
      </c>
      <c r="Q1476">
        <v>2</v>
      </c>
      <c r="R1476">
        <v>1</v>
      </c>
      <c r="S1476" t="s">
        <v>21</v>
      </c>
      <c r="T1476">
        <v>2</v>
      </c>
      <c r="U1476">
        <v>0</v>
      </c>
    </row>
    <row r="1477" spans="1:21" x14ac:dyDescent="0.25">
      <c r="A1477">
        <v>9985168</v>
      </c>
      <c r="B1477" t="s">
        <v>15</v>
      </c>
      <c r="C1477" s="1">
        <v>43340</v>
      </c>
      <c r="D1477" s="2">
        <f>YEAR(C1477)</f>
        <v>2018</v>
      </c>
      <c r="E1477">
        <v>370000</v>
      </c>
      <c r="F1477" t="s">
        <v>85</v>
      </c>
      <c r="G1477">
        <v>1981</v>
      </c>
      <c r="H1477">
        <v>2384</v>
      </c>
      <c r="I1477" t="s">
        <v>343</v>
      </c>
      <c r="J1477">
        <v>62</v>
      </c>
      <c r="K1477">
        <v>60062</v>
      </c>
      <c r="L1477">
        <v>2411</v>
      </c>
      <c r="M1477">
        <v>8</v>
      </c>
      <c r="N1477">
        <v>3</v>
      </c>
      <c r="O1477">
        <v>0</v>
      </c>
      <c r="P1477" t="s">
        <v>79</v>
      </c>
      <c r="Q1477">
        <v>2</v>
      </c>
      <c r="R1477">
        <v>1</v>
      </c>
      <c r="S1477" t="s">
        <v>21</v>
      </c>
      <c r="T1477">
        <v>2</v>
      </c>
      <c r="U1477">
        <v>0</v>
      </c>
    </row>
    <row r="1478" spans="1:21" x14ac:dyDescent="0.25">
      <c r="A1478">
        <v>9594488</v>
      </c>
      <c r="B1478" t="s">
        <v>15</v>
      </c>
      <c r="C1478" s="1">
        <v>42891</v>
      </c>
      <c r="D1478" s="2">
        <f>YEAR(C1478)</f>
        <v>2017</v>
      </c>
      <c r="E1478">
        <v>530000</v>
      </c>
      <c r="F1478" t="s">
        <v>85</v>
      </c>
      <c r="G1478">
        <v>1981</v>
      </c>
      <c r="H1478">
        <v>321</v>
      </c>
      <c r="I1478" t="s">
        <v>404</v>
      </c>
      <c r="J1478">
        <v>62</v>
      </c>
      <c r="K1478">
        <v>60062</v>
      </c>
      <c r="L1478">
        <v>2370</v>
      </c>
      <c r="M1478">
        <v>8</v>
      </c>
      <c r="N1478">
        <v>2</v>
      </c>
      <c r="O1478">
        <v>1</v>
      </c>
      <c r="P1478" t="s">
        <v>79</v>
      </c>
      <c r="Q1478">
        <v>2</v>
      </c>
      <c r="R1478">
        <v>0</v>
      </c>
      <c r="S1478" t="s">
        <v>21</v>
      </c>
      <c r="T1478">
        <v>2</v>
      </c>
      <c r="U1478">
        <v>0</v>
      </c>
    </row>
    <row r="1479" spans="1:21" x14ac:dyDescent="0.25">
      <c r="A1479">
        <v>9934821</v>
      </c>
      <c r="B1479" t="s">
        <v>15</v>
      </c>
      <c r="C1479" s="1">
        <v>43392</v>
      </c>
      <c r="D1479" s="2">
        <f>YEAR(C1479)</f>
        <v>2018</v>
      </c>
      <c r="E1479">
        <v>540000</v>
      </c>
      <c r="F1479" t="s">
        <v>85</v>
      </c>
      <c r="G1479">
        <v>1981</v>
      </c>
      <c r="H1479">
        <v>321</v>
      </c>
      <c r="I1479" t="s">
        <v>404</v>
      </c>
      <c r="J1479">
        <v>62</v>
      </c>
      <c r="K1479">
        <v>60062</v>
      </c>
      <c r="L1479">
        <v>2370</v>
      </c>
      <c r="M1479">
        <v>7</v>
      </c>
      <c r="N1479">
        <v>3</v>
      </c>
      <c r="O1479">
        <v>0</v>
      </c>
      <c r="P1479" t="s">
        <v>79</v>
      </c>
      <c r="Q1479">
        <v>2</v>
      </c>
      <c r="R1479">
        <v>0</v>
      </c>
      <c r="S1479" t="s">
        <v>21</v>
      </c>
      <c r="T1479">
        <v>2</v>
      </c>
      <c r="U1479">
        <v>0</v>
      </c>
    </row>
    <row r="1480" spans="1:21" x14ac:dyDescent="0.25">
      <c r="A1480">
        <v>9490661</v>
      </c>
      <c r="B1480" t="s">
        <v>15</v>
      </c>
      <c r="C1480" s="1">
        <v>42887</v>
      </c>
      <c r="D1480" s="2">
        <f>YEAR(C1480)</f>
        <v>2017</v>
      </c>
      <c r="E1480">
        <v>597000</v>
      </c>
      <c r="F1480" t="s">
        <v>85</v>
      </c>
      <c r="G1480">
        <v>1982</v>
      </c>
      <c r="H1480">
        <v>4340</v>
      </c>
      <c r="I1480" t="s">
        <v>399</v>
      </c>
      <c r="J1480">
        <v>62</v>
      </c>
      <c r="K1480">
        <v>60062</v>
      </c>
      <c r="L1480">
        <v>3100</v>
      </c>
      <c r="M1480">
        <v>10</v>
      </c>
      <c r="N1480">
        <v>3</v>
      </c>
      <c r="O1480">
        <v>1</v>
      </c>
      <c r="P1480" t="s">
        <v>79</v>
      </c>
      <c r="Q1480">
        <v>4</v>
      </c>
      <c r="R1480">
        <v>1</v>
      </c>
      <c r="S1480" t="s">
        <v>21</v>
      </c>
      <c r="T1480">
        <v>2</v>
      </c>
      <c r="U1480">
        <v>0</v>
      </c>
    </row>
    <row r="1481" spans="1:21" x14ac:dyDescent="0.25">
      <c r="A1481">
        <v>9370764</v>
      </c>
      <c r="B1481" t="s">
        <v>15</v>
      </c>
      <c r="C1481" s="1">
        <v>42797</v>
      </c>
      <c r="D1481" s="2">
        <f>YEAR(C1481)</f>
        <v>2017</v>
      </c>
      <c r="E1481">
        <v>601150</v>
      </c>
      <c r="F1481" t="s">
        <v>85</v>
      </c>
      <c r="G1481">
        <v>1983</v>
      </c>
      <c r="H1481">
        <v>4310</v>
      </c>
      <c r="I1481" t="s">
        <v>516</v>
      </c>
      <c r="J1481">
        <v>62</v>
      </c>
      <c r="K1481">
        <v>60062</v>
      </c>
      <c r="L1481">
        <v>3000</v>
      </c>
      <c r="M1481">
        <v>10</v>
      </c>
      <c r="N1481">
        <v>3</v>
      </c>
      <c r="O1481">
        <v>1</v>
      </c>
      <c r="P1481" t="s">
        <v>79</v>
      </c>
      <c r="Q1481">
        <v>4</v>
      </c>
      <c r="R1481">
        <v>1</v>
      </c>
      <c r="S1481" t="s">
        <v>21</v>
      </c>
      <c r="T1481">
        <v>2</v>
      </c>
      <c r="U1481">
        <v>0</v>
      </c>
    </row>
    <row r="1482" spans="1:21" x14ac:dyDescent="0.25">
      <c r="A1482">
        <v>9506089</v>
      </c>
      <c r="B1482" t="s">
        <v>15</v>
      </c>
      <c r="C1482" s="1">
        <v>42849</v>
      </c>
      <c r="D1482" s="2">
        <f>YEAR(C1482)</f>
        <v>2017</v>
      </c>
      <c r="E1482">
        <v>653000</v>
      </c>
      <c r="F1482" t="s">
        <v>85</v>
      </c>
      <c r="G1482">
        <v>1983</v>
      </c>
      <c r="H1482">
        <v>2050</v>
      </c>
      <c r="I1482" t="s">
        <v>266</v>
      </c>
      <c r="J1482">
        <v>62</v>
      </c>
      <c r="K1482">
        <v>60062</v>
      </c>
      <c r="L1482">
        <v>2400</v>
      </c>
      <c r="M1482">
        <v>12</v>
      </c>
      <c r="N1482">
        <v>3</v>
      </c>
      <c r="O1482">
        <v>1</v>
      </c>
      <c r="P1482" t="s">
        <v>79</v>
      </c>
      <c r="Q1482">
        <v>4</v>
      </c>
      <c r="R1482">
        <v>1</v>
      </c>
      <c r="S1482" t="s">
        <v>21</v>
      </c>
      <c r="T1482">
        <v>2</v>
      </c>
      <c r="U1482">
        <v>0</v>
      </c>
    </row>
    <row r="1483" spans="1:21" x14ac:dyDescent="0.25">
      <c r="A1483">
        <v>9917073</v>
      </c>
      <c r="B1483" t="s">
        <v>15</v>
      </c>
      <c r="C1483" s="1">
        <v>43259</v>
      </c>
      <c r="D1483" s="2">
        <f>YEAR(C1483)</f>
        <v>2018</v>
      </c>
      <c r="E1483">
        <v>325000</v>
      </c>
      <c r="F1483" t="s">
        <v>85</v>
      </c>
      <c r="G1483">
        <v>1984</v>
      </c>
      <c r="H1483">
        <v>8216</v>
      </c>
      <c r="I1483" t="s">
        <v>229</v>
      </c>
      <c r="J1483">
        <v>76</v>
      </c>
      <c r="K1483">
        <v>60076</v>
      </c>
      <c r="L1483">
        <v>1368</v>
      </c>
      <c r="M1483">
        <v>9</v>
      </c>
      <c r="N1483">
        <v>2</v>
      </c>
      <c r="O1483">
        <v>0</v>
      </c>
      <c r="P1483" t="s">
        <v>79</v>
      </c>
      <c r="Q1483">
        <v>2</v>
      </c>
      <c r="R1483">
        <v>1</v>
      </c>
      <c r="S1483" t="s">
        <v>21</v>
      </c>
      <c r="T1483">
        <v>2</v>
      </c>
      <c r="U1483">
        <v>0</v>
      </c>
    </row>
    <row r="1484" spans="1:21" x14ac:dyDescent="0.25">
      <c r="A1484">
        <v>10028522</v>
      </c>
      <c r="B1484" t="s">
        <v>15</v>
      </c>
      <c r="C1484" s="1">
        <v>43368</v>
      </c>
      <c r="D1484" s="2">
        <f>YEAR(C1484)</f>
        <v>2018</v>
      </c>
      <c r="E1484">
        <v>630000</v>
      </c>
      <c r="F1484" t="s">
        <v>85</v>
      </c>
      <c r="G1484">
        <v>1984</v>
      </c>
      <c r="H1484">
        <v>4336</v>
      </c>
      <c r="I1484" t="s">
        <v>515</v>
      </c>
      <c r="J1484">
        <v>62</v>
      </c>
      <c r="K1484">
        <v>60062</v>
      </c>
      <c r="L1484">
        <v>2854</v>
      </c>
      <c r="M1484">
        <v>10</v>
      </c>
      <c r="N1484">
        <v>3</v>
      </c>
      <c r="O1484">
        <v>1</v>
      </c>
      <c r="P1484" t="s">
        <v>79</v>
      </c>
      <c r="Q1484">
        <v>4</v>
      </c>
      <c r="R1484">
        <v>0</v>
      </c>
      <c r="S1484" t="s">
        <v>21</v>
      </c>
      <c r="T1484">
        <v>2</v>
      </c>
      <c r="U1484">
        <v>0</v>
      </c>
    </row>
    <row r="1485" spans="1:21" x14ac:dyDescent="0.25">
      <c r="A1485">
        <v>9864181</v>
      </c>
      <c r="B1485" t="s">
        <v>15</v>
      </c>
      <c r="C1485" s="1">
        <v>43328</v>
      </c>
      <c r="D1485" s="2">
        <f>YEAR(C1485)</f>
        <v>2018</v>
      </c>
      <c r="E1485">
        <v>462500</v>
      </c>
      <c r="F1485" t="s">
        <v>85</v>
      </c>
      <c r="G1485">
        <v>1984</v>
      </c>
      <c r="H1485">
        <v>4060</v>
      </c>
      <c r="I1485" t="s">
        <v>409</v>
      </c>
      <c r="J1485">
        <v>62</v>
      </c>
      <c r="K1485">
        <v>60062</v>
      </c>
      <c r="L1485">
        <v>2807</v>
      </c>
      <c r="M1485">
        <v>11</v>
      </c>
      <c r="N1485">
        <v>3</v>
      </c>
      <c r="O1485">
        <v>1</v>
      </c>
      <c r="P1485" t="s">
        <v>79</v>
      </c>
      <c r="Q1485">
        <v>4</v>
      </c>
      <c r="R1485">
        <v>1</v>
      </c>
      <c r="S1485" t="s">
        <v>21</v>
      </c>
      <c r="T1485">
        <v>2.5</v>
      </c>
      <c r="U1485">
        <v>0</v>
      </c>
    </row>
    <row r="1486" spans="1:21" x14ac:dyDescent="0.25">
      <c r="A1486">
        <v>9504280</v>
      </c>
      <c r="B1486" t="s">
        <v>15</v>
      </c>
      <c r="C1486" s="1">
        <v>42853</v>
      </c>
      <c r="D1486" s="2">
        <f>YEAR(C1486)</f>
        <v>2017</v>
      </c>
      <c r="E1486">
        <v>842500</v>
      </c>
      <c r="F1486" t="s">
        <v>85</v>
      </c>
      <c r="G1486">
        <v>1985</v>
      </c>
      <c r="H1486">
        <v>3629</v>
      </c>
      <c r="I1486" t="s">
        <v>413</v>
      </c>
      <c r="J1486">
        <v>62</v>
      </c>
      <c r="K1486">
        <v>60062</v>
      </c>
      <c r="L1486">
        <v>4514</v>
      </c>
      <c r="M1486">
        <v>13</v>
      </c>
      <c r="N1486">
        <v>5</v>
      </c>
      <c r="O1486">
        <v>1</v>
      </c>
      <c r="P1486" t="s">
        <v>79</v>
      </c>
      <c r="Q1486">
        <v>4</v>
      </c>
      <c r="R1486">
        <v>1</v>
      </c>
      <c r="S1486" t="s">
        <v>21</v>
      </c>
      <c r="T1486">
        <v>2</v>
      </c>
      <c r="U1486">
        <v>0</v>
      </c>
    </row>
    <row r="1487" spans="1:21" x14ac:dyDescent="0.25">
      <c r="A1487">
        <v>9853284</v>
      </c>
      <c r="B1487" t="s">
        <v>15</v>
      </c>
      <c r="C1487" s="1">
        <v>43273</v>
      </c>
      <c r="D1487" s="2">
        <f>YEAR(C1487)</f>
        <v>2018</v>
      </c>
      <c r="E1487">
        <v>872000</v>
      </c>
      <c r="F1487" t="s">
        <v>85</v>
      </c>
      <c r="G1487">
        <v>1985</v>
      </c>
      <c r="H1487">
        <v>3617</v>
      </c>
      <c r="I1487" t="s">
        <v>413</v>
      </c>
      <c r="J1487">
        <v>62</v>
      </c>
      <c r="K1487">
        <v>60062</v>
      </c>
      <c r="L1487">
        <v>4500</v>
      </c>
      <c r="M1487">
        <v>15</v>
      </c>
      <c r="N1487">
        <v>4</v>
      </c>
      <c r="O1487">
        <v>1</v>
      </c>
      <c r="P1487" t="s">
        <v>79</v>
      </c>
      <c r="Q1487">
        <v>5</v>
      </c>
      <c r="R1487">
        <v>0</v>
      </c>
      <c r="S1487" t="s">
        <v>21</v>
      </c>
      <c r="T1487">
        <v>2</v>
      </c>
      <c r="U1487">
        <v>0</v>
      </c>
    </row>
    <row r="1488" spans="1:21" x14ac:dyDescent="0.25">
      <c r="A1488">
        <v>9822681</v>
      </c>
      <c r="B1488" t="s">
        <v>15</v>
      </c>
      <c r="C1488" s="1">
        <v>43179</v>
      </c>
      <c r="D1488" s="2">
        <f>YEAR(C1488)</f>
        <v>2018</v>
      </c>
      <c r="E1488">
        <v>542500</v>
      </c>
      <c r="F1488" t="s">
        <v>85</v>
      </c>
      <c r="G1488">
        <v>1985</v>
      </c>
      <c r="H1488">
        <v>4121</v>
      </c>
      <c r="I1488" t="s">
        <v>409</v>
      </c>
      <c r="J1488">
        <v>62</v>
      </c>
      <c r="K1488">
        <v>60062</v>
      </c>
      <c r="L1488">
        <v>2530</v>
      </c>
      <c r="M1488">
        <v>11</v>
      </c>
      <c r="N1488">
        <v>3</v>
      </c>
      <c r="O1488">
        <v>1</v>
      </c>
      <c r="P1488" t="s">
        <v>79</v>
      </c>
      <c r="Q1488">
        <v>4</v>
      </c>
      <c r="R1488">
        <v>1</v>
      </c>
      <c r="S1488" t="s">
        <v>21</v>
      </c>
      <c r="T1488">
        <v>2</v>
      </c>
      <c r="U1488">
        <v>0</v>
      </c>
    </row>
    <row r="1489" spans="1:21" x14ac:dyDescent="0.25">
      <c r="A1489">
        <v>9504968</v>
      </c>
      <c r="B1489" t="s">
        <v>15</v>
      </c>
      <c r="C1489" s="1">
        <v>42863</v>
      </c>
      <c r="D1489" s="2">
        <f>YEAR(C1489)</f>
        <v>2017</v>
      </c>
      <c r="E1489">
        <v>684000</v>
      </c>
      <c r="F1489" t="s">
        <v>85</v>
      </c>
      <c r="G1489">
        <v>1986</v>
      </c>
      <c r="H1489">
        <v>3585</v>
      </c>
      <c r="I1489" t="s">
        <v>350</v>
      </c>
      <c r="J1489">
        <v>62</v>
      </c>
      <c r="K1489">
        <v>60062</v>
      </c>
      <c r="L1489">
        <v>3068</v>
      </c>
      <c r="M1489">
        <v>12</v>
      </c>
      <c r="N1489">
        <v>3</v>
      </c>
      <c r="O1489">
        <v>1</v>
      </c>
      <c r="P1489" t="s">
        <v>79</v>
      </c>
      <c r="Q1489">
        <v>5</v>
      </c>
      <c r="R1489">
        <v>1</v>
      </c>
      <c r="S1489" t="s">
        <v>21</v>
      </c>
      <c r="T1489">
        <v>2</v>
      </c>
      <c r="U1489">
        <v>0</v>
      </c>
    </row>
    <row r="1490" spans="1:21" x14ac:dyDescent="0.25">
      <c r="A1490">
        <v>9777095</v>
      </c>
      <c r="B1490" t="s">
        <v>15</v>
      </c>
      <c r="C1490" s="1">
        <v>43084</v>
      </c>
      <c r="D1490" s="2">
        <f>YEAR(C1490)</f>
        <v>2017</v>
      </c>
      <c r="E1490">
        <v>560000</v>
      </c>
      <c r="F1490" t="s">
        <v>85</v>
      </c>
      <c r="G1490">
        <v>1986</v>
      </c>
      <c r="H1490">
        <v>201</v>
      </c>
      <c r="I1490" t="s">
        <v>517</v>
      </c>
      <c r="J1490">
        <v>62</v>
      </c>
      <c r="K1490">
        <v>60062</v>
      </c>
      <c r="L1490">
        <v>3005</v>
      </c>
      <c r="M1490">
        <v>11</v>
      </c>
      <c r="N1490">
        <v>3</v>
      </c>
      <c r="O1490">
        <v>1</v>
      </c>
      <c r="P1490" t="s">
        <v>79</v>
      </c>
      <c r="Q1490">
        <v>4</v>
      </c>
      <c r="R1490">
        <v>0</v>
      </c>
      <c r="S1490" t="s">
        <v>21</v>
      </c>
      <c r="T1490">
        <v>2</v>
      </c>
      <c r="U1490">
        <v>0</v>
      </c>
    </row>
    <row r="1491" spans="1:21" x14ac:dyDescent="0.25">
      <c r="A1491">
        <v>9371327</v>
      </c>
      <c r="B1491" t="s">
        <v>15</v>
      </c>
      <c r="C1491" s="1">
        <v>42824</v>
      </c>
      <c r="D1491" s="2">
        <f>YEAR(C1491)</f>
        <v>2017</v>
      </c>
      <c r="E1491">
        <v>550000</v>
      </c>
      <c r="F1491" t="s">
        <v>85</v>
      </c>
      <c r="G1491">
        <v>1986</v>
      </c>
      <c r="H1491">
        <v>623</v>
      </c>
      <c r="I1491" t="s">
        <v>350</v>
      </c>
      <c r="J1491">
        <v>62</v>
      </c>
      <c r="K1491">
        <v>60062</v>
      </c>
      <c r="L1491">
        <v>2814</v>
      </c>
      <c r="M1491">
        <v>11</v>
      </c>
      <c r="N1491">
        <v>3</v>
      </c>
      <c r="O1491">
        <v>1</v>
      </c>
      <c r="P1491" t="s">
        <v>79</v>
      </c>
      <c r="Q1491">
        <v>5</v>
      </c>
      <c r="R1491">
        <v>0</v>
      </c>
      <c r="S1491" t="s">
        <v>21</v>
      </c>
      <c r="T1491">
        <v>3</v>
      </c>
      <c r="U1491">
        <v>0</v>
      </c>
    </row>
    <row r="1492" spans="1:21" x14ac:dyDescent="0.25">
      <c r="A1492">
        <v>10064940</v>
      </c>
      <c r="B1492" t="s">
        <v>15</v>
      </c>
      <c r="C1492" s="1">
        <v>43472</v>
      </c>
      <c r="D1492" s="2">
        <f>YEAR(C1492)</f>
        <v>2019</v>
      </c>
      <c r="E1492">
        <v>970000</v>
      </c>
      <c r="F1492" t="s">
        <v>85</v>
      </c>
      <c r="G1492">
        <v>1987</v>
      </c>
      <c r="H1492">
        <v>2863</v>
      </c>
      <c r="I1492" t="s">
        <v>518</v>
      </c>
      <c r="J1492">
        <v>62</v>
      </c>
      <c r="K1492">
        <v>60062</v>
      </c>
      <c r="L1492">
        <v>6055</v>
      </c>
      <c r="M1492">
        <v>15</v>
      </c>
      <c r="N1492">
        <v>4</v>
      </c>
      <c r="O1492">
        <v>2</v>
      </c>
      <c r="P1492" t="s">
        <v>79</v>
      </c>
      <c r="Q1492">
        <v>5</v>
      </c>
      <c r="R1492">
        <v>0</v>
      </c>
      <c r="S1492" t="s">
        <v>21</v>
      </c>
      <c r="T1492">
        <v>4</v>
      </c>
      <c r="U1492">
        <v>0</v>
      </c>
    </row>
    <row r="1493" spans="1:21" x14ac:dyDescent="0.25">
      <c r="A1493">
        <v>9729518</v>
      </c>
      <c r="B1493" t="s">
        <v>15</v>
      </c>
      <c r="C1493" s="1">
        <v>43012</v>
      </c>
      <c r="D1493" s="2">
        <f>YEAR(C1493)</f>
        <v>2017</v>
      </c>
      <c r="E1493">
        <v>399999</v>
      </c>
      <c r="F1493" t="s">
        <v>85</v>
      </c>
      <c r="G1493">
        <v>1989</v>
      </c>
      <c r="H1493">
        <v>5105</v>
      </c>
      <c r="I1493" t="s">
        <v>203</v>
      </c>
      <c r="J1493">
        <v>76</v>
      </c>
      <c r="K1493">
        <v>60077</v>
      </c>
      <c r="L1493">
        <v>1680</v>
      </c>
      <c r="M1493">
        <v>9</v>
      </c>
      <c r="N1493">
        <v>3</v>
      </c>
      <c r="O1493">
        <v>1</v>
      </c>
      <c r="P1493" t="s">
        <v>79</v>
      </c>
      <c r="Q1493">
        <v>3</v>
      </c>
      <c r="R1493">
        <v>1</v>
      </c>
      <c r="S1493" t="s">
        <v>21</v>
      </c>
      <c r="T1493">
        <v>2</v>
      </c>
      <c r="U1493">
        <v>0</v>
      </c>
    </row>
    <row r="1494" spans="1:21" x14ac:dyDescent="0.25">
      <c r="A1494">
        <v>9690403</v>
      </c>
      <c r="B1494" t="s">
        <v>15</v>
      </c>
      <c r="C1494" s="1">
        <v>43003</v>
      </c>
      <c r="D1494" s="2">
        <f>YEAR(C1494)</f>
        <v>2017</v>
      </c>
      <c r="E1494">
        <v>950000</v>
      </c>
      <c r="F1494" t="s">
        <v>85</v>
      </c>
      <c r="G1494">
        <v>1989</v>
      </c>
      <c r="H1494">
        <v>2100</v>
      </c>
      <c r="I1494" t="s">
        <v>262</v>
      </c>
      <c r="J1494">
        <v>62</v>
      </c>
      <c r="K1494">
        <v>60062</v>
      </c>
      <c r="L1494">
        <v>4666</v>
      </c>
      <c r="M1494">
        <v>11</v>
      </c>
      <c r="N1494">
        <v>5</v>
      </c>
      <c r="O1494">
        <v>1</v>
      </c>
      <c r="P1494" t="s">
        <v>79</v>
      </c>
      <c r="Q1494">
        <v>5</v>
      </c>
      <c r="R1494">
        <v>0</v>
      </c>
      <c r="S1494" t="s">
        <v>21</v>
      </c>
      <c r="T1494">
        <v>3</v>
      </c>
      <c r="U1494">
        <v>0</v>
      </c>
    </row>
    <row r="1495" spans="1:21" x14ac:dyDescent="0.25">
      <c r="A1495">
        <v>10063667</v>
      </c>
      <c r="B1495" t="s">
        <v>15</v>
      </c>
      <c r="C1495" s="1">
        <v>43406</v>
      </c>
      <c r="D1495" s="2">
        <f>YEAR(C1495)</f>
        <v>2018</v>
      </c>
      <c r="E1495">
        <v>690000</v>
      </c>
      <c r="F1495" t="s">
        <v>85</v>
      </c>
      <c r="G1495">
        <v>1989</v>
      </c>
      <c r="H1495">
        <v>2982</v>
      </c>
      <c r="I1495" t="s">
        <v>142</v>
      </c>
      <c r="J1495">
        <v>62</v>
      </c>
      <c r="K1495">
        <v>60062</v>
      </c>
      <c r="L1495">
        <v>4512</v>
      </c>
      <c r="M1495">
        <v>15</v>
      </c>
      <c r="N1495">
        <v>5</v>
      </c>
      <c r="O1495">
        <v>1</v>
      </c>
      <c r="P1495" t="s">
        <v>79</v>
      </c>
      <c r="Q1495">
        <v>4</v>
      </c>
      <c r="R1495">
        <v>1</v>
      </c>
      <c r="S1495" t="s">
        <v>21</v>
      </c>
      <c r="T1495">
        <v>3</v>
      </c>
      <c r="U1495">
        <v>0</v>
      </c>
    </row>
    <row r="1496" spans="1:21" x14ac:dyDescent="0.25">
      <c r="A1496">
        <v>9927692</v>
      </c>
      <c r="B1496" t="s">
        <v>15</v>
      </c>
      <c r="C1496" s="1">
        <v>43273</v>
      </c>
      <c r="D1496" s="2">
        <f>YEAR(C1496)</f>
        <v>2018</v>
      </c>
      <c r="E1496">
        <v>688000</v>
      </c>
      <c r="F1496" t="s">
        <v>85</v>
      </c>
      <c r="G1496">
        <v>1989</v>
      </c>
      <c r="H1496">
        <v>2845</v>
      </c>
      <c r="I1496" t="s">
        <v>378</v>
      </c>
      <c r="J1496">
        <v>62</v>
      </c>
      <c r="K1496">
        <v>60062</v>
      </c>
      <c r="L1496">
        <v>4000</v>
      </c>
      <c r="M1496">
        <v>15</v>
      </c>
      <c r="N1496">
        <v>4</v>
      </c>
      <c r="O1496">
        <v>1</v>
      </c>
      <c r="P1496" t="s">
        <v>79</v>
      </c>
      <c r="Q1496">
        <v>5</v>
      </c>
      <c r="R1496">
        <v>1</v>
      </c>
      <c r="S1496" t="s">
        <v>21</v>
      </c>
      <c r="T1496">
        <v>3</v>
      </c>
      <c r="U1496">
        <v>0</v>
      </c>
    </row>
    <row r="1497" spans="1:21" x14ac:dyDescent="0.25">
      <c r="A1497">
        <v>9853124</v>
      </c>
      <c r="B1497" t="s">
        <v>15</v>
      </c>
      <c r="C1497" s="1">
        <v>43364</v>
      </c>
      <c r="D1497" s="2">
        <f>YEAR(C1497)</f>
        <v>2018</v>
      </c>
      <c r="E1497">
        <v>739000</v>
      </c>
      <c r="F1497" t="s">
        <v>85</v>
      </c>
      <c r="G1497">
        <v>1989</v>
      </c>
      <c r="H1497">
        <v>1447</v>
      </c>
      <c r="I1497" t="s">
        <v>416</v>
      </c>
      <c r="J1497">
        <v>62</v>
      </c>
      <c r="K1497">
        <v>60062</v>
      </c>
      <c r="L1497">
        <v>3200</v>
      </c>
      <c r="M1497">
        <v>12</v>
      </c>
      <c r="N1497">
        <v>3</v>
      </c>
      <c r="O1497">
        <v>1</v>
      </c>
      <c r="P1497" t="s">
        <v>79</v>
      </c>
      <c r="Q1497">
        <v>4</v>
      </c>
      <c r="R1497">
        <v>0</v>
      </c>
      <c r="S1497" t="s">
        <v>21</v>
      </c>
      <c r="T1497">
        <v>2</v>
      </c>
      <c r="U1497">
        <v>0</v>
      </c>
    </row>
    <row r="1498" spans="1:21" x14ac:dyDescent="0.25">
      <c r="A1498">
        <v>9705678</v>
      </c>
      <c r="B1498" t="s">
        <v>15</v>
      </c>
      <c r="C1498" s="1">
        <v>43026</v>
      </c>
      <c r="D1498" s="2">
        <f>YEAR(C1498)</f>
        <v>2017</v>
      </c>
      <c r="E1498">
        <v>633000</v>
      </c>
      <c r="F1498" t="s">
        <v>85</v>
      </c>
      <c r="G1498">
        <v>1989</v>
      </c>
      <c r="H1498">
        <v>3140</v>
      </c>
      <c r="I1498" t="s">
        <v>519</v>
      </c>
      <c r="J1498">
        <v>62</v>
      </c>
      <c r="K1498">
        <v>60062</v>
      </c>
      <c r="L1498">
        <v>3000</v>
      </c>
      <c r="M1498">
        <v>12</v>
      </c>
      <c r="N1498">
        <v>3</v>
      </c>
      <c r="O1498">
        <v>1</v>
      </c>
      <c r="P1498" t="s">
        <v>79</v>
      </c>
      <c r="Q1498">
        <v>3</v>
      </c>
      <c r="R1498">
        <v>2</v>
      </c>
      <c r="S1498" t="s">
        <v>21</v>
      </c>
      <c r="T1498">
        <v>2</v>
      </c>
      <c r="U1498">
        <v>0</v>
      </c>
    </row>
    <row r="1499" spans="1:21" x14ac:dyDescent="0.25">
      <c r="A1499">
        <v>9929293</v>
      </c>
      <c r="B1499" t="s">
        <v>15</v>
      </c>
      <c r="C1499" s="1">
        <v>43278</v>
      </c>
      <c r="D1499" s="2">
        <f>YEAR(C1499)</f>
        <v>2018</v>
      </c>
      <c r="E1499">
        <v>671000</v>
      </c>
      <c r="F1499" t="s">
        <v>85</v>
      </c>
      <c r="G1499">
        <v>1990</v>
      </c>
      <c r="H1499">
        <v>3546</v>
      </c>
      <c r="I1499" t="s">
        <v>354</v>
      </c>
      <c r="J1499">
        <v>62</v>
      </c>
      <c r="K1499">
        <v>60062</v>
      </c>
      <c r="L1499">
        <v>3060</v>
      </c>
      <c r="M1499">
        <v>7</v>
      </c>
      <c r="N1499">
        <v>3</v>
      </c>
      <c r="O1499">
        <v>1</v>
      </c>
      <c r="P1499" t="s">
        <v>79</v>
      </c>
      <c r="Q1499">
        <v>3</v>
      </c>
      <c r="R1499">
        <v>0</v>
      </c>
      <c r="S1499" t="s">
        <v>21</v>
      </c>
      <c r="T1499">
        <v>2</v>
      </c>
      <c r="U1499">
        <v>0</v>
      </c>
    </row>
    <row r="1500" spans="1:21" x14ac:dyDescent="0.25">
      <c r="A1500">
        <v>9739979</v>
      </c>
      <c r="B1500" t="s">
        <v>15</v>
      </c>
      <c r="C1500" s="1">
        <v>43126</v>
      </c>
      <c r="D1500" s="2">
        <f>YEAR(C1500)</f>
        <v>2018</v>
      </c>
      <c r="E1500">
        <v>445000</v>
      </c>
      <c r="F1500" t="s">
        <v>85</v>
      </c>
      <c r="G1500">
        <v>1992</v>
      </c>
      <c r="H1500">
        <v>7718</v>
      </c>
      <c r="I1500" t="s">
        <v>69</v>
      </c>
      <c r="J1500">
        <v>76</v>
      </c>
      <c r="K1500">
        <v>60077</v>
      </c>
      <c r="L1500">
        <v>2446</v>
      </c>
      <c r="M1500">
        <v>10</v>
      </c>
      <c r="N1500">
        <v>3</v>
      </c>
      <c r="O1500">
        <v>1</v>
      </c>
      <c r="P1500" t="s">
        <v>79</v>
      </c>
      <c r="Q1500">
        <v>5</v>
      </c>
      <c r="R1500">
        <v>0</v>
      </c>
      <c r="S1500" t="s">
        <v>21</v>
      </c>
      <c r="T1500">
        <v>2</v>
      </c>
      <c r="U1500">
        <v>0</v>
      </c>
    </row>
    <row r="1501" spans="1:21" x14ac:dyDescent="0.25">
      <c r="A1501">
        <v>10034758</v>
      </c>
      <c r="B1501" t="s">
        <v>15</v>
      </c>
      <c r="C1501" s="1">
        <v>43370</v>
      </c>
      <c r="D1501" s="2">
        <f>YEAR(C1501)</f>
        <v>2018</v>
      </c>
      <c r="E1501">
        <v>710000</v>
      </c>
      <c r="F1501" t="s">
        <v>85</v>
      </c>
      <c r="G1501">
        <v>1992</v>
      </c>
      <c r="H1501">
        <v>1914</v>
      </c>
      <c r="I1501" t="s">
        <v>521</v>
      </c>
      <c r="J1501">
        <v>62</v>
      </c>
      <c r="K1501">
        <v>60062</v>
      </c>
      <c r="L1501">
        <v>4440</v>
      </c>
      <c r="M1501">
        <v>14</v>
      </c>
      <c r="N1501">
        <v>3</v>
      </c>
      <c r="O1501">
        <v>2</v>
      </c>
      <c r="P1501" t="s">
        <v>79</v>
      </c>
      <c r="Q1501">
        <v>4</v>
      </c>
      <c r="R1501">
        <v>1</v>
      </c>
      <c r="S1501" t="s">
        <v>21</v>
      </c>
      <c r="T1501">
        <v>4.5</v>
      </c>
      <c r="U1501">
        <v>0</v>
      </c>
    </row>
    <row r="1502" spans="1:21" x14ac:dyDescent="0.25">
      <c r="A1502">
        <v>9666263</v>
      </c>
      <c r="B1502" t="s">
        <v>15</v>
      </c>
      <c r="C1502" s="1">
        <v>42991</v>
      </c>
      <c r="D1502" s="2">
        <f>YEAR(C1502)</f>
        <v>2017</v>
      </c>
      <c r="E1502">
        <v>779000</v>
      </c>
      <c r="F1502" t="s">
        <v>85</v>
      </c>
      <c r="G1502">
        <v>1992</v>
      </c>
      <c r="H1502">
        <v>1317</v>
      </c>
      <c r="I1502" t="s">
        <v>522</v>
      </c>
      <c r="J1502">
        <v>62</v>
      </c>
      <c r="K1502">
        <v>60062</v>
      </c>
      <c r="L1502">
        <v>3157</v>
      </c>
      <c r="M1502">
        <v>10</v>
      </c>
      <c r="N1502">
        <v>4</v>
      </c>
      <c r="O1502">
        <v>1</v>
      </c>
      <c r="P1502" t="s">
        <v>79</v>
      </c>
      <c r="Q1502">
        <v>4</v>
      </c>
      <c r="R1502">
        <v>0</v>
      </c>
      <c r="S1502" t="s">
        <v>21</v>
      </c>
      <c r="T1502">
        <v>2</v>
      </c>
      <c r="U1502">
        <v>0</v>
      </c>
    </row>
    <row r="1503" spans="1:21" x14ac:dyDescent="0.25">
      <c r="A1503">
        <v>9340390</v>
      </c>
      <c r="B1503" t="s">
        <v>15</v>
      </c>
      <c r="C1503" s="1">
        <v>42916</v>
      </c>
      <c r="D1503" s="2">
        <f>YEAR(C1503)</f>
        <v>2017</v>
      </c>
      <c r="E1503">
        <v>783000</v>
      </c>
      <c r="F1503" t="s">
        <v>85</v>
      </c>
      <c r="G1503">
        <v>1994</v>
      </c>
      <c r="H1503">
        <v>4033</v>
      </c>
      <c r="I1503" t="s">
        <v>176</v>
      </c>
      <c r="J1503">
        <v>76</v>
      </c>
      <c r="K1503">
        <v>60076</v>
      </c>
      <c r="L1503">
        <v>5737</v>
      </c>
      <c r="M1503">
        <v>17</v>
      </c>
      <c r="N1503">
        <v>4</v>
      </c>
      <c r="O1503">
        <v>2</v>
      </c>
      <c r="P1503" t="s">
        <v>79</v>
      </c>
      <c r="Q1503">
        <v>7</v>
      </c>
      <c r="R1503">
        <v>2</v>
      </c>
      <c r="S1503" t="s">
        <v>21</v>
      </c>
      <c r="T1503">
        <v>3</v>
      </c>
      <c r="U1503">
        <v>0</v>
      </c>
    </row>
    <row r="1504" spans="1:21" x14ac:dyDescent="0.25">
      <c r="A1504">
        <v>9911880</v>
      </c>
      <c r="B1504" t="s">
        <v>15</v>
      </c>
      <c r="C1504" s="1">
        <v>43266</v>
      </c>
      <c r="D1504" s="2">
        <f>YEAR(C1504)</f>
        <v>2018</v>
      </c>
      <c r="E1504">
        <v>1100000</v>
      </c>
      <c r="F1504" t="s">
        <v>85</v>
      </c>
      <c r="G1504">
        <v>1994</v>
      </c>
      <c r="H1504">
        <v>1426</v>
      </c>
      <c r="I1504" t="s">
        <v>224</v>
      </c>
      <c r="J1504">
        <v>62</v>
      </c>
      <c r="K1504">
        <v>60062</v>
      </c>
      <c r="L1504">
        <v>5523</v>
      </c>
      <c r="M1504">
        <v>15</v>
      </c>
      <c r="N1504">
        <v>4</v>
      </c>
      <c r="O1504">
        <v>1</v>
      </c>
      <c r="P1504" t="s">
        <v>79</v>
      </c>
      <c r="Q1504">
        <v>4</v>
      </c>
      <c r="R1504">
        <v>3</v>
      </c>
      <c r="S1504" t="s">
        <v>21</v>
      </c>
      <c r="T1504">
        <v>3</v>
      </c>
      <c r="U1504">
        <v>0</v>
      </c>
    </row>
    <row r="1505" spans="1:21" x14ac:dyDescent="0.25">
      <c r="A1505">
        <v>9515355</v>
      </c>
      <c r="B1505" t="s">
        <v>15</v>
      </c>
      <c r="C1505" s="1">
        <v>42899</v>
      </c>
      <c r="D1505" s="2">
        <f>YEAR(C1505)</f>
        <v>2017</v>
      </c>
      <c r="E1505">
        <v>1200000</v>
      </c>
      <c r="F1505" t="s">
        <v>85</v>
      </c>
      <c r="G1505">
        <v>1994</v>
      </c>
      <c r="H1505">
        <v>1849</v>
      </c>
      <c r="I1505" t="s">
        <v>523</v>
      </c>
      <c r="J1505">
        <v>62</v>
      </c>
      <c r="K1505">
        <v>60062</v>
      </c>
      <c r="L1505">
        <v>4538</v>
      </c>
      <c r="M1505">
        <v>14</v>
      </c>
      <c r="N1505">
        <v>5</v>
      </c>
      <c r="O1505">
        <v>2</v>
      </c>
      <c r="P1505" t="s">
        <v>79</v>
      </c>
      <c r="Q1505">
        <v>5</v>
      </c>
      <c r="R1505">
        <v>0</v>
      </c>
      <c r="S1505" t="s">
        <v>21</v>
      </c>
      <c r="T1505">
        <v>3</v>
      </c>
      <c r="U1505">
        <v>0</v>
      </c>
    </row>
    <row r="1506" spans="1:21" x14ac:dyDescent="0.25">
      <c r="A1506">
        <v>10071533</v>
      </c>
      <c r="B1506" t="s">
        <v>15</v>
      </c>
      <c r="C1506" s="1">
        <v>43416</v>
      </c>
      <c r="D1506" s="2">
        <f>YEAR(C1506)</f>
        <v>2018</v>
      </c>
      <c r="E1506">
        <v>970000</v>
      </c>
      <c r="F1506" t="s">
        <v>85</v>
      </c>
      <c r="G1506">
        <v>1994</v>
      </c>
      <c r="H1506">
        <v>1806</v>
      </c>
      <c r="I1506" t="s">
        <v>523</v>
      </c>
      <c r="J1506">
        <v>62</v>
      </c>
      <c r="K1506">
        <v>60062</v>
      </c>
      <c r="L1506">
        <v>3391</v>
      </c>
      <c r="M1506">
        <v>13</v>
      </c>
      <c r="N1506">
        <v>3</v>
      </c>
      <c r="O1506">
        <v>1</v>
      </c>
      <c r="P1506" t="s">
        <v>79</v>
      </c>
      <c r="Q1506">
        <v>5</v>
      </c>
      <c r="R1506">
        <v>0</v>
      </c>
      <c r="S1506" t="s">
        <v>21</v>
      </c>
      <c r="T1506">
        <v>3</v>
      </c>
      <c r="U1506">
        <v>0</v>
      </c>
    </row>
    <row r="1507" spans="1:21" x14ac:dyDescent="0.25">
      <c r="A1507">
        <v>9128338</v>
      </c>
      <c r="B1507" t="s">
        <v>15</v>
      </c>
      <c r="C1507" s="1">
        <v>42853</v>
      </c>
      <c r="D1507" s="2">
        <f>YEAR(C1507)</f>
        <v>2017</v>
      </c>
      <c r="E1507">
        <v>745000</v>
      </c>
      <c r="F1507" t="s">
        <v>85</v>
      </c>
      <c r="G1507">
        <v>1995</v>
      </c>
      <c r="H1507">
        <v>4645</v>
      </c>
      <c r="I1507" t="s">
        <v>199</v>
      </c>
      <c r="J1507">
        <v>76</v>
      </c>
      <c r="K1507">
        <v>60076</v>
      </c>
      <c r="L1507">
        <v>7000</v>
      </c>
      <c r="M1507">
        <v>15</v>
      </c>
      <c r="N1507">
        <v>3</v>
      </c>
      <c r="O1507">
        <v>2</v>
      </c>
      <c r="P1507" t="s">
        <v>79</v>
      </c>
      <c r="Q1507">
        <v>5</v>
      </c>
      <c r="R1507">
        <v>0</v>
      </c>
      <c r="S1507" t="s">
        <v>21</v>
      </c>
      <c r="T1507">
        <v>4</v>
      </c>
      <c r="U1507">
        <v>0</v>
      </c>
    </row>
    <row r="1508" spans="1:21" x14ac:dyDescent="0.25">
      <c r="A1508">
        <v>9960643</v>
      </c>
      <c r="B1508" t="s">
        <v>15</v>
      </c>
      <c r="C1508" s="1">
        <v>43367</v>
      </c>
      <c r="D1508" s="2">
        <f>YEAR(C1508)</f>
        <v>2018</v>
      </c>
      <c r="E1508">
        <v>1451500</v>
      </c>
      <c r="F1508" t="s">
        <v>85</v>
      </c>
      <c r="G1508">
        <v>1995</v>
      </c>
      <c r="H1508">
        <v>4025</v>
      </c>
      <c r="I1508" t="s">
        <v>524</v>
      </c>
      <c r="J1508">
        <v>62</v>
      </c>
      <c r="K1508">
        <v>60062</v>
      </c>
      <c r="L1508">
        <v>6016</v>
      </c>
      <c r="M1508">
        <v>17</v>
      </c>
      <c r="N1508">
        <v>6</v>
      </c>
      <c r="O1508">
        <v>1</v>
      </c>
      <c r="P1508" t="s">
        <v>79</v>
      </c>
      <c r="Q1508">
        <v>5</v>
      </c>
      <c r="R1508">
        <v>2</v>
      </c>
      <c r="S1508" t="s">
        <v>21</v>
      </c>
      <c r="T1508">
        <v>4</v>
      </c>
      <c r="U1508">
        <v>0</v>
      </c>
    </row>
    <row r="1509" spans="1:21" x14ac:dyDescent="0.25">
      <c r="A1509">
        <v>10008244</v>
      </c>
      <c r="B1509" t="s">
        <v>15</v>
      </c>
      <c r="C1509" s="1">
        <v>43377</v>
      </c>
      <c r="D1509" s="2">
        <f>YEAR(C1509)</f>
        <v>2018</v>
      </c>
      <c r="E1509">
        <v>1325000</v>
      </c>
      <c r="F1509" t="s">
        <v>85</v>
      </c>
      <c r="G1509">
        <v>1995</v>
      </c>
      <c r="H1509">
        <v>1800</v>
      </c>
      <c r="I1509" t="s">
        <v>523</v>
      </c>
      <c r="J1509">
        <v>62</v>
      </c>
      <c r="K1509">
        <v>60062</v>
      </c>
      <c r="L1509">
        <v>5300</v>
      </c>
      <c r="M1509">
        <v>13</v>
      </c>
      <c r="N1509">
        <v>6</v>
      </c>
      <c r="O1509">
        <v>2</v>
      </c>
      <c r="P1509" t="s">
        <v>79</v>
      </c>
      <c r="Q1509">
        <v>5</v>
      </c>
      <c r="R1509">
        <v>1</v>
      </c>
      <c r="S1509" t="s">
        <v>21</v>
      </c>
      <c r="T1509">
        <v>5</v>
      </c>
      <c r="U1509">
        <v>0</v>
      </c>
    </row>
    <row r="1510" spans="1:21" x14ac:dyDescent="0.25">
      <c r="A1510">
        <v>9834937</v>
      </c>
      <c r="B1510" t="s">
        <v>15</v>
      </c>
      <c r="C1510" s="1">
        <v>43215</v>
      </c>
      <c r="D1510" s="2">
        <f>YEAR(C1510)</f>
        <v>2018</v>
      </c>
      <c r="E1510">
        <v>1185000</v>
      </c>
      <c r="F1510" t="s">
        <v>85</v>
      </c>
      <c r="G1510">
        <v>1995</v>
      </c>
      <c r="H1510">
        <v>1811</v>
      </c>
      <c r="I1510" t="s">
        <v>523</v>
      </c>
      <c r="J1510">
        <v>62</v>
      </c>
      <c r="K1510">
        <v>60062</v>
      </c>
      <c r="L1510">
        <v>4640</v>
      </c>
      <c r="M1510">
        <v>13</v>
      </c>
      <c r="N1510">
        <v>5</v>
      </c>
      <c r="O1510">
        <v>1</v>
      </c>
      <c r="P1510" t="s">
        <v>79</v>
      </c>
      <c r="Q1510">
        <v>5</v>
      </c>
      <c r="R1510">
        <v>1</v>
      </c>
      <c r="S1510" t="s">
        <v>21</v>
      </c>
      <c r="T1510">
        <v>3</v>
      </c>
      <c r="U1510">
        <v>0</v>
      </c>
    </row>
    <row r="1511" spans="1:21" x14ac:dyDescent="0.25">
      <c r="A1511">
        <v>9370087</v>
      </c>
      <c r="B1511" t="s">
        <v>15</v>
      </c>
      <c r="C1511" s="1">
        <v>42824</v>
      </c>
      <c r="D1511" s="2">
        <f>YEAR(C1511)</f>
        <v>2017</v>
      </c>
      <c r="E1511">
        <v>565000</v>
      </c>
      <c r="F1511" t="s">
        <v>85</v>
      </c>
      <c r="G1511">
        <v>1995</v>
      </c>
      <c r="H1511">
        <v>757</v>
      </c>
      <c r="I1511" t="s">
        <v>525</v>
      </c>
      <c r="J1511">
        <v>62</v>
      </c>
      <c r="K1511">
        <v>60062</v>
      </c>
      <c r="L1511">
        <v>2364</v>
      </c>
      <c r="M1511">
        <v>11</v>
      </c>
      <c r="N1511">
        <v>3</v>
      </c>
      <c r="O1511">
        <v>1</v>
      </c>
      <c r="P1511" t="s">
        <v>79</v>
      </c>
      <c r="Q1511">
        <v>3</v>
      </c>
      <c r="R1511">
        <v>1</v>
      </c>
      <c r="S1511" t="s">
        <v>21</v>
      </c>
      <c r="T1511">
        <v>2</v>
      </c>
      <c r="U1511">
        <v>0</v>
      </c>
    </row>
    <row r="1512" spans="1:21" x14ac:dyDescent="0.25">
      <c r="A1512">
        <v>10103968</v>
      </c>
      <c r="B1512" t="s">
        <v>15</v>
      </c>
      <c r="C1512" s="1">
        <v>43438</v>
      </c>
      <c r="D1512" s="2">
        <f>YEAR(C1512)</f>
        <v>2018</v>
      </c>
      <c r="E1512">
        <v>1465000</v>
      </c>
      <c r="F1512" t="s">
        <v>85</v>
      </c>
      <c r="G1512">
        <v>1996</v>
      </c>
      <c r="H1512">
        <v>1536</v>
      </c>
      <c r="I1512" t="s">
        <v>442</v>
      </c>
      <c r="J1512">
        <v>62</v>
      </c>
      <c r="K1512">
        <v>60062</v>
      </c>
      <c r="L1512">
        <v>6340</v>
      </c>
      <c r="M1512">
        <v>13</v>
      </c>
      <c r="N1512">
        <v>8</v>
      </c>
      <c r="O1512">
        <v>1</v>
      </c>
      <c r="P1512" t="s">
        <v>79</v>
      </c>
      <c r="Q1512">
        <v>4</v>
      </c>
      <c r="R1512">
        <v>1</v>
      </c>
      <c r="S1512" t="s">
        <v>21</v>
      </c>
      <c r="T1512">
        <v>5</v>
      </c>
      <c r="U1512">
        <v>0</v>
      </c>
    </row>
    <row r="1513" spans="1:21" x14ac:dyDescent="0.25">
      <c r="A1513">
        <v>9573837</v>
      </c>
      <c r="B1513" t="s">
        <v>15</v>
      </c>
      <c r="C1513" s="1">
        <v>42899</v>
      </c>
      <c r="D1513" s="2">
        <f>YEAR(C1513)</f>
        <v>2017</v>
      </c>
      <c r="E1513">
        <v>1030000</v>
      </c>
      <c r="F1513" t="s">
        <v>85</v>
      </c>
      <c r="G1513">
        <v>1996</v>
      </c>
      <c r="H1513">
        <v>1537</v>
      </c>
      <c r="I1513" t="s">
        <v>526</v>
      </c>
      <c r="J1513">
        <v>62</v>
      </c>
      <c r="K1513">
        <v>60062</v>
      </c>
      <c r="L1513">
        <v>5466</v>
      </c>
      <c r="M1513">
        <v>9</v>
      </c>
      <c r="N1513">
        <v>3</v>
      </c>
      <c r="O1513">
        <v>2</v>
      </c>
      <c r="P1513" t="s">
        <v>79</v>
      </c>
      <c r="Q1513">
        <v>4</v>
      </c>
      <c r="R1513">
        <v>0</v>
      </c>
      <c r="S1513" t="s">
        <v>21</v>
      </c>
      <c r="T1513">
        <v>3</v>
      </c>
      <c r="U1513">
        <v>0</v>
      </c>
    </row>
    <row r="1514" spans="1:21" x14ac:dyDescent="0.25">
      <c r="A1514">
        <v>10051896</v>
      </c>
      <c r="B1514" t="s">
        <v>15</v>
      </c>
      <c r="C1514" s="1">
        <v>43501</v>
      </c>
      <c r="D1514" s="2">
        <f>YEAR(C1514)</f>
        <v>2019</v>
      </c>
      <c r="E1514">
        <v>805000</v>
      </c>
      <c r="F1514" t="s">
        <v>85</v>
      </c>
      <c r="G1514">
        <v>1996</v>
      </c>
      <c r="H1514">
        <v>2345</v>
      </c>
      <c r="I1514" t="s">
        <v>87</v>
      </c>
      <c r="J1514">
        <v>62</v>
      </c>
      <c r="K1514">
        <v>60062</v>
      </c>
      <c r="L1514">
        <v>4500</v>
      </c>
      <c r="M1514">
        <v>12</v>
      </c>
      <c r="N1514">
        <v>5</v>
      </c>
      <c r="O1514">
        <v>0</v>
      </c>
      <c r="P1514" t="s">
        <v>79</v>
      </c>
      <c r="Q1514">
        <v>5</v>
      </c>
      <c r="R1514">
        <v>1</v>
      </c>
      <c r="S1514" t="s">
        <v>21</v>
      </c>
      <c r="T1514">
        <v>3</v>
      </c>
      <c r="U1514">
        <v>0</v>
      </c>
    </row>
    <row r="1515" spans="1:21" x14ac:dyDescent="0.25">
      <c r="A1515">
        <v>9955441</v>
      </c>
      <c r="B1515" t="s">
        <v>15</v>
      </c>
      <c r="C1515" s="1">
        <v>43406</v>
      </c>
      <c r="D1515" s="2">
        <f>YEAR(C1515)</f>
        <v>2018</v>
      </c>
      <c r="E1515">
        <v>1112500</v>
      </c>
      <c r="F1515" t="s">
        <v>85</v>
      </c>
      <c r="G1515">
        <v>1996</v>
      </c>
      <c r="H1515">
        <v>1518</v>
      </c>
      <c r="I1515" t="s">
        <v>526</v>
      </c>
      <c r="J1515">
        <v>62</v>
      </c>
      <c r="K1515">
        <v>60062</v>
      </c>
      <c r="L1515">
        <v>3936</v>
      </c>
      <c r="M1515">
        <v>12</v>
      </c>
      <c r="N1515">
        <v>5</v>
      </c>
      <c r="O1515">
        <v>1</v>
      </c>
      <c r="P1515" t="s">
        <v>79</v>
      </c>
      <c r="Q1515">
        <v>5</v>
      </c>
      <c r="R1515">
        <v>1</v>
      </c>
      <c r="S1515" t="s">
        <v>21</v>
      </c>
      <c r="T1515">
        <v>3</v>
      </c>
      <c r="U1515">
        <v>0</v>
      </c>
    </row>
    <row r="1516" spans="1:21" x14ac:dyDescent="0.25">
      <c r="A1516">
        <v>9898711</v>
      </c>
      <c r="B1516" t="s">
        <v>15</v>
      </c>
      <c r="C1516" s="1">
        <v>43283</v>
      </c>
      <c r="D1516" s="2">
        <f>YEAR(C1516)</f>
        <v>2018</v>
      </c>
      <c r="E1516">
        <v>851000</v>
      </c>
      <c r="F1516" t="s">
        <v>85</v>
      </c>
      <c r="G1516">
        <v>1996</v>
      </c>
      <c r="H1516">
        <v>1836</v>
      </c>
      <c r="I1516" t="s">
        <v>523</v>
      </c>
      <c r="J1516">
        <v>62</v>
      </c>
      <c r="K1516">
        <v>60062</v>
      </c>
      <c r="L1516">
        <v>3391</v>
      </c>
      <c r="M1516">
        <v>12</v>
      </c>
      <c r="N1516">
        <v>4</v>
      </c>
      <c r="O1516">
        <v>1</v>
      </c>
      <c r="P1516" t="s">
        <v>79</v>
      </c>
      <c r="Q1516">
        <v>5</v>
      </c>
      <c r="R1516">
        <v>0</v>
      </c>
      <c r="S1516" t="s">
        <v>21</v>
      </c>
      <c r="T1516">
        <v>3</v>
      </c>
      <c r="U1516">
        <v>0</v>
      </c>
    </row>
    <row r="1517" spans="1:21" x14ac:dyDescent="0.25">
      <c r="A1517">
        <v>9699815</v>
      </c>
      <c r="B1517" t="s">
        <v>15</v>
      </c>
      <c r="C1517" s="1">
        <v>43024</v>
      </c>
      <c r="D1517" s="2">
        <f>YEAR(C1517)</f>
        <v>2017</v>
      </c>
      <c r="E1517">
        <v>1430000</v>
      </c>
      <c r="F1517" t="s">
        <v>85</v>
      </c>
      <c r="G1517">
        <v>1997</v>
      </c>
      <c r="H1517">
        <v>1683</v>
      </c>
      <c r="I1517" t="s">
        <v>527</v>
      </c>
      <c r="J1517">
        <v>62</v>
      </c>
      <c r="K1517">
        <v>60062</v>
      </c>
      <c r="L1517">
        <v>8007</v>
      </c>
      <c r="M1517">
        <v>12</v>
      </c>
      <c r="N1517">
        <v>6</v>
      </c>
      <c r="O1517">
        <v>2</v>
      </c>
      <c r="P1517" t="s">
        <v>79</v>
      </c>
      <c r="Q1517">
        <v>4</v>
      </c>
      <c r="R1517">
        <v>1</v>
      </c>
      <c r="S1517" t="s">
        <v>21</v>
      </c>
      <c r="T1517">
        <v>4</v>
      </c>
      <c r="U1517">
        <v>0</v>
      </c>
    </row>
    <row r="1518" spans="1:21" x14ac:dyDescent="0.25">
      <c r="A1518">
        <v>9770331</v>
      </c>
      <c r="B1518" t="s">
        <v>15</v>
      </c>
      <c r="C1518" s="1">
        <v>43087</v>
      </c>
      <c r="D1518" s="2">
        <f>YEAR(C1518)</f>
        <v>2017</v>
      </c>
      <c r="E1518">
        <v>740000</v>
      </c>
      <c r="F1518" t="s">
        <v>85</v>
      </c>
      <c r="G1518">
        <v>1997</v>
      </c>
      <c r="H1518">
        <v>2548</v>
      </c>
      <c r="I1518" t="s">
        <v>423</v>
      </c>
      <c r="J1518">
        <v>62</v>
      </c>
      <c r="K1518">
        <v>60062</v>
      </c>
      <c r="L1518">
        <v>3309</v>
      </c>
      <c r="M1518">
        <v>12</v>
      </c>
      <c r="N1518">
        <v>3</v>
      </c>
      <c r="O1518">
        <v>1</v>
      </c>
      <c r="P1518" t="s">
        <v>79</v>
      </c>
      <c r="Q1518">
        <v>4</v>
      </c>
      <c r="R1518">
        <v>2</v>
      </c>
      <c r="S1518" t="s">
        <v>21</v>
      </c>
      <c r="T1518">
        <v>3</v>
      </c>
      <c r="U1518">
        <v>0</v>
      </c>
    </row>
    <row r="1519" spans="1:21" x14ac:dyDescent="0.25">
      <c r="A1519">
        <v>9861963</v>
      </c>
      <c r="B1519" t="s">
        <v>15</v>
      </c>
      <c r="C1519" s="1">
        <v>43245</v>
      </c>
      <c r="D1519" s="2">
        <f>YEAR(C1519)</f>
        <v>2018</v>
      </c>
      <c r="E1519">
        <v>692500</v>
      </c>
      <c r="F1519" t="s">
        <v>85</v>
      </c>
      <c r="G1519">
        <v>1998</v>
      </c>
      <c r="H1519">
        <v>8716</v>
      </c>
      <c r="I1519" t="s">
        <v>62</v>
      </c>
      <c r="J1519">
        <v>76</v>
      </c>
      <c r="K1519">
        <v>60077</v>
      </c>
      <c r="L1519">
        <v>4700</v>
      </c>
      <c r="M1519">
        <v>8</v>
      </c>
      <c r="N1519">
        <v>3</v>
      </c>
      <c r="O1519">
        <v>2</v>
      </c>
      <c r="P1519" t="s">
        <v>79</v>
      </c>
      <c r="Q1519">
        <v>4</v>
      </c>
      <c r="R1519">
        <v>0</v>
      </c>
      <c r="S1519" t="s">
        <v>22</v>
      </c>
      <c r="T1519">
        <v>3</v>
      </c>
      <c r="U1519">
        <v>0</v>
      </c>
    </row>
    <row r="1520" spans="1:21" x14ac:dyDescent="0.25">
      <c r="A1520">
        <v>10098018</v>
      </c>
      <c r="B1520" t="s">
        <v>15</v>
      </c>
      <c r="C1520" s="1">
        <v>43446</v>
      </c>
      <c r="D1520" s="2">
        <f>YEAR(C1520)</f>
        <v>2018</v>
      </c>
      <c r="E1520">
        <v>630000</v>
      </c>
      <c r="F1520" t="s">
        <v>85</v>
      </c>
      <c r="G1520">
        <v>1998</v>
      </c>
      <c r="H1520">
        <v>2050</v>
      </c>
      <c r="I1520" t="s">
        <v>528</v>
      </c>
      <c r="J1520">
        <v>62</v>
      </c>
      <c r="K1520">
        <v>60062</v>
      </c>
      <c r="L1520">
        <v>4024</v>
      </c>
      <c r="M1520">
        <v>11</v>
      </c>
      <c r="N1520">
        <v>5</v>
      </c>
      <c r="O1520">
        <v>1</v>
      </c>
      <c r="P1520" t="s">
        <v>79</v>
      </c>
      <c r="Q1520">
        <v>5</v>
      </c>
      <c r="R1520">
        <v>0</v>
      </c>
      <c r="S1520" t="s">
        <v>21</v>
      </c>
      <c r="T1520">
        <v>3</v>
      </c>
      <c r="U1520">
        <v>0</v>
      </c>
    </row>
    <row r="1521" spans="1:21" x14ac:dyDescent="0.25">
      <c r="A1521">
        <v>9697815</v>
      </c>
      <c r="B1521" t="s">
        <v>15</v>
      </c>
      <c r="C1521" s="1">
        <v>43054</v>
      </c>
      <c r="D1521" s="2">
        <f>YEAR(C1521)</f>
        <v>2017</v>
      </c>
      <c r="E1521">
        <v>875000</v>
      </c>
      <c r="F1521" t="s">
        <v>85</v>
      </c>
      <c r="G1521">
        <v>1998</v>
      </c>
      <c r="H1521">
        <v>3815</v>
      </c>
      <c r="I1521" t="s">
        <v>302</v>
      </c>
      <c r="J1521">
        <v>62</v>
      </c>
      <c r="K1521">
        <v>60062</v>
      </c>
      <c r="L1521">
        <v>3769</v>
      </c>
      <c r="M1521">
        <v>14</v>
      </c>
      <c r="N1521">
        <v>5</v>
      </c>
      <c r="O1521">
        <v>0</v>
      </c>
      <c r="P1521" t="s">
        <v>79</v>
      </c>
      <c r="Q1521">
        <v>4</v>
      </c>
      <c r="R1521">
        <v>2</v>
      </c>
      <c r="S1521" t="s">
        <v>21</v>
      </c>
      <c r="T1521">
        <v>3</v>
      </c>
      <c r="U1521">
        <v>0</v>
      </c>
    </row>
    <row r="1522" spans="1:21" x14ac:dyDescent="0.25">
      <c r="A1522">
        <v>9322466</v>
      </c>
      <c r="B1522" t="s">
        <v>15</v>
      </c>
      <c r="C1522" s="1">
        <v>42810</v>
      </c>
      <c r="D1522" s="2">
        <f>YEAR(C1522)</f>
        <v>2017</v>
      </c>
      <c r="E1522">
        <v>930000</v>
      </c>
      <c r="F1522" t="s">
        <v>85</v>
      </c>
      <c r="G1522">
        <v>1998</v>
      </c>
      <c r="H1522">
        <v>813</v>
      </c>
      <c r="I1522" t="s">
        <v>529</v>
      </c>
      <c r="J1522">
        <v>62</v>
      </c>
      <c r="K1522">
        <v>60062</v>
      </c>
      <c r="L1522">
        <v>3410</v>
      </c>
      <c r="M1522">
        <v>11</v>
      </c>
      <c r="N1522">
        <v>3</v>
      </c>
      <c r="O1522">
        <v>1</v>
      </c>
      <c r="P1522" t="s">
        <v>79</v>
      </c>
      <c r="Q1522">
        <v>4</v>
      </c>
      <c r="R1522">
        <v>0</v>
      </c>
      <c r="S1522" t="s">
        <v>21</v>
      </c>
      <c r="T1522">
        <v>2</v>
      </c>
      <c r="U1522">
        <v>0</v>
      </c>
    </row>
    <row r="1523" spans="1:21" x14ac:dyDescent="0.25">
      <c r="A1523">
        <v>9313806</v>
      </c>
      <c r="B1523" t="s">
        <v>15</v>
      </c>
      <c r="C1523" s="1">
        <v>42874</v>
      </c>
      <c r="D1523" s="2">
        <f>YEAR(C1523)</f>
        <v>2017</v>
      </c>
      <c r="E1523">
        <v>688000</v>
      </c>
      <c r="F1523" t="s">
        <v>85</v>
      </c>
      <c r="G1523">
        <v>1998</v>
      </c>
      <c r="H1523">
        <v>2550</v>
      </c>
      <c r="I1523" t="s">
        <v>424</v>
      </c>
      <c r="J1523">
        <v>62</v>
      </c>
      <c r="K1523">
        <v>60062</v>
      </c>
      <c r="L1523">
        <v>3135</v>
      </c>
      <c r="M1523">
        <v>12</v>
      </c>
      <c r="N1523">
        <v>3</v>
      </c>
      <c r="O1523">
        <v>1</v>
      </c>
      <c r="P1523" t="s">
        <v>79</v>
      </c>
      <c r="Q1523">
        <v>4</v>
      </c>
      <c r="R1523">
        <v>1</v>
      </c>
      <c r="S1523" t="s">
        <v>21</v>
      </c>
      <c r="T1523">
        <v>3</v>
      </c>
      <c r="U1523">
        <v>0</v>
      </c>
    </row>
    <row r="1524" spans="1:21" x14ac:dyDescent="0.25">
      <c r="A1524">
        <v>9741413</v>
      </c>
      <c r="B1524" t="s">
        <v>15</v>
      </c>
      <c r="C1524" s="1">
        <v>43329</v>
      </c>
      <c r="D1524" s="2">
        <f>YEAR(C1524)</f>
        <v>2018</v>
      </c>
      <c r="E1524">
        <v>2300000</v>
      </c>
      <c r="F1524" t="s">
        <v>85</v>
      </c>
      <c r="G1524">
        <v>1999</v>
      </c>
      <c r="H1524">
        <v>1115</v>
      </c>
      <c r="I1524" t="s">
        <v>436</v>
      </c>
      <c r="J1524">
        <v>62</v>
      </c>
      <c r="K1524">
        <v>60062</v>
      </c>
      <c r="L1524">
        <v>8782</v>
      </c>
      <c r="M1524">
        <v>16</v>
      </c>
      <c r="N1524">
        <v>6</v>
      </c>
      <c r="O1524">
        <v>3</v>
      </c>
      <c r="P1524" t="s">
        <v>79</v>
      </c>
      <c r="Q1524">
        <v>5</v>
      </c>
      <c r="R1524">
        <v>1</v>
      </c>
      <c r="S1524" t="s">
        <v>21</v>
      </c>
      <c r="T1524">
        <v>6</v>
      </c>
      <c r="U1524">
        <v>0</v>
      </c>
    </row>
    <row r="1525" spans="1:21" x14ac:dyDescent="0.25">
      <c r="A1525">
        <v>9333666</v>
      </c>
      <c r="B1525" t="s">
        <v>15</v>
      </c>
      <c r="C1525" s="1">
        <v>42828</v>
      </c>
      <c r="D1525" s="2">
        <f>YEAR(C1525)</f>
        <v>2017</v>
      </c>
      <c r="E1525">
        <v>1800000</v>
      </c>
      <c r="F1525" t="s">
        <v>85</v>
      </c>
      <c r="G1525">
        <v>1999</v>
      </c>
      <c r="H1525">
        <v>3345</v>
      </c>
      <c r="I1525" t="s">
        <v>457</v>
      </c>
      <c r="J1525">
        <v>62</v>
      </c>
      <c r="K1525">
        <v>60062</v>
      </c>
      <c r="L1525">
        <v>6706</v>
      </c>
      <c r="M1525">
        <v>14</v>
      </c>
      <c r="N1525">
        <v>5</v>
      </c>
      <c r="O1525">
        <v>1</v>
      </c>
      <c r="P1525" t="s">
        <v>79</v>
      </c>
      <c r="Q1525">
        <v>5</v>
      </c>
      <c r="R1525">
        <v>1</v>
      </c>
      <c r="S1525" t="s">
        <v>21</v>
      </c>
      <c r="T1525">
        <v>4</v>
      </c>
      <c r="U1525">
        <v>0</v>
      </c>
    </row>
    <row r="1526" spans="1:21" x14ac:dyDescent="0.25">
      <c r="A1526">
        <v>9993312</v>
      </c>
      <c r="B1526" t="s">
        <v>15</v>
      </c>
      <c r="C1526" s="1">
        <v>43404</v>
      </c>
      <c r="D1526" s="2">
        <f>YEAR(C1526)</f>
        <v>2018</v>
      </c>
      <c r="E1526">
        <v>875000</v>
      </c>
      <c r="F1526" t="s">
        <v>85</v>
      </c>
      <c r="G1526">
        <v>1999</v>
      </c>
      <c r="H1526">
        <v>3222</v>
      </c>
      <c r="I1526" t="s">
        <v>530</v>
      </c>
      <c r="J1526">
        <v>62</v>
      </c>
      <c r="K1526">
        <v>60062</v>
      </c>
      <c r="L1526">
        <v>4057</v>
      </c>
      <c r="M1526">
        <v>12</v>
      </c>
      <c r="N1526">
        <v>4</v>
      </c>
      <c r="O1526">
        <v>1</v>
      </c>
      <c r="P1526" t="s">
        <v>79</v>
      </c>
      <c r="Q1526">
        <v>4</v>
      </c>
      <c r="R1526">
        <v>1</v>
      </c>
      <c r="S1526" t="s">
        <v>21</v>
      </c>
      <c r="T1526">
        <v>3</v>
      </c>
      <c r="U1526">
        <v>0</v>
      </c>
    </row>
    <row r="1527" spans="1:21" x14ac:dyDescent="0.25">
      <c r="A1527">
        <v>9837109</v>
      </c>
      <c r="B1527" t="s">
        <v>15</v>
      </c>
      <c r="C1527" s="1">
        <v>43301</v>
      </c>
      <c r="D1527" s="2">
        <f>YEAR(C1527)</f>
        <v>2018</v>
      </c>
      <c r="E1527">
        <v>737500</v>
      </c>
      <c r="F1527" t="s">
        <v>85</v>
      </c>
      <c r="G1527">
        <v>1999</v>
      </c>
      <c r="H1527">
        <v>1946</v>
      </c>
      <c r="I1527" t="s">
        <v>531</v>
      </c>
      <c r="J1527">
        <v>62</v>
      </c>
      <c r="K1527">
        <v>60062</v>
      </c>
      <c r="L1527">
        <v>3994</v>
      </c>
      <c r="M1527">
        <v>13</v>
      </c>
      <c r="N1527">
        <v>4</v>
      </c>
      <c r="O1527">
        <v>1</v>
      </c>
      <c r="P1527" t="s">
        <v>79</v>
      </c>
      <c r="Q1527">
        <v>4</v>
      </c>
      <c r="R1527">
        <v>1</v>
      </c>
      <c r="S1527" t="s">
        <v>21</v>
      </c>
      <c r="T1527">
        <v>3</v>
      </c>
      <c r="U1527">
        <v>0</v>
      </c>
    </row>
    <row r="1528" spans="1:21" x14ac:dyDescent="0.25">
      <c r="A1528">
        <v>9600675</v>
      </c>
      <c r="B1528" t="s">
        <v>15</v>
      </c>
      <c r="C1528" s="1">
        <v>42930</v>
      </c>
      <c r="D1528" s="2">
        <f>YEAR(C1528)</f>
        <v>2017</v>
      </c>
      <c r="E1528">
        <v>787000</v>
      </c>
      <c r="F1528" t="s">
        <v>85</v>
      </c>
      <c r="G1528">
        <v>1999</v>
      </c>
      <c r="H1528">
        <v>3286</v>
      </c>
      <c r="I1528" t="s">
        <v>96</v>
      </c>
      <c r="J1528">
        <v>62</v>
      </c>
      <c r="K1528">
        <v>60062</v>
      </c>
      <c r="L1528">
        <v>3451</v>
      </c>
      <c r="M1528">
        <v>11</v>
      </c>
      <c r="N1528">
        <v>3</v>
      </c>
      <c r="O1528">
        <v>1</v>
      </c>
      <c r="P1528" t="s">
        <v>79</v>
      </c>
      <c r="Q1528">
        <v>4</v>
      </c>
      <c r="R1528">
        <v>0</v>
      </c>
      <c r="S1528" t="s">
        <v>21</v>
      </c>
      <c r="T1528">
        <v>3</v>
      </c>
      <c r="U1528">
        <v>0</v>
      </c>
    </row>
    <row r="1529" spans="1:21" x14ac:dyDescent="0.25">
      <c r="A1529">
        <v>9787664</v>
      </c>
      <c r="B1529" t="s">
        <v>15</v>
      </c>
      <c r="C1529" s="1">
        <v>43119</v>
      </c>
      <c r="D1529" s="2">
        <f>YEAR(C1529)</f>
        <v>2018</v>
      </c>
      <c r="E1529">
        <v>662500</v>
      </c>
      <c r="F1529" t="s">
        <v>85</v>
      </c>
      <c r="G1529">
        <v>1999</v>
      </c>
      <c r="H1529">
        <v>2339</v>
      </c>
      <c r="I1529" t="s">
        <v>190</v>
      </c>
      <c r="J1529">
        <v>62</v>
      </c>
      <c r="K1529">
        <v>60062</v>
      </c>
      <c r="L1529">
        <v>2765</v>
      </c>
      <c r="M1529">
        <v>14</v>
      </c>
      <c r="N1529">
        <v>4</v>
      </c>
      <c r="O1529">
        <v>0</v>
      </c>
      <c r="P1529" t="s">
        <v>79</v>
      </c>
      <c r="Q1529">
        <v>5</v>
      </c>
      <c r="R1529">
        <v>1</v>
      </c>
      <c r="S1529" t="s">
        <v>21</v>
      </c>
      <c r="T1529">
        <v>2</v>
      </c>
      <c r="U1529">
        <v>0</v>
      </c>
    </row>
    <row r="1530" spans="1:21" x14ac:dyDescent="0.25">
      <c r="A1530">
        <v>9897376</v>
      </c>
      <c r="B1530" t="s">
        <v>15</v>
      </c>
      <c r="C1530" s="1">
        <v>43235</v>
      </c>
      <c r="D1530" s="2">
        <f>YEAR(C1530)</f>
        <v>2018</v>
      </c>
      <c r="E1530">
        <v>434200</v>
      </c>
      <c r="F1530" t="s">
        <v>85</v>
      </c>
      <c r="G1530">
        <v>2000</v>
      </c>
      <c r="H1530">
        <v>7623</v>
      </c>
      <c r="I1530" t="s">
        <v>166</v>
      </c>
      <c r="J1530">
        <v>76</v>
      </c>
      <c r="K1530">
        <v>60076</v>
      </c>
      <c r="L1530">
        <v>2142</v>
      </c>
      <c r="M1530">
        <v>9</v>
      </c>
      <c r="N1530">
        <v>2</v>
      </c>
      <c r="O1530">
        <v>2</v>
      </c>
      <c r="P1530" t="s">
        <v>79</v>
      </c>
      <c r="Q1530">
        <v>4</v>
      </c>
      <c r="R1530">
        <v>0</v>
      </c>
      <c r="S1530" t="s">
        <v>21</v>
      </c>
      <c r="T1530">
        <v>2</v>
      </c>
      <c r="U1530">
        <v>0</v>
      </c>
    </row>
    <row r="1531" spans="1:21" x14ac:dyDescent="0.25">
      <c r="A1531">
        <v>9828107</v>
      </c>
      <c r="B1531" t="s">
        <v>15</v>
      </c>
      <c r="C1531" s="1">
        <v>43206</v>
      </c>
      <c r="D1531" s="2">
        <f>YEAR(C1531)</f>
        <v>2018</v>
      </c>
      <c r="E1531">
        <v>960000</v>
      </c>
      <c r="F1531" t="s">
        <v>85</v>
      </c>
      <c r="G1531">
        <v>2000</v>
      </c>
      <c r="H1531">
        <v>2510</v>
      </c>
      <c r="I1531" t="s">
        <v>532</v>
      </c>
      <c r="J1531">
        <v>62</v>
      </c>
      <c r="K1531">
        <v>60062</v>
      </c>
      <c r="L1531">
        <v>4776</v>
      </c>
      <c r="M1531">
        <v>14</v>
      </c>
      <c r="N1531">
        <v>5</v>
      </c>
      <c r="O1531">
        <v>1</v>
      </c>
      <c r="P1531" t="s">
        <v>79</v>
      </c>
      <c r="Q1531">
        <v>6</v>
      </c>
      <c r="R1531">
        <v>1</v>
      </c>
      <c r="S1531" t="s">
        <v>21</v>
      </c>
      <c r="T1531">
        <v>3</v>
      </c>
      <c r="U1531">
        <v>0</v>
      </c>
    </row>
    <row r="1532" spans="1:21" x14ac:dyDescent="0.25">
      <c r="A1532">
        <v>9750450</v>
      </c>
      <c r="B1532" t="s">
        <v>15</v>
      </c>
      <c r="C1532" s="1">
        <v>43077</v>
      </c>
      <c r="D1532" s="2">
        <f>YEAR(C1532)</f>
        <v>2017</v>
      </c>
      <c r="E1532">
        <v>927000</v>
      </c>
      <c r="F1532" t="s">
        <v>85</v>
      </c>
      <c r="G1532">
        <v>2000</v>
      </c>
      <c r="H1532">
        <v>827</v>
      </c>
      <c r="I1532" t="s">
        <v>427</v>
      </c>
      <c r="J1532">
        <v>62</v>
      </c>
      <c r="K1532">
        <v>60062</v>
      </c>
      <c r="L1532">
        <v>4092</v>
      </c>
      <c r="M1532">
        <v>10</v>
      </c>
      <c r="N1532">
        <v>3</v>
      </c>
      <c r="O1532">
        <v>1</v>
      </c>
      <c r="P1532" t="s">
        <v>79</v>
      </c>
      <c r="Q1532">
        <v>4</v>
      </c>
      <c r="R1532">
        <v>0</v>
      </c>
      <c r="S1532" t="s">
        <v>21</v>
      </c>
      <c r="T1532">
        <v>2</v>
      </c>
      <c r="U1532">
        <v>0</v>
      </c>
    </row>
    <row r="1533" spans="1:21" x14ac:dyDescent="0.25">
      <c r="A1533">
        <v>9600453</v>
      </c>
      <c r="B1533" t="s">
        <v>15</v>
      </c>
      <c r="C1533" s="1">
        <v>43228</v>
      </c>
      <c r="D1533" s="2">
        <f>YEAR(C1533)</f>
        <v>2018</v>
      </c>
      <c r="E1533">
        <v>1324770</v>
      </c>
      <c r="F1533" t="s">
        <v>85</v>
      </c>
      <c r="G1533">
        <v>2001</v>
      </c>
      <c r="H1533">
        <v>8912</v>
      </c>
      <c r="I1533" t="s">
        <v>533</v>
      </c>
      <c r="J1533">
        <v>76</v>
      </c>
      <c r="K1533">
        <v>60076</v>
      </c>
      <c r="L1533">
        <v>6400</v>
      </c>
      <c r="M1533">
        <v>18</v>
      </c>
      <c r="N1533">
        <v>5</v>
      </c>
      <c r="O1533">
        <v>1</v>
      </c>
      <c r="P1533" t="s">
        <v>79</v>
      </c>
      <c r="Q1533">
        <v>6</v>
      </c>
      <c r="R1533">
        <v>1</v>
      </c>
      <c r="S1533" t="s">
        <v>21</v>
      </c>
      <c r="T1533">
        <v>3</v>
      </c>
      <c r="U1533">
        <v>0</v>
      </c>
    </row>
    <row r="1534" spans="1:21" x14ac:dyDescent="0.25">
      <c r="A1534">
        <v>10059571</v>
      </c>
      <c r="B1534" t="s">
        <v>15</v>
      </c>
      <c r="C1534" s="1">
        <v>43411</v>
      </c>
      <c r="D1534" s="2">
        <f>YEAR(C1534)</f>
        <v>2018</v>
      </c>
      <c r="E1534">
        <v>860000</v>
      </c>
      <c r="F1534" t="s">
        <v>85</v>
      </c>
      <c r="G1534">
        <v>2001</v>
      </c>
      <c r="H1534">
        <v>2324</v>
      </c>
      <c r="I1534" t="s">
        <v>180</v>
      </c>
      <c r="J1534">
        <v>62</v>
      </c>
      <c r="K1534">
        <v>60062</v>
      </c>
      <c r="L1534">
        <v>5964</v>
      </c>
      <c r="M1534">
        <v>14</v>
      </c>
      <c r="N1534">
        <v>4</v>
      </c>
      <c r="O1534">
        <v>1</v>
      </c>
      <c r="P1534" t="s">
        <v>79</v>
      </c>
      <c r="Q1534">
        <v>5</v>
      </c>
      <c r="R1534">
        <v>1</v>
      </c>
      <c r="S1534" t="s">
        <v>21</v>
      </c>
      <c r="T1534">
        <v>3</v>
      </c>
      <c r="U1534">
        <v>0</v>
      </c>
    </row>
    <row r="1535" spans="1:21" x14ac:dyDescent="0.25">
      <c r="A1535">
        <v>9689250</v>
      </c>
      <c r="B1535" t="s">
        <v>15</v>
      </c>
      <c r="C1535" s="1">
        <v>42976</v>
      </c>
      <c r="D1535" s="2">
        <f>YEAR(C1535)</f>
        <v>2017</v>
      </c>
      <c r="E1535">
        <v>1005000</v>
      </c>
      <c r="F1535" t="s">
        <v>85</v>
      </c>
      <c r="G1535">
        <v>2001</v>
      </c>
      <c r="H1535">
        <v>2532</v>
      </c>
      <c r="I1535" t="s">
        <v>534</v>
      </c>
      <c r="J1535">
        <v>62</v>
      </c>
      <c r="K1535">
        <v>60062</v>
      </c>
      <c r="L1535">
        <v>5795</v>
      </c>
      <c r="M1535">
        <v>16</v>
      </c>
      <c r="N1535">
        <v>6</v>
      </c>
      <c r="O1535">
        <v>0</v>
      </c>
      <c r="P1535" t="s">
        <v>79</v>
      </c>
      <c r="Q1535">
        <v>5</v>
      </c>
      <c r="R1535">
        <v>0</v>
      </c>
      <c r="S1535" t="s">
        <v>21</v>
      </c>
      <c r="T1535">
        <v>3</v>
      </c>
      <c r="U1535">
        <v>0</v>
      </c>
    </row>
    <row r="1536" spans="1:21" x14ac:dyDescent="0.25">
      <c r="A1536">
        <v>9359428</v>
      </c>
      <c r="B1536" t="s">
        <v>15</v>
      </c>
      <c r="C1536" s="1">
        <v>42879</v>
      </c>
      <c r="D1536" s="2">
        <f>YEAR(C1536)</f>
        <v>2017</v>
      </c>
      <c r="E1536">
        <v>1100000</v>
      </c>
      <c r="F1536" t="s">
        <v>85</v>
      </c>
      <c r="G1536">
        <v>2001</v>
      </c>
      <c r="H1536">
        <v>2671</v>
      </c>
      <c r="I1536" t="s">
        <v>87</v>
      </c>
      <c r="J1536">
        <v>62</v>
      </c>
      <c r="K1536">
        <v>60062</v>
      </c>
      <c r="L1536">
        <v>5665</v>
      </c>
      <c r="M1536">
        <v>14</v>
      </c>
      <c r="N1536">
        <v>5</v>
      </c>
      <c r="O1536">
        <v>2</v>
      </c>
      <c r="P1536" t="s">
        <v>79</v>
      </c>
      <c r="Q1536">
        <v>4</v>
      </c>
      <c r="R1536">
        <v>2</v>
      </c>
      <c r="S1536" t="s">
        <v>21</v>
      </c>
      <c r="T1536">
        <v>3</v>
      </c>
      <c r="U1536">
        <v>0</v>
      </c>
    </row>
    <row r="1537" spans="1:21" x14ac:dyDescent="0.25">
      <c r="A1537">
        <v>10082268</v>
      </c>
      <c r="B1537" t="s">
        <v>15</v>
      </c>
      <c r="C1537" s="1">
        <v>43413</v>
      </c>
      <c r="D1537" s="2">
        <f>YEAR(C1537)</f>
        <v>2018</v>
      </c>
      <c r="E1537">
        <v>848000</v>
      </c>
      <c r="F1537" t="s">
        <v>85</v>
      </c>
      <c r="G1537">
        <v>2001</v>
      </c>
      <c r="H1537">
        <v>2941</v>
      </c>
      <c r="I1537" t="s">
        <v>112</v>
      </c>
      <c r="J1537">
        <v>62</v>
      </c>
      <c r="K1537">
        <v>60062</v>
      </c>
      <c r="L1537">
        <v>5549</v>
      </c>
      <c r="M1537">
        <v>9</v>
      </c>
      <c r="N1537">
        <v>4</v>
      </c>
      <c r="O1537">
        <v>1</v>
      </c>
      <c r="P1537" t="s">
        <v>79</v>
      </c>
      <c r="Q1537">
        <v>5</v>
      </c>
      <c r="R1537">
        <v>0</v>
      </c>
      <c r="S1537" t="s">
        <v>21</v>
      </c>
      <c r="T1537">
        <v>3</v>
      </c>
      <c r="U1537">
        <v>0</v>
      </c>
    </row>
    <row r="1538" spans="1:21" x14ac:dyDescent="0.25">
      <c r="A1538">
        <v>9982729</v>
      </c>
      <c r="B1538" t="s">
        <v>15</v>
      </c>
      <c r="C1538" s="1">
        <v>43314</v>
      </c>
      <c r="D1538" s="2">
        <f>YEAR(C1538)</f>
        <v>2018</v>
      </c>
      <c r="E1538">
        <v>751000</v>
      </c>
      <c r="F1538" t="s">
        <v>85</v>
      </c>
      <c r="G1538">
        <v>2001</v>
      </c>
      <c r="H1538">
        <v>3856</v>
      </c>
      <c r="I1538" t="s">
        <v>172</v>
      </c>
      <c r="J1538">
        <v>62</v>
      </c>
      <c r="K1538">
        <v>60062</v>
      </c>
      <c r="L1538">
        <v>4744</v>
      </c>
      <c r="M1538">
        <v>13</v>
      </c>
      <c r="N1538">
        <v>4</v>
      </c>
      <c r="O1538">
        <v>1</v>
      </c>
      <c r="P1538" t="s">
        <v>79</v>
      </c>
      <c r="Q1538">
        <v>5</v>
      </c>
      <c r="R1538">
        <v>0</v>
      </c>
      <c r="S1538" t="s">
        <v>21</v>
      </c>
      <c r="T1538">
        <v>3</v>
      </c>
      <c r="U1538">
        <v>0</v>
      </c>
    </row>
    <row r="1539" spans="1:21" x14ac:dyDescent="0.25">
      <c r="A1539">
        <v>9586877</v>
      </c>
      <c r="B1539" t="s">
        <v>15</v>
      </c>
      <c r="C1539" s="1">
        <v>42908</v>
      </c>
      <c r="D1539" s="2">
        <f>YEAR(C1539)</f>
        <v>2017</v>
      </c>
      <c r="E1539">
        <v>1065000</v>
      </c>
      <c r="F1539" t="s">
        <v>85</v>
      </c>
      <c r="G1539">
        <v>2001</v>
      </c>
      <c r="H1539">
        <v>2990</v>
      </c>
      <c r="I1539" t="s">
        <v>171</v>
      </c>
      <c r="J1539">
        <v>62</v>
      </c>
      <c r="K1539">
        <v>60062</v>
      </c>
      <c r="L1539">
        <v>4051</v>
      </c>
      <c r="M1539">
        <v>11</v>
      </c>
      <c r="N1539">
        <v>4</v>
      </c>
      <c r="O1539">
        <v>1</v>
      </c>
      <c r="P1539" t="s">
        <v>79</v>
      </c>
      <c r="Q1539">
        <v>4</v>
      </c>
      <c r="R1539">
        <v>1</v>
      </c>
      <c r="S1539" t="s">
        <v>21</v>
      </c>
      <c r="T1539">
        <v>3.5</v>
      </c>
      <c r="U1539">
        <v>0</v>
      </c>
    </row>
    <row r="1540" spans="1:21" x14ac:dyDescent="0.25">
      <c r="A1540">
        <v>9369912</v>
      </c>
      <c r="B1540" t="s">
        <v>15</v>
      </c>
      <c r="C1540" s="1">
        <v>42881</v>
      </c>
      <c r="D1540" s="2">
        <f>YEAR(C1540)</f>
        <v>2017</v>
      </c>
      <c r="E1540">
        <v>899000</v>
      </c>
      <c r="F1540" t="s">
        <v>85</v>
      </c>
      <c r="G1540">
        <v>2001</v>
      </c>
      <c r="H1540">
        <v>2880</v>
      </c>
      <c r="I1540" t="s">
        <v>535</v>
      </c>
      <c r="J1540">
        <v>62</v>
      </c>
      <c r="K1540">
        <v>60062</v>
      </c>
      <c r="L1540">
        <v>3966</v>
      </c>
      <c r="M1540">
        <v>12</v>
      </c>
      <c r="N1540">
        <v>3</v>
      </c>
      <c r="O1540">
        <v>1</v>
      </c>
      <c r="P1540" t="s">
        <v>79</v>
      </c>
      <c r="Q1540">
        <v>4</v>
      </c>
      <c r="R1540">
        <v>0</v>
      </c>
      <c r="S1540" t="s">
        <v>21</v>
      </c>
      <c r="T1540">
        <v>3</v>
      </c>
      <c r="U1540">
        <v>0</v>
      </c>
    </row>
    <row r="1541" spans="1:21" x14ac:dyDescent="0.25">
      <c r="A1541">
        <v>9655141</v>
      </c>
      <c r="B1541" t="s">
        <v>15</v>
      </c>
      <c r="C1541" s="1">
        <v>43047</v>
      </c>
      <c r="D1541" s="2">
        <f>YEAR(C1541)</f>
        <v>2017</v>
      </c>
      <c r="E1541">
        <v>915000</v>
      </c>
      <c r="F1541" t="s">
        <v>85</v>
      </c>
      <c r="G1541">
        <v>2001</v>
      </c>
      <c r="H1541">
        <v>2201</v>
      </c>
      <c r="I1541" t="s">
        <v>170</v>
      </c>
      <c r="J1541">
        <v>62</v>
      </c>
      <c r="K1541">
        <v>60062</v>
      </c>
      <c r="L1541">
        <v>3339</v>
      </c>
      <c r="M1541">
        <v>11</v>
      </c>
      <c r="N1541">
        <v>3</v>
      </c>
      <c r="O1541">
        <v>1</v>
      </c>
      <c r="P1541" t="s">
        <v>79</v>
      </c>
      <c r="Q1541">
        <v>3</v>
      </c>
      <c r="R1541">
        <v>2</v>
      </c>
      <c r="S1541" t="s">
        <v>21</v>
      </c>
      <c r="T1541">
        <v>2</v>
      </c>
      <c r="U1541">
        <v>0</v>
      </c>
    </row>
    <row r="1542" spans="1:21" x14ac:dyDescent="0.25">
      <c r="A1542">
        <v>9908866</v>
      </c>
      <c r="B1542" t="s">
        <v>15</v>
      </c>
      <c r="C1542" s="1">
        <v>43266</v>
      </c>
      <c r="D1542" s="2">
        <f>YEAR(C1542)</f>
        <v>2018</v>
      </c>
      <c r="E1542">
        <v>1525000</v>
      </c>
      <c r="F1542" t="s">
        <v>85</v>
      </c>
      <c r="G1542">
        <v>2002</v>
      </c>
      <c r="H1542">
        <v>3080</v>
      </c>
      <c r="I1542" t="s">
        <v>112</v>
      </c>
      <c r="J1542">
        <v>62</v>
      </c>
      <c r="K1542">
        <v>60062</v>
      </c>
      <c r="L1542">
        <v>6000</v>
      </c>
      <c r="M1542">
        <v>13</v>
      </c>
      <c r="N1542">
        <v>4</v>
      </c>
      <c r="O1542">
        <v>2</v>
      </c>
      <c r="P1542" t="s">
        <v>79</v>
      </c>
      <c r="Q1542">
        <v>4</v>
      </c>
      <c r="R1542">
        <v>0</v>
      </c>
      <c r="S1542" t="s">
        <v>21</v>
      </c>
      <c r="T1542">
        <v>4</v>
      </c>
      <c r="U1542">
        <v>0</v>
      </c>
    </row>
    <row r="1543" spans="1:21" x14ac:dyDescent="0.25">
      <c r="A1543">
        <v>9997741</v>
      </c>
      <c r="B1543" t="s">
        <v>15</v>
      </c>
      <c r="C1543" s="1">
        <v>43313</v>
      </c>
      <c r="D1543" s="2">
        <f>YEAR(C1543)</f>
        <v>2018</v>
      </c>
      <c r="E1543">
        <v>560000</v>
      </c>
      <c r="F1543" t="s">
        <v>85</v>
      </c>
      <c r="G1543">
        <v>2003</v>
      </c>
      <c r="H1543">
        <v>4615</v>
      </c>
      <c r="I1543" t="s">
        <v>203</v>
      </c>
      <c r="J1543">
        <v>76</v>
      </c>
      <c r="K1543">
        <v>60076</v>
      </c>
      <c r="L1543">
        <v>2348</v>
      </c>
      <c r="M1543">
        <v>9</v>
      </c>
      <c r="N1543">
        <v>3</v>
      </c>
      <c r="O1543">
        <v>1</v>
      </c>
      <c r="P1543" t="s">
        <v>79</v>
      </c>
      <c r="Q1543">
        <v>4</v>
      </c>
      <c r="R1543">
        <v>0</v>
      </c>
      <c r="S1543" t="s">
        <v>21</v>
      </c>
      <c r="T1543">
        <v>2</v>
      </c>
      <c r="U1543">
        <v>0</v>
      </c>
    </row>
    <row r="1544" spans="1:21" x14ac:dyDescent="0.25">
      <c r="A1544">
        <v>10140876</v>
      </c>
      <c r="B1544" t="s">
        <v>15</v>
      </c>
      <c r="C1544" s="1">
        <v>43511</v>
      </c>
      <c r="D1544" s="2">
        <f>YEAR(C1544)</f>
        <v>2019</v>
      </c>
      <c r="E1544">
        <v>496000</v>
      </c>
      <c r="F1544" t="s">
        <v>85</v>
      </c>
      <c r="G1544">
        <v>2004</v>
      </c>
      <c r="H1544">
        <v>4630</v>
      </c>
      <c r="I1544" t="s">
        <v>203</v>
      </c>
      <c r="J1544">
        <v>76</v>
      </c>
      <c r="K1544">
        <v>60076</v>
      </c>
      <c r="L1544">
        <v>3203</v>
      </c>
      <c r="M1544">
        <v>7</v>
      </c>
      <c r="N1544">
        <v>3</v>
      </c>
      <c r="O1544">
        <v>1</v>
      </c>
      <c r="P1544" t="s">
        <v>79</v>
      </c>
      <c r="Q1544">
        <v>4</v>
      </c>
      <c r="R1544">
        <v>0</v>
      </c>
      <c r="S1544" t="s">
        <v>21</v>
      </c>
      <c r="T1544">
        <v>2</v>
      </c>
      <c r="U1544">
        <v>0</v>
      </c>
    </row>
    <row r="1545" spans="1:21" x14ac:dyDescent="0.25">
      <c r="A1545">
        <v>9615957</v>
      </c>
      <c r="B1545" t="s">
        <v>15</v>
      </c>
      <c r="C1545" s="1">
        <v>42955</v>
      </c>
      <c r="D1545" s="2">
        <f>YEAR(C1545)</f>
        <v>2017</v>
      </c>
      <c r="E1545">
        <v>1300000</v>
      </c>
      <c r="F1545" t="s">
        <v>85</v>
      </c>
      <c r="G1545">
        <v>2004</v>
      </c>
      <c r="H1545">
        <v>3659</v>
      </c>
      <c r="I1545" t="s">
        <v>170</v>
      </c>
      <c r="J1545">
        <v>62</v>
      </c>
      <c r="K1545">
        <v>60062</v>
      </c>
      <c r="L1545">
        <v>7185</v>
      </c>
      <c r="M1545">
        <v>14</v>
      </c>
      <c r="N1545">
        <v>5</v>
      </c>
      <c r="O1545">
        <v>1</v>
      </c>
      <c r="P1545" t="s">
        <v>79</v>
      </c>
      <c r="Q1545">
        <v>5</v>
      </c>
      <c r="R1545">
        <v>1</v>
      </c>
      <c r="S1545" t="s">
        <v>21</v>
      </c>
      <c r="T1545">
        <v>4</v>
      </c>
      <c r="U1545">
        <v>0</v>
      </c>
    </row>
    <row r="1546" spans="1:21" x14ac:dyDescent="0.25">
      <c r="A1546">
        <v>9289861</v>
      </c>
      <c r="B1546" t="s">
        <v>15</v>
      </c>
      <c r="C1546" s="1">
        <v>42839</v>
      </c>
      <c r="D1546" s="2">
        <f>YEAR(C1546)</f>
        <v>2017</v>
      </c>
      <c r="E1546">
        <v>1250000</v>
      </c>
      <c r="F1546" t="s">
        <v>85</v>
      </c>
      <c r="G1546">
        <v>2004</v>
      </c>
      <c r="H1546">
        <v>627</v>
      </c>
      <c r="I1546" t="s">
        <v>213</v>
      </c>
      <c r="J1546">
        <v>62</v>
      </c>
      <c r="K1546">
        <v>60062</v>
      </c>
      <c r="L1546">
        <v>6780</v>
      </c>
      <c r="M1546">
        <v>10</v>
      </c>
      <c r="N1546">
        <v>6</v>
      </c>
      <c r="O1546">
        <v>1</v>
      </c>
      <c r="P1546" t="s">
        <v>79</v>
      </c>
      <c r="Q1546">
        <v>5</v>
      </c>
      <c r="R1546">
        <v>0</v>
      </c>
      <c r="S1546" t="s">
        <v>21</v>
      </c>
      <c r="T1546">
        <v>4</v>
      </c>
      <c r="U1546">
        <v>0</v>
      </c>
    </row>
    <row r="1547" spans="1:21" x14ac:dyDescent="0.25">
      <c r="A1547">
        <v>9618009</v>
      </c>
      <c r="B1547" t="s">
        <v>15</v>
      </c>
      <c r="C1547" s="1">
        <v>42962</v>
      </c>
      <c r="D1547" s="2">
        <f>YEAR(C1547)</f>
        <v>2017</v>
      </c>
      <c r="E1547">
        <v>1160000</v>
      </c>
      <c r="F1547" t="s">
        <v>85</v>
      </c>
      <c r="G1547">
        <v>2004</v>
      </c>
      <c r="H1547">
        <v>956</v>
      </c>
      <c r="I1547" t="s">
        <v>536</v>
      </c>
      <c r="J1547">
        <v>62</v>
      </c>
      <c r="K1547">
        <v>60062</v>
      </c>
      <c r="L1547">
        <v>6229</v>
      </c>
      <c r="M1547">
        <v>13</v>
      </c>
      <c r="N1547">
        <v>7</v>
      </c>
      <c r="O1547">
        <v>2</v>
      </c>
      <c r="P1547" t="s">
        <v>79</v>
      </c>
      <c r="Q1547">
        <v>4</v>
      </c>
      <c r="R1547">
        <v>1</v>
      </c>
      <c r="S1547" t="s">
        <v>21</v>
      </c>
      <c r="T1547">
        <v>4</v>
      </c>
      <c r="U1547">
        <v>0</v>
      </c>
    </row>
    <row r="1548" spans="1:21" x14ac:dyDescent="0.25">
      <c r="A1548">
        <v>9496948</v>
      </c>
      <c r="B1548" t="s">
        <v>15</v>
      </c>
      <c r="C1548" s="1">
        <v>42852</v>
      </c>
      <c r="D1548" s="2">
        <f>YEAR(C1548)</f>
        <v>2017</v>
      </c>
      <c r="E1548">
        <v>725000</v>
      </c>
      <c r="F1548" t="s">
        <v>85</v>
      </c>
      <c r="G1548">
        <v>2004</v>
      </c>
      <c r="H1548">
        <v>1741</v>
      </c>
      <c r="I1548" t="s">
        <v>158</v>
      </c>
      <c r="J1548">
        <v>62</v>
      </c>
      <c r="K1548">
        <v>60062</v>
      </c>
      <c r="L1548">
        <v>4881</v>
      </c>
      <c r="M1548">
        <v>16</v>
      </c>
      <c r="N1548">
        <v>5</v>
      </c>
      <c r="O1548">
        <v>1</v>
      </c>
      <c r="P1548" t="s">
        <v>79</v>
      </c>
      <c r="Q1548">
        <v>5</v>
      </c>
      <c r="R1548">
        <v>0</v>
      </c>
      <c r="S1548" t="s">
        <v>21</v>
      </c>
      <c r="T1548">
        <v>3</v>
      </c>
      <c r="U1548">
        <v>0</v>
      </c>
    </row>
    <row r="1549" spans="1:21" x14ac:dyDescent="0.25">
      <c r="A1549">
        <v>9980714</v>
      </c>
      <c r="B1549" t="s">
        <v>15</v>
      </c>
      <c r="C1549" s="1">
        <v>43333</v>
      </c>
      <c r="D1549" s="2">
        <f>YEAR(C1549)</f>
        <v>2018</v>
      </c>
      <c r="E1549">
        <v>950000</v>
      </c>
      <c r="F1549" t="s">
        <v>85</v>
      </c>
      <c r="G1549">
        <v>2004</v>
      </c>
      <c r="H1549">
        <v>4079</v>
      </c>
      <c r="I1549" t="s">
        <v>234</v>
      </c>
      <c r="J1549">
        <v>62</v>
      </c>
      <c r="K1549">
        <v>60062</v>
      </c>
      <c r="L1549">
        <v>4701</v>
      </c>
      <c r="M1549">
        <v>16</v>
      </c>
      <c r="N1549">
        <v>4</v>
      </c>
      <c r="O1549">
        <v>2</v>
      </c>
      <c r="P1549" t="s">
        <v>79</v>
      </c>
      <c r="Q1549">
        <v>4</v>
      </c>
      <c r="R1549">
        <v>1</v>
      </c>
      <c r="S1549" t="s">
        <v>21</v>
      </c>
      <c r="T1549">
        <v>3</v>
      </c>
      <c r="U1549">
        <v>0</v>
      </c>
    </row>
    <row r="1550" spans="1:21" x14ac:dyDescent="0.25">
      <c r="A1550">
        <v>9919867</v>
      </c>
      <c r="B1550" t="s">
        <v>15</v>
      </c>
      <c r="C1550" s="1">
        <v>43320</v>
      </c>
      <c r="D1550" s="2">
        <f>YEAR(C1550)</f>
        <v>2018</v>
      </c>
      <c r="E1550">
        <v>1133000</v>
      </c>
      <c r="F1550" t="s">
        <v>85</v>
      </c>
      <c r="G1550">
        <v>2004</v>
      </c>
      <c r="H1550">
        <v>2311</v>
      </c>
      <c r="I1550" t="s">
        <v>131</v>
      </c>
      <c r="J1550">
        <v>62</v>
      </c>
      <c r="K1550">
        <v>60062</v>
      </c>
      <c r="L1550">
        <v>4331</v>
      </c>
      <c r="M1550">
        <v>12</v>
      </c>
      <c r="N1550">
        <v>4</v>
      </c>
      <c r="O1550">
        <v>1</v>
      </c>
      <c r="P1550" t="s">
        <v>79</v>
      </c>
      <c r="Q1550">
        <v>4</v>
      </c>
      <c r="R1550">
        <v>1</v>
      </c>
      <c r="S1550" t="s">
        <v>21</v>
      </c>
      <c r="T1550">
        <v>2.5</v>
      </c>
      <c r="U1550">
        <v>0</v>
      </c>
    </row>
    <row r="1551" spans="1:21" x14ac:dyDescent="0.25">
      <c r="A1551">
        <v>9491897</v>
      </c>
      <c r="B1551" t="s">
        <v>15</v>
      </c>
      <c r="C1551" s="1">
        <v>42859</v>
      </c>
      <c r="D1551" s="2">
        <f>YEAR(C1551)</f>
        <v>2017</v>
      </c>
      <c r="E1551">
        <v>1108500</v>
      </c>
      <c r="F1551" t="s">
        <v>85</v>
      </c>
      <c r="G1551">
        <v>2004</v>
      </c>
      <c r="H1551">
        <v>4010</v>
      </c>
      <c r="I1551" t="s">
        <v>234</v>
      </c>
      <c r="J1551">
        <v>62</v>
      </c>
      <c r="K1551">
        <v>60062</v>
      </c>
      <c r="L1551">
        <v>4044</v>
      </c>
      <c r="M1551">
        <v>13</v>
      </c>
      <c r="N1551">
        <v>5</v>
      </c>
      <c r="O1551">
        <v>1</v>
      </c>
      <c r="P1551" t="s">
        <v>79</v>
      </c>
      <c r="Q1551">
        <v>5</v>
      </c>
      <c r="R1551">
        <v>0</v>
      </c>
      <c r="S1551" t="s">
        <v>21</v>
      </c>
      <c r="T1551">
        <v>3</v>
      </c>
      <c r="U1551">
        <v>0</v>
      </c>
    </row>
    <row r="1552" spans="1:21" x14ac:dyDescent="0.25">
      <c r="A1552">
        <v>9506513</v>
      </c>
      <c r="B1552" t="s">
        <v>15</v>
      </c>
      <c r="C1552" s="1">
        <v>42814</v>
      </c>
      <c r="D1552" s="2">
        <f>YEAR(C1552)</f>
        <v>2017</v>
      </c>
      <c r="E1552">
        <v>790000</v>
      </c>
      <c r="F1552" t="s">
        <v>85</v>
      </c>
      <c r="G1552">
        <v>2004</v>
      </c>
      <c r="H1552">
        <v>1660</v>
      </c>
      <c r="I1552" t="s">
        <v>155</v>
      </c>
      <c r="J1552">
        <v>62</v>
      </c>
      <c r="K1552">
        <v>60062</v>
      </c>
      <c r="L1552">
        <v>3400</v>
      </c>
      <c r="M1552">
        <v>13</v>
      </c>
      <c r="N1552">
        <v>4</v>
      </c>
      <c r="O1552">
        <v>1</v>
      </c>
      <c r="P1552" t="s">
        <v>79</v>
      </c>
      <c r="Q1552">
        <v>5</v>
      </c>
      <c r="R1552">
        <v>0</v>
      </c>
      <c r="S1552" t="s">
        <v>21</v>
      </c>
      <c r="T1552">
        <v>3</v>
      </c>
      <c r="U1552">
        <v>0</v>
      </c>
    </row>
    <row r="1553" spans="1:21" x14ac:dyDescent="0.25">
      <c r="A1553">
        <v>9774753</v>
      </c>
      <c r="B1553" t="s">
        <v>15</v>
      </c>
      <c r="C1553" s="1">
        <v>43196</v>
      </c>
      <c r="D1553" s="2">
        <f>YEAR(C1553)</f>
        <v>2018</v>
      </c>
      <c r="E1553">
        <v>655000</v>
      </c>
      <c r="F1553" t="s">
        <v>85</v>
      </c>
      <c r="G1553">
        <v>2005</v>
      </c>
      <c r="H1553">
        <v>9644</v>
      </c>
      <c r="I1553" t="s">
        <v>152</v>
      </c>
      <c r="J1553">
        <v>76</v>
      </c>
      <c r="K1553">
        <v>60076</v>
      </c>
      <c r="L1553">
        <v>3700</v>
      </c>
      <c r="M1553">
        <v>8</v>
      </c>
      <c r="N1553">
        <v>4</v>
      </c>
      <c r="O1553">
        <v>1</v>
      </c>
      <c r="P1553" t="s">
        <v>79</v>
      </c>
      <c r="Q1553">
        <v>4</v>
      </c>
      <c r="R1553">
        <v>0</v>
      </c>
      <c r="S1553" t="s">
        <v>22</v>
      </c>
      <c r="T1553">
        <v>2.5</v>
      </c>
      <c r="U1553">
        <v>0</v>
      </c>
    </row>
    <row r="1554" spans="1:21" x14ac:dyDescent="0.25">
      <c r="A1554">
        <v>9569937</v>
      </c>
      <c r="B1554" t="s">
        <v>15</v>
      </c>
      <c r="C1554" s="1">
        <v>42979</v>
      </c>
      <c r="D1554" s="2">
        <f>YEAR(C1554)</f>
        <v>2017</v>
      </c>
      <c r="E1554">
        <v>649000</v>
      </c>
      <c r="F1554" t="s">
        <v>85</v>
      </c>
      <c r="G1554">
        <v>2005</v>
      </c>
      <c r="H1554">
        <v>5108</v>
      </c>
      <c r="I1554" t="s">
        <v>147</v>
      </c>
      <c r="J1554">
        <v>76</v>
      </c>
      <c r="K1554">
        <v>60077</v>
      </c>
      <c r="L1554">
        <v>3312</v>
      </c>
      <c r="M1554">
        <v>11</v>
      </c>
      <c r="N1554">
        <v>4</v>
      </c>
      <c r="O1554">
        <v>1</v>
      </c>
      <c r="P1554" t="s">
        <v>79</v>
      </c>
      <c r="Q1554">
        <v>4</v>
      </c>
      <c r="R1554">
        <v>0</v>
      </c>
      <c r="S1554" t="s">
        <v>21</v>
      </c>
      <c r="T1554">
        <v>2</v>
      </c>
      <c r="U1554">
        <v>0</v>
      </c>
    </row>
    <row r="1555" spans="1:21" x14ac:dyDescent="0.25">
      <c r="A1555">
        <v>9859118</v>
      </c>
      <c r="B1555" t="s">
        <v>15</v>
      </c>
      <c r="C1555" s="1">
        <v>43221</v>
      </c>
      <c r="D1555" s="2">
        <f>YEAR(C1555)</f>
        <v>2018</v>
      </c>
      <c r="E1555">
        <v>565000</v>
      </c>
      <c r="F1555" t="s">
        <v>85</v>
      </c>
      <c r="G1555">
        <v>2005</v>
      </c>
      <c r="H1555">
        <v>8319</v>
      </c>
      <c r="I1555" t="s">
        <v>107</v>
      </c>
      <c r="J1555">
        <v>76</v>
      </c>
      <c r="K1555">
        <v>60076</v>
      </c>
      <c r="L1555">
        <v>3000</v>
      </c>
      <c r="M1555">
        <v>11</v>
      </c>
      <c r="N1555">
        <v>4</v>
      </c>
      <c r="O1555">
        <v>0</v>
      </c>
      <c r="P1555" t="s">
        <v>79</v>
      </c>
      <c r="Q1555">
        <v>3</v>
      </c>
      <c r="R1555">
        <v>1</v>
      </c>
      <c r="S1555" t="s">
        <v>21</v>
      </c>
      <c r="T1555">
        <v>3</v>
      </c>
      <c r="U1555">
        <v>0</v>
      </c>
    </row>
    <row r="1556" spans="1:21" x14ac:dyDescent="0.25">
      <c r="A1556">
        <v>9885241</v>
      </c>
      <c r="B1556" t="s">
        <v>15</v>
      </c>
      <c r="C1556" s="1">
        <v>43350</v>
      </c>
      <c r="D1556" s="2">
        <f>YEAR(C1556)</f>
        <v>2018</v>
      </c>
      <c r="E1556">
        <v>1080000</v>
      </c>
      <c r="F1556" t="s">
        <v>85</v>
      </c>
      <c r="G1556">
        <v>2005</v>
      </c>
      <c r="H1556">
        <v>561</v>
      </c>
      <c r="I1556" t="s">
        <v>537</v>
      </c>
      <c r="J1556">
        <v>62</v>
      </c>
      <c r="K1556">
        <v>60062</v>
      </c>
      <c r="L1556">
        <v>9845</v>
      </c>
      <c r="M1556">
        <v>14</v>
      </c>
      <c r="N1556">
        <v>6</v>
      </c>
      <c r="O1556">
        <v>1</v>
      </c>
      <c r="P1556" t="s">
        <v>79</v>
      </c>
      <c r="Q1556">
        <v>6</v>
      </c>
      <c r="R1556">
        <v>2</v>
      </c>
      <c r="S1556" t="s">
        <v>21</v>
      </c>
      <c r="T1556">
        <v>3</v>
      </c>
      <c r="U1556">
        <v>0</v>
      </c>
    </row>
    <row r="1557" spans="1:21" x14ac:dyDescent="0.25">
      <c r="A1557">
        <v>9698069</v>
      </c>
      <c r="B1557" t="s">
        <v>15</v>
      </c>
      <c r="C1557" s="1">
        <v>43081</v>
      </c>
      <c r="D1557" s="2">
        <f>YEAR(C1557)</f>
        <v>2017</v>
      </c>
      <c r="E1557">
        <v>990000</v>
      </c>
      <c r="F1557" t="s">
        <v>85</v>
      </c>
      <c r="G1557">
        <v>2005</v>
      </c>
      <c r="H1557">
        <v>233</v>
      </c>
      <c r="I1557" t="s">
        <v>538</v>
      </c>
      <c r="J1557">
        <v>62</v>
      </c>
      <c r="K1557">
        <v>60062</v>
      </c>
      <c r="L1557">
        <v>6759</v>
      </c>
      <c r="M1557">
        <v>13</v>
      </c>
      <c r="N1557">
        <v>5</v>
      </c>
      <c r="O1557">
        <v>3</v>
      </c>
      <c r="P1557" t="s">
        <v>79</v>
      </c>
      <c r="Q1557">
        <v>4</v>
      </c>
      <c r="R1557">
        <v>1</v>
      </c>
      <c r="S1557" t="s">
        <v>21</v>
      </c>
      <c r="T1557">
        <v>3</v>
      </c>
      <c r="U1557">
        <v>0</v>
      </c>
    </row>
    <row r="1558" spans="1:21" x14ac:dyDescent="0.25">
      <c r="A1558">
        <v>9865897</v>
      </c>
      <c r="B1558" t="s">
        <v>15</v>
      </c>
      <c r="C1558" s="1">
        <v>43276</v>
      </c>
      <c r="D1558" s="2">
        <f>YEAR(C1558)</f>
        <v>2018</v>
      </c>
      <c r="E1558">
        <v>1270000</v>
      </c>
      <c r="F1558" t="s">
        <v>85</v>
      </c>
      <c r="G1558">
        <v>2005</v>
      </c>
      <c r="H1558">
        <v>1215</v>
      </c>
      <c r="I1558" t="s">
        <v>442</v>
      </c>
      <c r="J1558">
        <v>62</v>
      </c>
      <c r="K1558">
        <v>60062</v>
      </c>
      <c r="L1558">
        <v>5562</v>
      </c>
      <c r="M1558">
        <v>14</v>
      </c>
      <c r="N1558">
        <v>6</v>
      </c>
      <c r="O1558">
        <v>3</v>
      </c>
      <c r="P1558" t="s">
        <v>79</v>
      </c>
      <c r="Q1558">
        <v>5</v>
      </c>
      <c r="R1558">
        <v>1</v>
      </c>
      <c r="S1558" t="s">
        <v>21</v>
      </c>
      <c r="T1558">
        <v>3</v>
      </c>
      <c r="U1558">
        <v>0</v>
      </c>
    </row>
    <row r="1559" spans="1:21" x14ac:dyDescent="0.25">
      <c r="A1559">
        <v>9709193</v>
      </c>
      <c r="B1559" t="s">
        <v>15</v>
      </c>
      <c r="C1559" s="1">
        <v>43042</v>
      </c>
      <c r="D1559" s="2">
        <f>YEAR(C1559)</f>
        <v>2017</v>
      </c>
      <c r="E1559">
        <v>724900</v>
      </c>
      <c r="F1559" t="s">
        <v>85</v>
      </c>
      <c r="G1559">
        <v>2005</v>
      </c>
      <c r="H1559">
        <v>2057</v>
      </c>
      <c r="I1559" t="s">
        <v>539</v>
      </c>
      <c r="J1559">
        <v>62</v>
      </c>
      <c r="K1559">
        <v>60062</v>
      </c>
      <c r="L1559">
        <v>3456</v>
      </c>
      <c r="M1559">
        <v>10</v>
      </c>
      <c r="N1559">
        <v>3</v>
      </c>
      <c r="O1559">
        <v>1</v>
      </c>
      <c r="P1559" t="s">
        <v>79</v>
      </c>
      <c r="Q1559">
        <v>4</v>
      </c>
      <c r="R1559">
        <v>1</v>
      </c>
      <c r="S1559" t="s">
        <v>21</v>
      </c>
      <c r="T1559">
        <v>2</v>
      </c>
      <c r="U1559">
        <v>0</v>
      </c>
    </row>
    <row r="1560" spans="1:21" x14ac:dyDescent="0.25">
      <c r="A1560">
        <v>9521559</v>
      </c>
      <c r="B1560" t="s">
        <v>15</v>
      </c>
      <c r="C1560" s="1">
        <v>42874</v>
      </c>
      <c r="D1560" s="2">
        <f>YEAR(C1560)</f>
        <v>2017</v>
      </c>
      <c r="E1560">
        <v>1050000</v>
      </c>
      <c r="F1560" t="s">
        <v>85</v>
      </c>
      <c r="G1560">
        <v>2005</v>
      </c>
      <c r="H1560">
        <v>2299</v>
      </c>
      <c r="I1560" t="s">
        <v>131</v>
      </c>
      <c r="J1560">
        <v>62</v>
      </c>
      <c r="K1560">
        <v>60062</v>
      </c>
      <c r="L1560">
        <v>3434</v>
      </c>
      <c r="M1560">
        <v>14</v>
      </c>
      <c r="N1560">
        <v>4</v>
      </c>
      <c r="O1560">
        <v>1</v>
      </c>
      <c r="P1560" t="s">
        <v>79</v>
      </c>
      <c r="Q1560">
        <v>4</v>
      </c>
      <c r="R1560">
        <v>1</v>
      </c>
      <c r="S1560" t="s">
        <v>21</v>
      </c>
      <c r="T1560">
        <v>3</v>
      </c>
      <c r="U1560">
        <v>0</v>
      </c>
    </row>
    <row r="1561" spans="1:21" x14ac:dyDescent="0.25">
      <c r="A1561">
        <v>9664152</v>
      </c>
      <c r="B1561" t="s">
        <v>15</v>
      </c>
      <c r="C1561" s="1">
        <v>43024</v>
      </c>
      <c r="D1561" s="2">
        <f>YEAR(C1561)</f>
        <v>2017</v>
      </c>
      <c r="E1561">
        <v>765000</v>
      </c>
      <c r="F1561" t="s">
        <v>85</v>
      </c>
      <c r="G1561">
        <v>2005</v>
      </c>
      <c r="H1561">
        <v>2410</v>
      </c>
      <c r="I1561" t="s">
        <v>116</v>
      </c>
      <c r="J1561">
        <v>62</v>
      </c>
      <c r="K1561">
        <v>60062</v>
      </c>
      <c r="L1561">
        <v>2646</v>
      </c>
      <c r="M1561">
        <v>11</v>
      </c>
      <c r="N1561">
        <v>3</v>
      </c>
      <c r="O1561">
        <v>1</v>
      </c>
      <c r="P1561" t="s">
        <v>79</v>
      </c>
      <c r="Q1561">
        <v>4</v>
      </c>
      <c r="R1561">
        <v>0</v>
      </c>
      <c r="S1561" t="s">
        <v>21</v>
      </c>
      <c r="T1561">
        <v>2</v>
      </c>
      <c r="U1561">
        <v>0</v>
      </c>
    </row>
    <row r="1562" spans="1:21" x14ac:dyDescent="0.25">
      <c r="A1562">
        <v>9409296</v>
      </c>
      <c r="B1562" t="s">
        <v>15</v>
      </c>
      <c r="C1562" s="1">
        <v>42821</v>
      </c>
      <c r="D1562" s="2">
        <f>YEAR(C1562)</f>
        <v>2017</v>
      </c>
      <c r="E1562">
        <v>712000</v>
      </c>
      <c r="F1562" t="s">
        <v>85</v>
      </c>
      <c r="G1562">
        <v>2005</v>
      </c>
      <c r="H1562">
        <v>1362</v>
      </c>
      <c r="I1562" t="s">
        <v>193</v>
      </c>
      <c r="J1562">
        <v>62</v>
      </c>
      <c r="K1562">
        <v>60062</v>
      </c>
      <c r="L1562">
        <v>2505</v>
      </c>
      <c r="M1562">
        <v>10</v>
      </c>
      <c r="N1562">
        <v>4</v>
      </c>
      <c r="O1562">
        <v>1</v>
      </c>
      <c r="P1562" t="s">
        <v>79</v>
      </c>
      <c r="Q1562">
        <v>4</v>
      </c>
      <c r="R1562">
        <v>1</v>
      </c>
      <c r="S1562" t="s">
        <v>21</v>
      </c>
      <c r="T1562">
        <v>2</v>
      </c>
      <c r="U1562">
        <v>0</v>
      </c>
    </row>
    <row r="1563" spans="1:21" x14ac:dyDescent="0.25">
      <c r="A1563">
        <v>9971489</v>
      </c>
      <c r="B1563" t="s">
        <v>15</v>
      </c>
      <c r="C1563" s="1">
        <v>43418</v>
      </c>
      <c r="D1563" s="2">
        <f>YEAR(C1563)</f>
        <v>2018</v>
      </c>
      <c r="E1563">
        <v>940000</v>
      </c>
      <c r="F1563" t="s">
        <v>85</v>
      </c>
      <c r="G1563">
        <v>2006</v>
      </c>
      <c r="H1563">
        <v>9444</v>
      </c>
      <c r="I1563" t="s">
        <v>152</v>
      </c>
      <c r="J1563">
        <v>76</v>
      </c>
      <c r="K1563">
        <v>60076</v>
      </c>
      <c r="L1563">
        <v>4300</v>
      </c>
      <c r="M1563">
        <v>12</v>
      </c>
      <c r="N1563">
        <v>6</v>
      </c>
      <c r="O1563">
        <v>0</v>
      </c>
      <c r="P1563" t="s">
        <v>79</v>
      </c>
      <c r="Q1563">
        <v>5</v>
      </c>
      <c r="R1563">
        <v>0</v>
      </c>
      <c r="S1563" t="s">
        <v>21</v>
      </c>
      <c r="T1563">
        <v>2</v>
      </c>
      <c r="U1563">
        <v>0</v>
      </c>
    </row>
    <row r="1564" spans="1:21" x14ac:dyDescent="0.25">
      <c r="A1564">
        <v>9996557</v>
      </c>
      <c r="B1564" t="s">
        <v>15</v>
      </c>
      <c r="C1564" s="1">
        <v>43392</v>
      </c>
      <c r="D1564" s="2">
        <f>YEAR(C1564)</f>
        <v>2018</v>
      </c>
      <c r="E1564">
        <v>825000</v>
      </c>
      <c r="F1564" t="s">
        <v>85</v>
      </c>
      <c r="G1564">
        <v>2006</v>
      </c>
      <c r="H1564">
        <v>5121</v>
      </c>
      <c r="I1564" t="s">
        <v>187</v>
      </c>
      <c r="J1564">
        <v>76</v>
      </c>
      <c r="K1564">
        <v>60077</v>
      </c>
      <c r="L1564">
        <v>4000</v>
      </c>
      <c r="M1564">
        <v>12</v>
      </c>
      <c r="N1564">
        <v>4</v>
      </c>
      <c r="O1564">
        <v>1</v>
      </c>
      <c r="P1564" t="s">
        <v>79</v>
      </c>
      <c r="Q1564">
        <v>4</v>
      </c>
      <c r="R1564">
        <v>1</v>
      </c>
      <c r="S1564" t="s">
        <v>21</v>
      </c>
      <c r="T1564">
        <v>2</v>
      </c>
      <c r="U1564">
        <v>0</v>
      </c>
    </row>
    <row r="1565" spans="1:21" x14ac:dyDescent="0.25">
      <c r="A1565">
        <v>9968929</v>
      </c>
      <c r="B1565" t="s">
        <v>15</v>
      </c>
      <c r="C1565" s="1">
        <v>43294</v>
      </c>
      <c r="D1565" s="2">
        <f>YEAR(C1565)</f>
        <v>2018</v>
      </c>
      <c r="E1565">
        <v>1925000</v>
      </c>
      <c r="F1565" t="s">
        <v>85</v>
      </c>
      <c r="G1565">
        <v>2006</v>
      </c>
      <c r="H1565">
        <v>500</v>
      </c>
      <c r="I1565" t="s">
        <v>436</v>
      </c>
      <c r="J1565">
        <v>62</v>
      </c>
      <c r="K1565">
        <v>60062</v>
      </c>
      <c r="L1565">
        <v>9748</v>
      </c>
      <c r="M1565">
        <v>16</v>
      </c>
      <c r="N1565">
        <v>8</v>
      </c>
      <c r="O1565">
        <v>2</v>
      </c>
      <c r="P1565" t="s">
        <v>79</v>
      </c>
      <c r="Q1565">
        <v>6</v>
      </c>
      <c r="R1565">
        <v>0</v>
      </c>
      <c r="S1565" t="s">
        <v>21</v>
      </c>
      <c r="T1565">
        <v>4</v>
      </c>
      <c r="U1565">
        <v>0</v>
      </c>
    </row>
    <row r="1566" spans="1:21" x14ac:dyDescent="0.25">
      <c r="A1566">
        <v>9623506</v>
      </c>
      <c r="B1566" t="s">
        <v>15</v>
      </c>
      <c r="C1566" s="1">
        <v>42951</v>
      </c>
      <c r="D1566" s="2">
        <f>YEAR(C1566)</f>
        <v>2017</v>
      </c>
      <c r="E1566">
        <v>1750000</v>
      </c>
      <c r="F1566" t="s">
        <v>85</v>
      </c>
      <c r="G1566">
        <v>2006</v>
      </c>
      <c r="H1566">
        <v>714</v>
      </c>
      <c r="I1566" t="s">
        <v>540</v>
      </c>
      <c r="J1566">
        <v>62</v>
      </c>
      <c r="K1566">
        <v>60062</v>
      </c>
      <c r="L1566">
        <v>7500</v>
      </c>
      <c r="M1566">
        <v>15</v>
      </c>
      <c r="N1566">
        <v>6</v>
      </c>
      <c r="O1566">
        <v>2</v>
      </c>
      <c r="P1566" t="s">
        <v>79</v>
      </c>
      <c r="Q1566">
        <v>5</v>
      </c>
      <c r="R1566">
        <v>1</v>
      </c>
      <c r="S1566" t="s">
        <v>21</v>
      </c>
      <c r="T1566">
        <v>3</v>
      </c>
      <c r="U1566">
        <v>0</v>
      </c>
    </row>
    <row r="1567" spans="1:21" x14ac:dyDescent="0.25">
      <c r="A1567">
        <v>9683467</v>
      </c>
      <c r="B1567" t="s">
        <v>15</v>
      </c>
      <c r="C1567" s="1">
        <v>43048</v>
      </c>
      <c r="D1567" s="2">
        <f>YEAR(C1567)</f>
        <v>2017</v>
      </c>
      <c r="E1567">
        <v>1925000</v>
      </c>
      <c r="F1567" t="s">
        <v>85</v>
      </c>
      <c r="G1567">
        <v>2006</v>
      </c>
      <c r="H1567">
        <v>1450</v>
      </c>
      <c r="I1567" t="s">
        <v>257</v>
      </c>
      <c r="J1567">
        <v>62</v>
      </c>
      <c r="K1567">
        <v>60062</v>
      </c>
      <c r="L1567">
        <v>6643</v>
      </c>
      <c r="M1567">
        <v>17</v>
      </c>
      <c r="N1567">
        <v>7</v>
      </c>
      <c r="O1567">
        <v>3</v>
      </c>
      <c r="P1567" t="s">
        <v>79</v>
      </c>
      <c r="Q1567">
        <v>6</v>
      </c>
      <c r="R1567">
        <v>0</v>
      </c>
      <c r="S1567" t="s">
        <v>21</v>
      </c>
      <c r="T1567">
        <v>7</v>
      </c>
      <c r="U1567">
        <v>0</v>
      </c>
    </row>
    <row r="1568" spans="1:21" x14ac:dyDescent="0.25">
      <c r="A1568">
        <v>9816886</v>
      </c>
      <c r="B1568" t="s">
        <v>15</v>
      </c>
      <c r="C1568" s="1">
        <v>43201</v>
      </c>
      <c r="D1568" s="2">
        <f>YEAR(C1568)</f>
        <v>2018</v>
      </c>
      <c r="E1568">
        <v>728700</v>
      </c>
      <c r="F1568" t="s">
        <v>85</v>
      </c>
      <c r="G1568">
        <v>2006</v>
      </c>
      <c r="H1568">
        <v>1091</v>
      </c>
      <c r="I1568" t="s">
        <v>262</v>
      </c>
      <c r="J1568">
        <v>62</v>
      </c>
      <c r="K1568">
        <v>60062</v>
      </c>
      <c r="L1568">
        <v>4500</v>
      </c>
      <c r="M1568">
        <v>14</v>
      </c>
      <c r="N1568">
        <v>5</v>
      </c>
      <c r="O1568">
        <v>1</v>
      </c>
      <c r="P1568" t="s">
        <v>79</v>
      </c>
      <c r="Q1568">
        <v>4</v>
      </c>
      <c r="R1568">
        <v>1</v>
      </c>
      <c r="S1568" t="s">
        <v>21</v>
      </c>
      <c r="T1568">
        <v>4</v>
      </c>
      <c r="U1568">
        <v>0</v>
      </c>
    </row>
    <row r="1569" spans="1:21" x14ac:dyDescent="0.25">
      <c r="A1569">
        <v>9884310</v>
      </c>
      <c r="B1569" t="s">
        <v>15</v>
      </c>
      <c r="C1569" s="1">
        <v>43269</v>
      </c>
      <c r="D1569" s="2">
        <f>YEAR(C1569)</f>
        <v>2018</v>
      </c>
      <c r="E1569">
        <v>1069900</v>
      </c>
      <c r="F1569" t="s">
        <v>85</v>
      </c>
      <c r="G1569">
        <v>2006</v>
      </c>
      <c r="H1569">
        <v>2020</v>
      </c>
      <c r="I1569" t="s">
        <v>206</v>
      </c>
      <c r="J1569">
        <v>62</v>
      </c>
      <c r="K1569">
        <v>60062</v>
      </c>
      <c r="L1569">
        <v>4435</v>
      </c>
      <c r="M1569">
        <v>14</v>
      </c>
      <c r="N1569">
        <v>5</v>
      </c>
      <c r="O1569">
        <v>1</v>
      </c>
      <c r="P1569" t="s">
        <v>79</v>
      </c>
      <c r="Q1569">
        <v>4</v>
      </c>
      <c r="R1569">
        <v>2</v>
      </c>
      <c r="S1569" t="s">
        <v>21</v>
      </c>
      <c r="T1569">
        <v>2</v>
      </c>
      <c r="U1569">
        <v>0</v>
      </c>
    </row>
    <row r="1570" spans="1:21" x14ac:dyDescent="0.25">
      <c r="A1570">
        <v>9884840</v>
      </c>
      <c r="B1570" t="s">
        <v>15</v>
      </c>
      <c r="C1570" s="1">
        <v>43301</v>
      </c>
      <c r="D1570" s="2">
        <f>YEAR(C1570)</f>
        <v>2018</v>
      </c>
      <c r="E1570">
        <v>880000</v>
      </c>
      <c r="F1570" t="s">
        <v>85</v>
      </c>
      <c r="G1570">
        <v>2006</v>
      </c>
      <c r="H1570">
        <v>1841</v>
      </c>
      <c r="I1570" t="s">
        <v>155</v>
      </c>
      <c r="J1570">
        <v>62</v>
      </c>
      <c r="K1570">
        <v>60062</v>
      </c>
      <c r="L1570">
        <v>4171</v>
      </c>
      <c r="M1570">
        <v>12</v>
      </c>
      <c r="N1570">
        <v>5</v>
      </c>
      <c r="O1570">
        <v>1</v>
      </c>
      <c r="P1570" t="s">
        <v>79</v>
      </c>
      <c r="Q1570">
        <v>5</v>
      </c>
      <c r="R1570">
        <v>0</v>
      </c>
      <c r="S1570" t="s">
        <v>21</v>
      </c>
      <c r="T1570">
        <v>3</v>
      </c>
      <c r="U1570">
        <v>0</v>
      </c>
    </row>
    <row r="1571" spans="1:21" x14ac:dyDescent="0.25">
      <c r="A1571">
        <v>9880313</v>
      </c>
      <c r="B1571" t="s">
        <v>15</v>
      </c>
      <c r="C1571" s="1">
        <v>43249</v>
      </c>
      <c r="D1571" s="2">
        <f>YEAR(C1571)</f>
        <v>2018</v>
      </c>
      <c r="E1571">
        <v>970000</v>
      </c>
      <c r="F1571" t="s">
        <v>85</v>
      </c>
      <c r="G1571">
        <v>2006</v>
      </c>
      <c r="H1571">
        <v>1133</v>
      </c>
      <c r="I1571" t="s">
        <v>121</v>
      </c>
      <c r="J1571">
        <v>62</v>
      </c>
      <c r="K1571">
        <v>60062</v>
      </c>
      <c r="L1571">
        <v>2923</v>
      </c>
      <c r="M1571">
        <v>9</v>
      </c>
      <c r="N1571">
        <v>4</v>
      </c>
      <c r="O1571">
        <v>2</v>
      </c>
      <c r="P1571" t="s">
        <v>79</v>
      </c>
      <c r="Q1571">
        <v>4</v>
      </c>
      <c r="R1571">
        <v>1</v>
      </c>
      <c r="S1571" t="s">
        <v>21</v>
      </c>
      <c r="T1571">
        <v>2</v>
      </c>
      <c r="U1571">
        <v>0</v>
      </c>
    </row>
    <row r="1572" spans="1:21" x14ac:dyDescent="0.25">
      <c r="A1572">
        <v>10052360</v>
      </c>
      <c r="B1572" t="s">
        <v>15</v>
      </c>
      <c r="C1572" s="1">
        <v>43437</v>
      </c>
      <c r="D1572" s="2">
        <f>YEAR(C1572)</f>
        <v>2018</v>
      </c>
      <c r="E1572">
        <v>460000</v>
      </c>
      <c r="F1572" t="s">
        <v>85</v>
      </c>
      <c r="G1572">
        <v>2007</v>
      </c>
      <c r="H1572">
        <v>9822</v>
      </c>
      <c r="I1572" t="s">
        <v>98</v>
      </c>
      <c r="J1572">
        <v>76</v>
      </c>
      <c r="K1572">
        <v>60076</v>
      </c>
      <c r="L1572">
        <v>6260</v>
      </c>
      <c r="M1572">
        <v>10</v>
      </c>
      <c r="N1572">
        <v>4</v>
      </c>
      <c r="O1572">
        <v>1</v>
      </c>
      <c r="P1572" t="s">
        <v>79</v>
      </c>
      <c r="Q1572">
        <v>4</v>
      </c>
      <c r="R1572">
        <v>0</v>
      </c>
      <c r="S1572" t="s">
        <v>21</v>
      </c>
      <c r="T1572">
        <v>2</v>
      </c>
      <c r="U1572">
        <v>0</v>
      </c>
    </row>
    <row r="1573" spans="1:21" x14ac:dyDescent="0.25">
      <c r="A1573">
        <v>9354671</v>
      </c>
      <c r="B1573" t="s">
        <v>15</v>
      </c>
      <c r="C1573" s="1">
        <v>42908</v>
      </c>
      <c r="D1573" s="2">
        <f>YEAR(C1573)</f>
        <v>2017</v>
      </c>
      <c r="E1573">
        <v>1100000</v>
      </c>
      <c r="F1573" t="s">
        <v>85</v>
      </c>
      <c r="G1573">
        <v>2007</v>
      </c>
      <c r="H1573">
        <v>4200</v>
      </c>
      <c r="I1573" t="s">
        <v>109</v>
      </c>
      <c r="J1573">
        <v>76</v>
      </c>
      <c r="K1573">
        <v>60076</v>
      </c>
      <c r="L1573">
        <v>5500</v>
      </c>
      <c r="M1573">
        <v>13</v>
      </c>
      <c r="N1573">
        <v>5</v>
      </c>
      <c r="O1573">
        <v>1</v>
      </c>
      <c r="P1573" t="s">
        <v>79</v>
      </c>
      <c r="Q1573">
        <v>6</v>
      </c>
      <c r="R1573">
        <v>0</v>
      </c>
      <c r="S1573" t="s">
        <v>21</v>
      </c>
      <c r="T1573">
        <v>2</v>
      </c>
      <c r="U1573">
        <v>0</v>
      </c>
    </row>
    <row r="1574" spans="1:21" x14ac:dyDescent="0.25">
      <c r="A1574">
        <v>9871831</v>
      </c>
      <c r="B1574" t="s">
        <v>15</v>
      </c>
      <c r="C1574" s="1">
        <v>43356</v>
      </c>
      <c r="D1574" s="2">
        <f>YEAR(C1574)</f>
        <v>2018</v>
      </c>
      <c r="E1574">
        <v>603000</v>
      </c>
      <c r="F1574" t="s">
        <v>85</v>
      </c>
      <c r="G1574">
        <v>2007</v>
      </c>
      <c r="H1574">
        <v>3755</v>
      </c>
      <c r="I1574" t="s">
        <v>541</v>
      </c>
      <c r="J1574">
        <v>76</v>
      </c>
      <c r="K1574">
        <v>60076</v>
      </c>
      <c r="L1574">
        <v>3300</v>
      </c>
      <c r="M1574">
        <v>10</v>
      </c>
      <c r="N1574">
        <v>3</v>
      </c>
      <c r="O1574">
        <v>1</v>
      </c>
      <c r="P1574" t="s">
        <v>79</v>
      </c>
      <c r="Q1574">
        <v>4</v>
      </c>
      <c r="R1574">
        <v>0</v>
      </c>
      <c r="S1574" t="s">
        <v>21</v>
      </c>
      <c r="T1574">
        <v>2</v>
      </c>
      <c r="U1574">
        <v>0</v>
      </c>
    </row>
    <row r="1575" spans="1:21" x14ac:dyDescent="0.25">
      <c r="A1575">
        <v>9671314</v>
      </c>
      <c r="B1575" t="s">
        <v>15</v>
      </c>
      <c r="C1575" s="1">
        <v>43067</v>
      </c>
      <c r="D1575" s="2">
        <f>YEAR(C1575)</f>
        <v>2017</v>
      </c>
      <c r="E1575">
        <v>570000</v>
      </c>
      <c r="F1575" t="s">
        <v>85</v>
      </c>
      <c r="G1575">
        <v>2007</v>
      </c>
      <c r="H1575">
        <v>3835</v>
      </c>
      <c r="I1575" t="s">
        <v>49</v>
      </c>
      <c r="J1575">
        <v>76</v>
      </c>
      <c r="K1575">
        <v>60076</v>
      </c>
      <c r="L1575">
        <v>2889</v>
      </c>
      <c r="M1575">
        <v>9</v>
      </c>
      <c r="N1575">
        <v>4</v>
      </c>
      <c r="O1575">
        <v>1</v>
      </c>
      <c r="P1575" t="s">
        <v>79</v>
      </c>
      <c r="Q1575">
        <v>4</v>
      </c>
      <c r="R1575">
        <v>1</v>
      </c>
      <c r="S1575" t="s">
        <v>21</v>
      </c>
      <c r="T1575">
        <v>2</v>
      </c>
      <c r="U1575">
        <v>0</v>
      </c>
    </row>
    <row r="1576" spans="1:21" x14ac:dyDescent="0.25">
      <c r="A1576">
        <v>9619469</v>
      </c>
      <c r="B1576" t="s">
        <v>15</v>
      </c>
      <c r="C1576" s="1">
        <v>42947</v>
      </c>
      <c r="D1576" s="2">
        <f>YEAR(C1576)</f>
        <v>2017</v>
      </c>
      <c r="E1576">
        <v>568500</v>
      </c>
      <c r="F1576" t="s">
        <v>85</v>
      </c>
      <c r="G1576">
        <v>2007</v>
      </c>
      <c r="H1576">
        <v>5105</v>
      </c>
      <c r="I1576" t="s">
        <v>126</v>
      </c>
      <c r="J1576">
        <v>76</v>
      </c>
      <c r="K1576">
        <v>60077</v>
      </c>
      <c r="L1576">
        <v>2600</v>
      </c>
      <c r="M1576">
        <v>10</v>
      </c>
      <c r="N1576">
        <v>5</v>
      </c>
      <c r="O1576">
        <v>0</v>
      </c>
      <c r="P1576" t="s">
        <v>79</v>
      </c>
      <c r="Q1576">
        <v>4</v>
      </c>
      <c r="R1576">
        <v>1</v>
      </c>
      <c r="S1576" t="s">
        <v>22</v>
      </c>
      <c r="T1576">
        <v>2</v>
      </c>
      <c r="U1576">
        <v>0</v>
      </c>
    </row>
    <row r="1577" spans="1:21" x14ac:dyDescent="0.25">
      <c r="A1577">
        <v>9718524</v>
      </c>
      <c r="B1577" t="s">
        <v>15</v>
      </c>
      <c r="C1577" s="1">
        <v>43008</v>
      </c>
      <c r="D1577" s="2">
        <f>YEAR(C1577)</f>
        <v>2017</v>
      </c>
      <c r="E1577">
        <v>550000</v>
      </c>
      <c r="F1577" t="s">
        <v>85</v>
      </c>
      <c r="G1577">
        <v>2007</v>
      </c>
      <c r="H1577">
        <v>7848</v>
      </c>
      <c r="I1577" t="s">
        <v>152</v>
      </c>
      <c r="J1577">
        <v>76</v>
      </c>
      <c r="K1577">
        <v>60076</v>
      </c>
      <c r="L1577">
        <v>2496</v>
      </c>
      <c r="M1577">
        <v>12</v>
      </c>
      <c r="N1577">
        <v>4</v>
      </c>
      <c r="O1577">
        <v>0</v>
      </c>
      <c r="P1577" t="s">
        <v>79</v>
      </c>
      <c r="Q1577">
        <v>4</v>
      </c>
      <c r="R1577">
        <v>2</v>
      </c>
      <c r="S1577" t="s">
        <v>22</v>
      </c>
      <c r="T1577">
        <v>2.5</v>
      </c>
      <c r="U1577">
        <v>0</v>
      </c>
    </row>
    <row r="1578" spans="1:21" x14ac:dyDescent="0.25">
      <c r="A1578">
        <v>9593043</v>
      </c>
      <c r="B1578" t="s">
        <v>15</v>
      </c>
      <c r="C1578" s="1">
        <v>42874</v>
      </c>
      <c r="D1578" s="2">
        <f>YEAR(C1578)</f>
        <v>2017</v>
      </c>
      <c r="E1578">
        <v>443000</v>
      </c>
      <c r="F1578" t="s">
        <v>85</v>
      </c>
      <c r="G1578">
        <v>2007</v>
      </c>
      <c r="H1578">
        <v>7739</v>
      </c>
      <c r="I1578" t="s">
        <v>23</v>
      </c>
      <c r="J1578">
        <v>76</v>
      </c>
      <c r="K1578">
        <v>60076</v>
      </c>
      <c r="L1578">
        <v>2408</v>
      </c>
      <c r="M1578">
        <v>12</v>
      </c>
      <c r="N1578">
        <v>4</v>
      </c>
      <c r="O1578">
        <v>1</v>
      </c>
      <c r="P1578" t="s">
        <v>79</v>
      </c>
      <c r="Q1578">
        <v>4</v>
      </c>
      <c r="R1578">
        <v>2</v>
      </c>
      <c r="S1578" t="s">
        <v>21</v>
      </c>
      <c r="T1578">
        <v>2</v>
      </c>
      <c r="U1578">
        <v>0</v>
      </c>
    </row>
    <row r="1579" spans="1:21" x14ac:dyDescent="0.25">
      <c r="A1579">
        <v>9493546</v>
      </c>
      <c r="B1579" t="s">
        <v>15</v>
      </c>
      <c r="C1579" s="1">
        <v>42958</v>
      </c>
      <c r="D1579" s="2">
        <f>YEAR(C1579)</f>
        <v>2017</v>
      </c>
      <c r="E1579">
        <v>390000</v>
      </c>
      <c r="F1579" t="s">
        <v>85</v>
      </c>
      <c r="G1579">
        <v>2007</v>
      </c>
      <c r="H1579">
        <v>4541</v>
      </c>
      <c r="I1579" t="s">
        <v>38</v>
      </c>
      <c r="J1579">
        <v>76</v>
      </c>
      <c r="K1579">
        <v>60076</v>
      </c>
      <c r="L1579">
        <v>2000</v>
      </c>
      <c r="M1579">
        <v>9</v>
      </c>
      <c r="N1579">
        <v>3</v>
      </c>
      <c r="O1579">
        <v>1</v>
      </c>
      <c r="P1579" t="s">
        <v>79</v>
      </c>
      <c r="Q1579">
        <v>5</v>
      </c>
      <c r="R1579">
        <v>0</v>
      </c>
      <c r="S1579" t="s">
        <v>22</v>
      </c>
      <c r="T1579">
        <v>2.5</v>
      </c>
      <c r="U1579">
        <v>0</v>
      </c>
    </row>
    <row r="1580" spans="1:21" x14ac:dyDescent="0.25">
      <c r="A1580">
        <v>9736421</v>
      </c>
      <c r="B1580" t="s">
        <v>15</v>
      </c>
      <c r="C1580" s="1">
        <v>43168</v>
      </c>
      <c r="D1580" s="2">
        <f>YEAR(C1580)</f>
        <v>2018</v>
      </c>
      <c r="E1580">
        <v>1250000</v>
      </c>
      <c r="F1580" t="s">
        <v>85</v>
      </c>
      <c r="G1580">
        <v>2007</v>
      </c>
      <c r="H1580">
        <v>3620</v>
      </c>
      <c r="I1580" t="s">
        <v>172</v>
      </c>
      <c r="J1580">
        <v>62</v>
      </c>
      <c r="K1580">
        <v>60062</v>
      </c>
      <c r="L1580">
        <v>7579</v>
      </c>
      <c r="M1580">
        <v>15</v>
      </c>
      <c r="N1580">
        <v>6</v>
      </c>
      <c r="O1580">
        <v>2</v>
      </c>
      <c r="P1580" t="s">
        <v>79</v>
      </c>
      <c r="Q1580">
        <v>4</v>
      </c>
      <c r="R1580">
        <v>0</v>
      </c>
      <c r="S1580" t="s">
        <v>21</v>
      </c>
      <c r="T1580">
        <v>4</v>
      </c>
      <c r="U1580">
        <v>0</v>
      </c>
    </row>
    <row r="1581" spans="1:21" x14ac:dyDescent="0.25">
      <c r="A1581">
        <v>9976983</v>
      </c>
      <c r="B1581" t="s">
        <v>15</v>
      </c>
      <c r="C1581" s="1">
        <v>43256</v>
      </c>
      <c r="D1581" s="2">
        <f>YEAR(C1581)</f>
        <v>2018</v>
      </c>
      <c r="E1581">
        <v>1487500</v>
      </c>
      <c r="F1581" t="s">
        <v>85</v>
      </c>
      <c r="G1581">
        <v>2007</v>
      </c>
      <c r="H1581">
        <v>833</v>
      </c>
      <c r="I1581" t="s">
        <v>205</v>
      </c>
      <c r="J1581">
        <v>62</v>
      </c>
      <c r="K1581">
        <v>60062</v>
      </c>
      <c r="L1581">
        <v>6559</v>
      </c>
      <c r="M1581">
        <v>18</v>
      </c>
      <c r="N1581">
        <v>5</v>
      </c>
      <c r="O1581">
        <v>3</v>
      </c>
      <c r="P1581" t="s">
        <v>79</v>
      </c>
      <c r="Q1581">
        <v>4</v>
      </c>
      <c r="R1581">
        <v>1</v>
      </c>
      <c r="S1581" t="s">
        <v>21</v>
      </c>
      <c r="T1581">
        <v>3</v>
      </c>
      <c r="U1581">
        <v>0</v>
      </c>
    </row>
    <row r="1582" spans="1:21" x14ac:dyDescent="0.25">
      <c r="A1582">
        <v>9781290</v>
      </c>
      <c r="B1582" t="s">
        <v>15</v>
      </c>
      <c r="C1582" s="1">
        <v>43081</v>
      </c>
      <c r="D1582" s="2">
        <f>YEAR(C1582)</f>
        <v>2017</v>
      </c>
      <c r="E1582">
        <v>965000</v>
      </c>
      <c r="F1582" t="s">
        <v>85</v>
      </c>
      <c r="G1582">
        <v>2007</v>
      </c>
      <c r="H1582">
        <v>1883</v>
      </c>
      <c r="I1582" t="s">
        <v>162</v>
      </c>
      <c r="J1582">
        <v>62</v>
      </c>
      <c r="K1582">
        <v>60062</v>
      </c>
      <c r="L1582">
        <v>4250</v>
      </c>
      <c r="M1582">
        <v>13</v>
      </c>
      <c r="N1582">
        <v>3</v>
      </c>
      <c r="O1582">
        <v>2</v>
      </c>
      <c r="P1582" t="s">
        <v>79</v>
      </c>
      <c r="Q1582">
        <v>4</v>
      </c>
      <c r="R1582">
        <v>0</v>
      </c>
      <c r="S1582" t="s">
        <v>21</v>
      </c>
      <c r="T1582">
        <v>3</v>
      </c>
      <c r="U1582">
        <v>0</v>
      </c>
    </row>
    <row r="1583" spans="1:21" x14ac:dyDescent="0.25">
      <c r="A1583">
        <v>9477353</v>
      </c>
      <c r="B1583" t="s">
        <v>15</v>
      </c>
      <c r="C1583" s="1">
        <v>42850</v>
      </c>
      <c r="D1583" s="2">
        <f>YEAR(C1583)</f>
        <v>2017</v>
      </c>
      <c r="E1583">
        <v>1080000</v>
      </c>
      <c r="F1583" t="s">
        <v>85</v>
      </c>
      <c r="G1583">
        <v>2007</v>
      </c>
      <c r="H1583">
        <v>2058</v>
      </c>
      <c r="I1583" t="s">
        <v>247</v>
      </c>
      <c r="J1583">
        <v>62</v>
      </c>
      <c r="K1583">
        <v>60062</v>
      </c>
      <c r="L1583">
        <v>4000</v>
      </c>
      <c r="M1583">
        <v>14</v>
      </c>
      <c r="N1583">
        <v>4</v>
      </c>
      <c r="O1583">
        <v>1</v>
      </c>
      <c r="P1583" t="s">
        <v>79</v>
      </c>
      <c r="Q1583">
        <v>4</v>
      </c>
      <c r="R1583">
        <v>0</v>
      </c>
      <c r="S1583" t="s">
        <v>21</v>
      </c>
      <c r="T1583">
        <v>3</v>
      </c>
      <c r="U1583">
        <v>0</v>
      </c>
    </row>
    <row r="1584" spans="1:21" x14ac:dyDescent="0.25">
      <c r="A1584">
        <v>9523300</v>
      </c>
      <c r="B1584" t="s">
        <v>15</v>
      </c>
      <c r="C1584" s="1">
        <v>42895</v>
      </c>
      <c r="D1584" s="2">
        <f>YEAR(C1584)</f>
        <v>2017</v>
      </c>
      <c r="E1584">
        <v>1200000</v>
      </c>
      <c r="F1584" t="s">
        <v>85</v>
      </c>
      <c r="G1584">
        <v>2007</v>
      </c>
      <c r="H1584">
        <v>2347</v>
      </c>
      <c r="I1584" t="s">
        <v>179</v>
      </c>
      <c r="J1584">
        <v>62</v>
      </c>
      <c r="K1584">
        <v>60062</v>
      </c>
      <c r="L1584">
        <v>3486</v>
      </c>
      <c r="M1584">
        <v>14</v>
      </c>
      <c r="N1584">
        <v>4</v>
      </c>
      <c r="O1584">
        <v>1</v>
      </c>
      <c r="P1584" t="s">
        <v>79</v>
      </c>
      <c r="Q1584">
        <v>4</v>
      </c>
      <c r="R1584">
        <v>1</v>
      </c>
      <c r="S1584" t="s">
        <v>21</v>
      </c>
      <c r="T1584">
        <v>3</v>
      </c>
      <c r="U1584">
        <v>0</v>
      </c>
    </row>
    <row r="1585" spans="1:21" x14ac:dyDescent="0.25">
      <c r="A1585">
        <v>10075409</v>
      </c>
      <c r="B1585" t="s">
        <v>15</v>
      </c>
      <c r="C1585" s="1">
        <v>43404</v>
      </c>
      <c r="D1585" s="2">
        <f>YEAR(C1585)</f>
        <v>2018</v>
      </c>
      <c r="E1585">
        <v>1175000</v>
      </c>
      <c r="F1585" t="s">
        <v>85</v>
      </c>
      <c r="G1585">
        <v>2008</v>
      </c>
      <c r="H1585">
        <v>5250</v>
      </c>
      <c r="I1585" t="s">
        <v>440</v>
      </c>
      <c r="J1585">
        <v>76</v>
      </c>
      <c r="K1585">
        <v>60077</v>
      </c>
      <c r="L1585">
        <v>4800</v>
      </c>
      <c r="M1585">
        <v>14</v>
      </c>
      <c r="N1585">
        <v>5</v>
      </c>
      <c r="O1585">
        <v>1</v>
      </c>
      <c r="P1585" t="s">
        <v>79</v>
      </c>
      <c r="Q1585">
        <v>4</v>
      </c>
      <c r="R1585">
        <v>1</v>
      </c>
      <c r="S1585" t="s">
        <v>22</v>
      </c>
      <c r="T1585">
        <v>3.5</v>
      </c>
      <c r="U1585">
        <v>0</v>
      </c>
    </row>
    <row r="1586" spans="1:21" x14ac:dyDescent="0.25">
      <c r="A1586">
        <v>9501208</v>
      </c>
      <c r="B1586" t="s">
        <v>15</v>
      </c>
      <c r="C1586" s="1">
        <v>42949</v>
      </c>
      <c r="D1586" s="2">
        <f>YEAR(C1586)</f>
        <v>2017</v>
      </c>
      <c r="E1586">
        <v>790000</v>
      </c>
      <c r="F1586" t="s">
        <v>85</v>
      </c>
      <c r="G1586">
        <v>2008</v>
      </c>
      <c r="H1586">
        <v>9437</v>
      </c>
      <c r="I1586" t="s">
        <v>112</v>
      </c>
      <c r="J1586">
        <v>76</v>
      </c>
      <c r="K1586">
        <v>60076</v>
      </c>
      <c r="L1586">
        <v>4400</v>
      </c>
      <c r="M1586">
        <v>12</v>
      </c>
      <c r="N1586">
        <v>4</v>
      </c>
      <c r="O1586">
        <v>1</v>
      </c>
      <c r="P1586" t="s">
        <v>79</v>
      </c>
      <c r="Q1586">
        <v>4</v>
      </c>
      <c r="R1586">
        <v>1</v>
      </c>
      <c r="S1586" t="s">
        <v>21</v>
      </c>
      <c r="T1586">
        <v>3</v>
      </c>
      <c r="U1586">
        <v>0</v>
      </c>
    </row>
    <row r="1587" spans="1:21" x14ac:dyDescent="0.25">
      <c r="A1587">
        <v>9929124</v>
      </c>
      <c r="B1587" t="s">
        <v>15</v>
      </c>
      <c r="C1587" s="1">
        <v>43342</v>
      </c>
      <c r="D1587" s="2">
        <f>YEAR(C1587)</f>
        <v>2018</v>
      </c>
      <c r="E1587">
        <v>869000</v>
      </c>
      <c r="F1587" t="s">
        <v>85</v>
      </c>
      <c r="G1587">
        <v>2008</v>
      </c>
      <c r="H1587">
        <v>8717</v>
      </c>
      <c r="I1587" t="s">
        <v>152</v>
      </c>
      <c r="J1587">
        <v>76</v>
      </c>
      <c r="K1587">
        <v>60076</v>
      </c>
      <c r="L1587">
        <v>3359</v>
      </c>
      <c r="M1587">
        <v>10</v>
      </c>
      <c r="N1587">
        <v>4</v>
      </c>
      <c r="O1587">
        <v>1</v>
      </c>
      <c r="P1587" t="s">
        <v>79</v>
      </c>
      <c r="Q1587">
        <v>4</v>
      </c>
      <c r="R1587">
        <v>1</v>
      </c>
      <c r="S1587" t="s">
        <v>21</v>
      </c>
      <c r="T1587">
        <v>2</v>
      </c>
      <c r="U1587">
        <v>0</v>
      </c>
    </row>
    <row r="1588" spans="1:21" x14ac:dyDescent="0.25">
      <c r="A1588">
        <v>9363707</v>
      </c>
      <c r="B1588" t="s">
        <v>15</v>
      </c>
      <c r="C1588" s="1">
        <v>42900</v>
      </c>
      <c r="D1588" s="2">
        <f>YEAR(C1588)</f>
        <v>2017</v>
      </c>
      <c r="E1588">
        <v>1752500</v>
      </c>
      <c r="F1588" t="s">
        <v>85</v>
      </c>
      <c r="G1588">
        <v>2008</v>
      </c>
      <c r="H1588">
        <v>3280</v>
      </c>
      <c r="I1588" t="s">
        <v>244</v>
      </c>
      <c r="J1588">
        <v>62</v>
      </c>
      <c r="K1588">
        <v>60062</v>
      </c>
      <c r="L1588">
        <v>7682</v>
      </c>
      <c r="M1588">
        <v>17</v>
      </c>
      <c r="N1588">
        <v>7</v>
      </c>
      <c r="O1588">
        <v>2</v>
      </c>
      <c r="P1588" t="s">
        <v>79</v>
      </c>
      <c r="Q1588">
        <v>6</v>
      </c>
      <c r="R1588">
        <v>1</v>
      </c>
      <c r="S1588" t="s">
        <v>21</v>
      </c>
      <c r="T1588">
        <v>4</v>
      </c>
      <c r="U1588">
        <v>0</v>
      </c>
    </row>
    <row r="1589" spans="1:21" x14ac:dyDescent="0.25">
      <c r="A1589">
        <v>8866215</v>
      </c>
      <c r="B1589" t="s">
        <v>15</v>
      </c>
      <c r="C1589" s="1">
        <v>42800</v>
      </c>
      <c r="D1589" s="2">
        <f>YEAR(C1589)</f>
        <v>2017</v>
      </c>
      <c r="E1589">
        <v>820000</v>
      </c>
      <c r="F1589" t="s">
        <v>85</v>
      </c>
      <c r="G1589">
        <v>2008</v>
      </c>
      <c r="H1589">
        <v>500</v>
      </c>
      <c r="I1589" t="s">
        <v>262</v>
      </c>
      <c r="J1589">
        <v>62</v>
      </c>
      <c r="K1589">
        <v>60062</v>
      </c>
      <c r="L1589">
        <v>4818</v>
      </c>
      <c r="M1589">
        <v>9</v>
      </c>
      <c r="N1589">
        <v>5</v>
      </c>
      <c r="O1589">
        <v>0</v>
      </c>
      <c r="P1589" t="s">
        <v>79</v>
      </c>
      <c r="Q1589">
        <v>5</v>
      </c>
      <c r="R1589">
        <v>0</v>
      </c>
      <c r="S1589" t="s">
        <v>21</v>
      </c>
      <c r="T1589">
        <v>3</v>
      </c>
      <c r="U1589">
        <v>0</v>
      </c>
    </row>
    <row r="1590" spans="1:21" x14ac:dyDescent="0.25">
      <c r="A1590">
        <v>9733652</v>
      </c>
      <c r="B1590" t="s">
        <v>15</v>
      </c>
      <c r="C1590" s="1">
        <v>43069</v>
      </c>
      <c r="D1590" s="2">
        <f>YEAR(C1590)</f>
        <v>2017</v>
      </c>
      <c r="E1590">
        <v>840000</v>
      </c>
      <c r="F1590" t="s">
        <v>85</v>
      </c>
      <c r="G1590">
        <v>2008</v>
      </c>
      <c r="H1590">
        <v>1900</v>
      </c>
      <c r="I1590" t="s">
        <v>542</v>
      </c>
      <c r="J1590">
        <v>62</v>
      </c>
      <c r="K1590">
        <v>60062</v>
      </c>
      <c r="L1590">
        <v>4000</v>
      </c>
      <c r="M1590">
        <v>12</v>
      </c>
      <c r="N1590">
        <v>5</v>
      </c>
      <c r="O1590">
        <v>1</v>
      </c>
      <c r="P1590" t="s">
        <v>79</v>
      </c>
      <c r="Q1590">
        <v>4</v>
      </c>
      <c r="R1590">
        <v>1</v>
      </c>
      <c r="S1590" t="s">
        <v>21</v>
      </c>
      <c r="T1590">
        <v>2</v>
      </c>
      <c r="U1590">
        <v>0</v>
      </c>
    </row>
    <row r="1591" spans="1:21" x14ac:dyDescent="0.25">
      <c r="A1591">
        <v>9732233</v>
      </c>
      <c r="B1591" t="s">
        <v>15</v>
      </c>
      <c r="C1591" s="1">
        <v>43067</v>
      </c>
      <c r="D1591" s="2">
        <f>YEAR(C1591)</f>
        <v>2017</v>
      </c>
      <c r="E1591">
        <v>760000</v>
      </c>
      <c r="F1591" t="s">
        <v>85</v>
      </c>
      <c r="G1591">
        <v>2008</v>
      </c>
      <c r="H1591">
        <v>2026</v>
      </c>
      <c r="I1591" t="s">
        <v>172</v>
      </c>
      <c r="J1591">
        <v>62</v>
      </c>
      <c r="K1591">
        <v>60062</v>
      </c>
      <c r="L1591">
        <v>3800</v>
      </c>
      <c r="M1591">
        <v>12</v>
      </c>
      <c r="N1591">
        <v>4</v>
      </c>
      <c r="O1591">
        <v>1</v>
      </c>
      <c r="P1591" t="s">
        <v>79</v>
      </c>
      <c r="Q1591">
        <v>6</v>
      </c>
      <c r="R1591">
        <v>0</v>
      </c>
      <c r="S1591" t="s">
        <v>21</v>
      </c>
      <c r="T1591">
        <v>2</v>
      </c>
      <c r="U1591">
        <v>0</v>
      </c>
    </row>
    <row r="1592" spans="1:21" x14ac:dyDescent="0.25">
      <c r="A1592">
        <v>9894301</v>
      </c>
      <c r="B1592" t="s">
        <v>15</v>
      </c>
      <c r="C1592" s="1">
        <v>43328</v>
      </c>
      <c r="D1592" s="2">
        <f>YEAR(C1592)</f>
        <v>2018</v>
      </c>
      <c r="E1592">
        <v>952000</v>
      </c>
      <c r="F1592" t="s">
        <v>85</v>
      </c>
      <c r="G1592">
        <v>2008</v>
      </c>
      <c r="H1592">
        <v>2360</v>
      </c>
      <c r="I1592" t="s">
        <v>180</v>
      </c>
      <c r="J1592">
        <v>62</v>
      </c>
      <c r="K1592">
        <v>60062</v>
      </c>
      <c r="L1592">
        <v>3661</v>
      </c>
      <c r="M1592">
        <v>13</v>
      </c>
      <c r="N1592">
        <v>4</v>
      </c>
      <c r="O1592">
        <v>1</v>
      </c>
      <c r="P1592" t="s">
        <v>79</v>
      </c>
      <c r="Q1592">
        <v>3</v>
      </c>
      <c r="R1592">
        <v>1</v>
      </c>
      <c r="S1592" t="s">
        <v>21</v>
      </c>
      <c r="T1592">
        <v>2</v>
      </c>
      <c r="U1592">
        <v>0</v>
      </c>
    </row>
    <row r="1593" spans="1:21" x14ac:dyDescent="0.25">
      <c r="A1593">
        <v>9326528</v>
      </c>
      <c r="B1593" t="s">
        <v>15</v>
      </c>
      <c r="C1593" s="1">
        <v>42829</v>
      </c>
      <c r="D1593" s="2">
        <f>YEAR(C1593)</f>
        <v>2017</v>
      </c>
      <c r="E1593">
        <v>915000</v>
      </c>
      <c r="F1593" t="s">
        <v>85</v>
      </c>
      <c r="G1593">
        <v>2008</v>
      </c>
      <c r="H1593">
        <v>2542</v>
      </c>
      <c r="I1593" t="s">
        <v>170</v>
      </c>
      <c r="J1593">
        <v>62</v>
      </c>
      <c r="K1593">
        <v>60062</v>
      </c>
      <c r="L1593">
        <v>3500</v>
      </c>
      <c r="M1593">
        <v>11</v>
      </c>
      <c r="N1593">
        <v>4</v>
      </c>
      <c r="O1593">
        <v>1</v>
      </c>
      <c r="P1593" t="s">
        <v>79</v>
      </c>
      <c r="Q1593">
        <v>4</v>
      </c>
      <c r="R1593">
        <v>1</v>
      </c>
      <c r="S1593" t="s">
        <v>21</v>
      </c>
      <c r="T1593">
        <v>2</v>
      </c>
      <c r="U1593">
        <v>0</v>
      </c>
    </row>
    <row r="1594" spans="1:21" x14ac:dyDescent="0.25">
      <c r="A1594">
        <v>9987156</v>
      </c>
      <c r="B1594" t="s">
        <v>15</v>
      </c>
      <c r="C1594" s="1">
        <v>43383</v>
      </c>
      <c r="D1594" s="2">
        <f>YEAR(C1594)</f>
        <v>2018</v>
      </c>
      <c r="E1594">
        <v>750000</v>
      </c>
      <c r="F1594" t="s">
        <v>85</v>
      </c>
      <c r="G1594">
        <v>2008</v>
      </c>
      <c r="H1594">
        <v>1001</v>
      </c>
      <c r="I1594" t="s">
        <v>208</v>
      </c>
      <c r="J1594">
        <v>62</v>
      </c>
      <c r="K1594">
        <v>60062</v>
      </c>
      <c r="L1594">
        <v>3424</v>
      </c>
      <c r="M1594">
        <v>13</v>
      </c>
      <c r="N1594">
        <v>4</v>
      </c>
      <c r="O1594">
        <v>1</v>
      </c>
      <c r="P1594" t="s">
        <v>79</v>
      </c>
      <c r="Q1594">
        <v>4</v>
      </c>
      <c r="R1594">
        <v>1</v>
      </c>
      <c r="S1594" t="s">
        <v>21</v>
      </c>
      <c r="T1594">
        <v>2</v>
      </c>
      <c r="U1594">
        <v>0</v>
      </c>
    </row>
    <row r="1595" spans="1:21" x14ac:dyDescent="0.25">
      <c r="A1595">
        <v>9400964</v>
      </c>
      <c r="B1595" t="s">
        <v>15</v>
      </c>
      <c r="C1595" s="1">
        <v>42914</v>
      </c>
      <c r="D1595" s="2">
        <f>YEAR(C1595)</f>
        <v>2017</v>
      </c>
      <c r="E1595">
        <v>595000</v>
      </c>
      <c r="F1595" t="s">
        <v>85</v>
      </c>
      <c r="G1595">
        <v>2008</v>
      </c>
      <c r="H1595">
        <v>4165</v>
      </c>
      <c r="I1595" t="s">
        <v>543</v>
      </c>
      <c r="J1595">
        <v>62</v>
      </c>
      <c r="K1595">
        <v>60062</v>
      </c>
      <c r="L1595">
        <v>3365</v>
      </c>
      <c r="M1595">
        <v>12</v>
      </c>
      <c r="N1595">
        <v>4</v>
      </c>
      <c r="O1595">
        <v>1</v>
      </c>
      <c r="P1595" t="s">
        <v>79</v>
      </c>
      <c r="Q1595">
        <v>4</v>
      </c>
      <c r="R1595">
        <v>0</v>
      </c>
      <c r="S1595" t="s">
        <v>21</v>
      </c>
      <c r="T1595">
        <v>3</v>
      </c>
      <c r="U1595">
        <v>0</v>
      </c>
    </row>
    <row r="1596" spans="1:21" x14ac:dyDescent="0.25">
      <c r="A1596">
        <v>9810121</v>
      </c>
      <c r="B1596" t="s">
        <v>15</v>
      </c>
      <c r="C1596" s="1">
        <v>43238</v>
      </c>
      <c r="D1596" s="2">
        <f>YEAR(C1596)</f>
        <v>2018</v>
      </c>
      <c r="E1596">
        <v>925000</v>
      </c>
      <c r="F1596" t="s">
        <v>85</v>
      </c>
      <c r="G1596">
        <v>2009</v>
      </c>
      <c r="H1596">
        <v>435</v>
      </c>
      <c r="I1596" t="s">
        <v>122</v>
      </c>
      <c r="J1596">
        <v>62</v>
      </c>
      <c r="K1596">
        <v>60062</v>
      </c>
      <c r="L1596">
        <v>6922</v>
      </c>
      <c r="M1596">
        <v>17</v>
      </c>
      <c r="N1596">
        <v>6</v>
      </c>
      <c r="O1596">
        <v>1</v>
      </c>
      <c r="P1596" t="s">
        <v>79</v>
      </c>
      <c r="Q1596">
        <v>6</v>
      </c>
      <c r="R1596">
        <v>1</v>
      </c>
      <c r="S1596" t="s">
        <v>21</v>
      </c>
      <c r="T1596">
        <v>3</v>
      </c>
      <c r="U1596">
        <v>0</v>
      </c>
    </row>
    <row r="1597" spans="1:21" x14ac:dyDescent="0.25">
      <c r="A1597">
        <v>9655243</v>
      </c>
      <c r="B1597" t="s">
        <v>15</v>
      </c>
      <c r="C1597" s="1">
        <v>43019</v>
      </c>
      <c r="D1597" s="2">
        <f>YEAR(C1597)</f>
        <v>2017</v>
      </c>
      <c r="E1597">
        <v>1410000</v>
      </c>
      <c r="F1597" t="s">
        <v>85</v>
      </c>
      <c r="G1597">
        <v>2010</v>
      </c>
      <c r="H1597">
        <v>2112</v>
      </c>
      <c r="I1597" t="s">
        <v>243</v>
      </c>
      <c r="J1597">
        <v>62</v>
      </c>
      <c r="K1597">
        <v>60062</v>
      </c>
      <c r="L1597">
        <v>4500</v>
      </c>
      <c r="M1597">
        <v>13</v>
      </c>
      <c r="N1597">
        <v>4</v>
      </c>
      <c r="O1597">
        <v>2</v>
      </c>
      <c r="P1597" t="s">
        <v>79</v>
      </c>
      <c r="Q1597">
        <v>5</v>
      </c>
      <c r="R1597">
        <v>0</v>
      </c>
      <c r="S1597" t="s">
        <v>21</v>
      </c>
      <c r="T1597">
        <v>3</v>
      </c>
      <c r="U1597">
        <v>0</v>
      </c>
    </row>
    <row r="1598" spans="1:21" x14ac:dyDescent="0.25">
      <c r="A1598">
        <v>9761356</v>
      </c>
      <c r="B1598" t="s">
        <v>15</v>
      </c>
      <c r="C1598" s="1">
        <v>43224</v>
      </c>
      <c r="D1598" s="2">
        <f>YEAR(C1598)</f>
        <v>2018</v>
      </c>
      <c r="E1598">
        <v>1040000</v>
      </c>
      <c r="F1598" t="s">
        <v>85</v>
      </c>
      <c r="G1598">
        <v>2010</v>
      </c>
      <c r="H1598">
        <v>1872</v>
      </c>
      <c r="I1598" t="s">
        <v>146</v>
      </c>
      <c r="J1598">
        <v>62</v>
      </c>
      <c r="K1598">
        <v>60062</v>
      </c>
      <c r="L1598">
        <v>4004</v>
      </c>
      <c r="M1598">
        <v>15</v>
      </c>
      <c r="N1598">
        <v>5</v>
      </c>
      <c r="O1598">
        <v>0</v>
      </c>
      <c r="P1598" t="s">
        <v>79</v>
      </c>
      <c r="Q1598">
        <v>5</v>
      </c>
      <c r="R1598">
        <v>1</v>
      </c>
      <c r="S1598" t="s">
        <v>21</v>
      </c>
      <c r="T1598">
        <v>2</v>
      </c>
      <c r="U1598">
        <v>0</v>
      </c>
    </row>
    <row r="1599" spans="1:21" x14ac:dyDescent="0.25">
      <c r="A1599">
        <v>9878542</v>
      </c>
      <c r="B1599" t="s">
        <v>15</v>
      </c>
      <c r="C1599" s="1">
        <v>43290</v>
      </c>
      <c r="D1599" s="2">
        <f>YEAR(C1599)</f>
        <v>2018</v>
      </c>
      <c r="E1599">
        <v>840000</v>
      </c>
      <c r="F1599" t="s">
        <v>85</v>
      </c>
      <c r="G1599">
        <v>2010</v>
      </c>
      <c r="H1599">
        <v>1955</v>
      </c>
      <c r="I1599" t="s">
        <v>69</v>
      </c>
      <c r="J1599">
        <v>62</v>
      </c>
      <c r="K1599">
        <v>60062</v>
      </c>
      <c r="L1599">
        <v>3000</v>
      </c>
      <c r="M1599">
        <v>11</v>
      </c>
      <c r="N1599">
        <v>4</v>
      </c>
      <c r="O1599">
        <v>1</v>
      </c>
      <c r="P1599" t="s">
        <v>79</v>
      </c>
      <c r="Q1599">
        <v>4</v>
      </c>
      <c r="R1599">
        <v>1</v>
      </c>
      <c r="S1599" t="s">
        <v>21</v>
      </c>
      <c r="T1599">
        <v>2</v>
      </c>
      <c r="U1599">
        <v>0</v>
      </c>
    </row>
    <row r="1600" spans="1:21" x14ac:dyDescent="0.25">
      <c r="A1600">
        <v>9748742</v>
      </c>
      <c r="B1600" t="s">
        <v>15</v>
      </c>
      <c r="C1600" s="1">
        <v>43245</v>
      </c>
      <c r="D1600" s="2">
        <f>YEAR(C1600)</f>
        <v>2018</v>
      </c>
      <c r="E1600">
        <v>2382500</v>
      </c>
      <c r="F1600" t="s">
        <v>85</v>
      </c>
      <c r="G1600">
        <v>2012</v>
      </c>
      <c r="H1600">
        <v>4140</v>
      </c>
      <c r="I1600" t="s">
        <v>457</v>
      </c>
      <c r="J1600">
        <v>62</v>
      </c>
      <c r="K1600">
        <v>60062</v>
      </c>
      <c r="L1600">
        <v>10330</v>
      </c>
      <c r="M1600">
        <v>17</v>
      </c>
      <c r="N1600">
        <v>7</v>
      </c>
      <c r="O1600">
        <v>5</v>
      </c>
      <c r="P1600" t="s">
        <v>79</v>
      </c>
      <c r="Q1600">
        <v>6</v>
      </c>
      <c r="R1600">
        <v>1</v>
      </c>
      <c r="S1600" t="s">
        <v>21</v>
      </c>
      <c r="T1600">
        <v>6</v>
      </c>
      <c r="U1600">
        <v>0</v>
      </c>
    </row>
    <row r="1601" spans="1:21" x14ac:dyDescent="0.25">
      <c r="A1601">
        <v>9400125</v>
      </c>
      <c r="B1601" t="s">
        <v>15</v>
      </c>
      <c r="C1601" s="1">
        <v>43047</v>
      </c>
      <c r="D1601" s="2">
        <f>YEAR(C1601)</f>
        <v>2017</v>
      </c>
      <c r="E1601">
        <v>1300000</v>
      </c>
      <c r="F1601" t="s">
        <v>85</v>
      </c>
      <c r="G1601">
        <v>2012</v>
      </c>
      <c r="H1601">
        <v>2218</v>
      </c>
      <c r="I1601" t="s">
        <v>190</v>
      </c>
      <c r="J1601">
        <v>62</v>
      </c>
      <c r="K1601">
        <v>60062</v>
      </c>
      <c r="L1601">
        <v>5307</v>
      </c>
      <c r="M1601">
        <v>14</v>
      </c>
      <c r="N1601">
        <v>4</v>
      </c>
      <c r="O1601">
        <v>2</v>
      </c>
      <c r="P1601" t="s">
        <v>79</v>
      </c>
      <c r="Q1601">
        <v>4</v>
      </c>
      <c r="R1601">
        <v>2</v>
      </c>
      <c r="S1601" t="s">
        <v>21</v>
      </c>
      <c r="T1601">
        <v>2</v>
      </c>
      <c r="U1601">
        <v>0</v>
      </c>
    </row>
    <row r="1602" spans="1:21" x14ac:dyDescent="0.25">
      <c r="A1602">
        <v>9755680</v>
      </c>
      <c r="B1602" t="s">
        <v>15</v>
      </c>
      <c r="C1602" s="1">
        <v>43090</v>
      </c>
      <c r="D1602" s="2">
        <f>YEAR(C1602)</f>
        <v>2017</v>
      </c>
      <c r="E1602">
        <v>713000</v>
      </c>
      <c r="F1602" t="s">
        <v>85</v>
      </c>
      <c r="G1602">
        <v>2012</v>
      </c>
      <c r="H1602">
        <v>1868</v>
      </c>
      <c r="I1602" t="s">
        <v>69</v>
      </c>
      <c r="J1602">
        <v>62</v>
      </c>
      <c r="K1602">
        <v>60062</v>
      </c>
      <c r="L1602">
        <v>2526</v>
      </c>
      <c r="M1602">
        <v>11</v>
      </c>
      <c r="N1602">
        <v>3</v>
      </c>
      <c r="O1602">
        <v>1</v>
      </c>
      <c r="P1602" t="s">
        <v>79</v>
      </c>
      <c r="Q1602">
        <v>4</v>
      </c>
      <c r="R1602">
        <v>1</v>
      </c>
      <c r="S1602" t="s">
        <v>21</v>
      </c>
      <c r="T1602">
        <v>2</v>
      </c>
      <c r="U1602">
        <v>0</v>
      </c>
    </row>
    <row r="1603" spans="1:21" x14ac:dyDescent="0.25">
      <c r="A1603">
        <v>9854853</v>
      </c>
      <c r="B1603" t="s">
        <v>15</v>
      </c>
      <c r="C1603" s="1">
        <v>43238</v>
      </c>
      <c r="D1603" s="2">
        <f>YEAR(C1603)</f>
        <v>2018</v>
      </c>
      <c r="E1603">
        <v>627500</v>
      </c>
      <c r="F1603" t="s">
        <v>85</v>
      </c>
      <c r="G1603">
        <v>2012</v>
      </c>
      <c r="H1603">
        <v>1872</v>
      </c>
      <c r="I1603" t="s">
        <v>69</v>
      </c>
      <c r="J1603">
        <v>62</v>
      </c>
      <c r="K1603">
        <v>60062</v>
      </c>
      <c r="L1603">
        <v>2228</v>
      </c>
      <c r="M1603">
        <v>8</v>
      </c>
      <c r="N1603">
        <v>3</v>
      </c>
      <c r="O1603">
        <v>1</v>
      </c>
      <c r="P1603" t="s">
        <v>79</v>
      </c>
      <c r="Q1603">
        <v>3</v>
      </c>
      <c r="R1603">
        <v>1</v>
      </c>
      <c r="S1603" t="s">
        <v>21</v>
      </c>
      <c r="T1603">
        <v>2</v>
      </c>
      <c r="U1603">
        <v>0</v>
      </c>
    </row>
    <row r="1604" spans="1:21" x14ac:dyDescent="0.25">
      <c r="A1604">
        <v>9474055</v>
      </c>
      <c r="B1604" t="s">
        <v>15</v>
      </c>
      <c r="C1604" s="1">
        <v>42825</v>
      </c>
      <c r="D1604" s="2">
        <f>YEAR(C1604)</f>
        <v>2017</v>
      </c>
      <c r="E1604">
        <v>662000</v>
      </c>
      <c r="F1604" t="s">
        <v>85</v>
      </c>
      <c r="G1604">
        <v>2015</v>
      </c>
      <c r="H1604">
        <v>8158</v>
      </c>
      <c r="I1604" t="s">
        <v>435</v>
      </c>
      <c r="J1604">
        <v>76</v>
      </c>
      <c r="K1604">
        <v>60077</v>
      </c>
      <c r="L1604">
        <v>2026</v>
      </c>
      <c r="M1604">
        <v>9</v>
      </c>
      <c r="N1604">
        <v>3</v>
      </c>
      <c r="O1604">
        <v>1</v>
      </c>
      <c r="P1604" t="s">
        <v>79</v>
      </c>
      <c r="Q1604">
        <v>3</v>
      </c>
      <c r="R1604">
        <v>1</v>
      </c>
      <c r="S1604" t="s">
        <v>22</v>
      </c>
      <c r="T1604">
        <v>2</v>
      </c>
      <c r="U1604">
        <v>0</v>
      </c>
    </row>
    <row r="1605" spans="1:21" x14ac:dyDescent="0.25">
      <c r="A1605">
        <v>10086775</v>
      </c>
      <c r="B1605" t="s">
        <v>15</v>
      </c>
      <c r="C1605" s="1">
        <v>43493</v>
      </c>
      <c r="D1605" s="2">
        <f>YEAR(C1605)</f>
        <v>2019</v>
      </c>
      <c r="E1605">
        <v>1285000</v>
      </c>
      <c r="F1605" t="s">
        <v>85</v>
      </c>
      <c r="G1605">
        <v>2015</v>
      </c>
      <c r="H1605">
        <v>1244</v>
      </c>
      <c r="I1605" t="s">
        <v>134</v>
      </c>
      <c r="J1605">
        <v>62</v>
      </c>
      <c r="K1605">
        <v>60062</v>
      </c>
      <c r="L1605">
        <v>7574</v>
      </c>
      <c r="M1605">
        <v>15</v>
      </c>
      <c r="N1605">
        <v>5</v>
      </c>
      <c r="O1605">
        <v>1</v>
      </c>
      <c r="P1605" t="s">
        <v>79</v>
      </c>
      <c r="Q1605">
        <v>5</v>
      </c>
      <c r="R1605">
        <v>1</v>
      </c>
      <c r="S1605" t="s">
        <v>21</v>
      </c>
      <c r="T1605">
        <v>3</v>
      </c>
      <c r="U1605">
        <v>0</v>
      </c>
    </row>
    <row r="1606" spans="1:21" x14ac:dyDescent="0.25">
      <c r="A1606">
        <v>9946839</v>
      </c>
      <c r="B1606" t="s">
        <v>15</v>
      </c>
      <c r="C1606" s="1">
        <v>43312</v>
      </c>
      <c r="D1606" s="2">
        <f>YEAR(C1606)</f>
        <v>2018</v>
      </c>
      <c r="E1606">
        <v>1195000</v>
      </c>
      <c r="F1606" t="s">
        <v>85</v>
      </c>
      <c r="G1606">
        <v>2015</v>
      </c>
      <c r="H1606">
        <v>2315</v>
      </c>
      <c r="I1606" t="s">
        <v>227</v>
      </c>
      <c r="J1606">
        <v>62</v>
      </c>
      <c r="K1606">
        <v>60062</v>
      </c>
      <c r="L1606">
        <v>3200</v>
      </c>
      <c r="M1606">
        <v>10</v>
      </c>
      <c r="N1606">
        <v>3</v>
      </c>
      <c r="O1606">
        <v>1</v>
      </c>
      <c r="P1606" t="s">
        <v>79</v>
      </c>
      <c r="Q1606">
        <v>3</v>
      </c>
      <c r="R1606">
        <v>1</v>
      </c>
      <c r="S1606" t="s">
        <v>21</v>
      </c>
      <c r="T1606">
        <v>2</v>
      </c>
      <c r="U1606">
        <v>0</v>
      </c>
    </row>
    <row r="1607" spans="1:21" x14ac:dyDescent="0.25">
      <c r="A1607">
        <v>9777771</v>
      </c>
      <c r="B1607" t="s">
        <v>15</v>
      </c>
      <c r="C1607" s="1">
        <v>43158</v>
      </c>
      <c r="D1607" s="2">
        <f>YEAR(C1607)</f>
        <v>2018</v>
      </c>
      <c r="E1607">
        <v>700000</v>
      </c>
      <c r="F1607" t="s">
        <v>85</v>
      </c>
      <c r="G1607">
        <v>2016</v>
      </c>
      <c r="H1607">
        <v>8111</v>
      </c>
      <c r="I1607" t="s">
        <v>435</v>
      </c>
      <c r="J1607">
        <v>76</v>
      </c>
      <c r="K1607">
        <v>60076</v>
      </c>
      <c r="L1607">
        <v>3400</v>
      </c>
      <c r="M1607">
        <v>10</v>
      </c>
      <c r="N1607">
        <v>3</v>
      </c>
      <c r="O1607">
        <v>1</v>
      </c>
      <c r="P1607" t="s">
        <v>79</v>
      </c>
      <c r="Q1607">
        <v>3</v>
      </c>
      <c r="R1607">
        <v>1</v>
      </c>
      <c r="S1607" t="s">
        <v>21</v>
      </c>
      <c r="T1607">
        <v>2</v>
      </c>
      <c r="U1607">
        <v>0</v>
      </c>
    </row>
    <row r="1608" spans="1:21" x14ac:dyDescent="0.25">
      <c r="A1608">
        <v>9776924</v>
      </c>
      <c r="B1608" t="s">
        <v>15</v>
      </c>
      <c r="C1608" s="1">
        <v>43159</v>
      </c>
      <c r="D1608" s="2">
        <f>YEAR(C1608)</f>
        <v>2018</v>
      </c>
      <c r="E1608">
        <v>1215000</v>
      </c>
      <c r="F1608" t="s">
        <v>85</v>
      </c>
      <c r="G1608">
        <v>2016</v>
      </c>
      <c r="H1608">
        <v>2709</v>
      </c>
      <c r="I1608" t="s">
        <v>87</v>
      </c>
      <c r="J1608">
        <v>62</v>
      </c>
      <c r="K1608">
        <v>60062</v>
      </c>
      <c r="L1608">
        <v>4973</v>
      </c>
      <c r="M1608">
        <v>14</v>
      </c>
      <c r="N1608">
        <v>5</v>
      </c>
      <c r="O1608">
        <v>1</v>
      </c>
      <c r="P1608" t="s">
        <v>79</v>
      </c>
      <c r="Q1608">
        <v>5</v>
      </c>
      <c r="R1608">
        <v>1</v>
      </c>
      <c r="S1608" t="s">
        <v>21</v>
      </c>
      <c r="T1608">
        <v>3</v>
      </c>
      <c r="U1608">
        <v>0</v>
      </c>
    </row>
    <row r="1609" spans="1:21" x14ac:dyDescent="0.25">
      <c r="A1609">
        <v>9268533</v>
      </c>
      <c r="B1609" t="s">
        <v>15</v>
      </c>
      <c r="C1609" s="1">
        <v>42811</v>
      </c>
      <c r="D1609" s="2">
        <f>YEAR(C1609)</f>
        <v>2017</v>
      </c>
      <c r="E1609">
        <v>1070000</v>
      </c>
      <c r="F1609" t="s">
        <v>85</v>
      </c>
      <c r="G1609">
        <v>2016</v>
      </c>
      <c r="H1609">
        <v>1708</v>
      </c>
      <c r="I1609" t="s">
        <v>235</v>
      </c>
      <c r="J1609">
        <v>62</v>
      </c>
      <c r="K1609">
        <v>60062</v>
      </c>
      <c r="L1609">
        <v>4800</v>
      </c>
      <c r="M1609">
        <v>13</v>
      </c>
      <c r="N1609">
        <v>5</v>
      </c>
      <c r="O1609">
        <v>1</v>
      </c>
      <c r="P1609" t="s">
        <v>79</v>
      </c>
      <c r="Q1609">
        <v>5</v>
      </c>
      <c r="R1609">
        <v>1</v>
      </c>
      <c r="S1609" t="s">
        <v>21</v>
      </c>
      <c r="T1609">
        <v>3</v>
      </c>
      <c r="U1609">
        <v>0</v>
      </c>
    </row>
    <row r="1610" spans="1:21" x14ac:dyDescent="0.25">
      <c r="A1610">
        <v>10037732</v>
      </c>
      <c r="B1610" t="s">
        <v>15</v>
      </c>
      <c r="C1610" s="1">
        <v>43367</v>
      </c>
      <c r="D1610" s="2">
        <f>YEAR(C1610)</f>
        <v>2018</v>
      </c>
      <c r="E1610">
        <v>1165000</v>
      </c>
      <c r="F1610" t="s">
        <v>85</v>
      </c>
      <c r="G1610">
        <v>2016</v>
      </c>
      <c r="H1610">
        <v>41</v>
      </c>
      <c r="I1610" t="s">
        <v>187</v>
      </c>
      <c r="J1610">
        <v>62</v>
      </c>
      <c r="K1610">
        <v>60062</v>
      </c>
      <c r="L1610">
        <v>4689</v>
      </c>
      <c r="M1610">
        <v>12</v>
      </c>
      <c r="N1610">
        <v>5</v>
      </c>
      <c r="O1610">
        <v>1</v>
      </c>
      <c r="P1610" t="s">
        <v>79</v>
      </c>
      <c r="Q1610">
        <v>4</v>
      </c>
      <c r="R1610">
        <v>1</v>
      </c>
      <c r="S1610" t="s">
        <v>21</v>
      </c>
      <c r="T1610">
        <v>3</v>
      </c>
      <c r="U1610">
        <v>0</v>
      </c>
    </row>
    <row r="1611" spans="1:21" x14ac:dyDescent="0.25">
      <c r="A1611">
        <v>9400750</v>
      </c>
      <c r="B1611" t="s">
        <v>15</v>
      </c>
      <c r="C1611" s="1">
        <v>42809</v>
      </c>
      <c r="D1611" s="2">
        <f>YEAR(C1611)</f>
        <v>2017</v>
      </c>
      <c r="E1611">
        <v>1335000</v>
      </c>
      <c r="F1611" t="s">
        <v>85</v>
      </c>
      <c r="G1611">
        <v>2016</v>
      </c>
      <c r="H1611">
        <v>2146</v>
      </c>
      <c r="I1611" t="s">
        <v>225</v>
      </c>
      <c r="J1611">
        <v>62</v>
      </c>
      <c r="K1611">
        <v>60062</v>
      </c>
      <c r="L1611">
        <v>4422</v>
      </c>
      <c r="M1611">
        <v>11</v>
      </c>
      <c r="N1611">
        <v>4</v>
      </c>
      <c r="O1611">
        <v>1</v>
      </c>
      <c r="P1611" t="s">
        <v>79</v>
      </c>
      <c r="Q1611">
        <v>4</v>
      </c>
      <c r="R1611">
        <v>1</v>
      </c>
      <c r="S1611" t="s">
        <v>21</v>
      </c>
      <c r="T1611">
        <v>2</v>
      </c>
      <c r="U1611">
        <v>0</v>
      </c>
    </row>
    <row r="1612" spans="1:21" x14ac:dyDescent="0.25">
      <c r="A1612">
        <v>9853250</v>
      </c>
      <c r="B1612" t="s">
        <v>15</v>
      </c>
      <c r="C1612" s="1">
        <v>43251</v>
      </c>
      <c r="D1612" s="2">
        <f>YEAR(C1612)</f>
        <v>2018</v>
      </c>
      <c r="E1612">
        <v>935000</v>
      </c>
      <c r="F1612" t="s">
        <v>85</v>
      </c>
      <c r="G1612">
        <v>2016</v>
      </c>
      <c r="H1612">
        <v>1834</v>
      </c>
      <c r="I1612" t="s">
        <v>157</v>
      </c>
      <c r="J1612">
        <v>62</v>
      </c>
      <c r="K1612">
        <v>60062</v>
      </c>
      <c r="L1612">
        <v>4250</v>
      </c>
      <c r="M1612">
        <v>11</v>
      </c>
      <c r="N1612">
        <v>4</v>
      </c>
      <c r="O1612">
        <v>1</v>
      </c>
      <c r="P1612" t="s">
        <v>79</v>
      </c>
      <c r="Q1612">
        <v>4</v>
      </c>
      <c r="R1612">
        <v>1</v>
      </c>
      <c r="S1612" t="s">
        <v>21</v>
      </c>
      <c r="T1612">
        <v>3</v>
      </c>
      <c r="U1612">
        <v>0</v>
      </c>
    </row>
    <row r="1613" spans="1:21" x14ac:dyDescent="0.25">
      <c r="A1613">
        <v>9367546</v>
      </c>
      <c r="B1613" t="s">
        <v>15</v>
      </c>
      <c r="C1613" s="1">
        <v>43005</v>
      </c>
      <c r="D1613" s="2">
        <f>YEAR(C1613)</f>
        <v>2017</v>
      </c>
      <c r="E1613">
        <v>1153000</v>
      </c>
      <c r="F1613" t="s">
        <v>85</v>
      </c>
      <c r="G1613">
        <v>2016</v>
      </c>
      <c r="H1613">
        <v>2300</v>
      </c>
      <c r="I1613" t="s">
        <v>179</v>
      </c>
      <c r="J1613">
        <v>62</v>
      </c>
      <c r="K1613">
        <v>60062</v>
      </c>
      <c r="L1613">
        <v>4244</v>
      </c>
      <c r="M1613">
        <v>9</v>
      </c>
      <c r="N1613">
        <v>4</v>
      </c>
      <c r="O1613">
        <v>1</v>
      </c>
      <c r="P1613" t="s">
        <v>79</v>
      </c>
      <c r="Q1613">
        <v>4</v>
      </c>
      <c r="R1613">
        <v>0</v>
      </c>
      <c r="S1613" t="s">
        <v>21</v>
      </c>
      <c r="T1613">
        <v>3</v>
      </c>
      <c r="U1613">
        <v>0</v>
      </c>
    </row>
    <row r="1614" spans="1:21" x14ac:dyDescent="0.25">
      <c r="A1614">
        <v>9509887</v>
      </c>
      <c r="B1614" t="s">
        <v>15</v>
      </c>
      <c r="C1614" s="1">
        <v>42947</v>
      </c>
      <c r="D1614" s="2">
        <f>YEAR(C1614)</f>
        <v>2017</v>
      </c>
      <c r="E1614">
        <v>1300000</v>
      </c>
      <c r="F1614" t="s">
        <v>85</v>
      </c>
      <c r="G1614">
        <v>2016</v>
      </c>
      <c r="H1614">
        <v>1908</v>
      </c>
      <c r="I1614" t="s">
        <v>146</v>
      </c>
      <c r="J1614">
        <v>62</v>
      </c>
      <c r="K1614">
        <v>60062</v>
      </c>
      <c r="L1614">
        <v>4001</v>
      </c>
      <c r="M1614">
        <v>12</v>
      </c>
      <c r="N1614">
        <v>4</v>
      </c>
      <c r="O1614">
        <v>1</v>
      </c>
      <c r="P1614" t="s">
        <v>79</v>
      </c>
      <c r="Q1614">
        <v>4</v>
      </c>
      <c r="R1614">
        <v>1</v>
      </c>
      <c r="S1614" t="s">
        <v>21</v>
      </c>
      <c r="T1614">
        <v>2</v>
      </c>
      <c r="U1614">
        <v>0</v>
      </c>
    </row>
    <row r="1615" spans="1:21" x14ac:dyDescent="0.25">
      <c r="A1615">
        <v>9367529</v>
      </c>
      <c r="B1615" t="s">
        <v>15</v>
      </c>
      <c r="C1615" s="1">
        <v>42821</v>
      </c>
      <c r="D1615" s="2">
        <f>YEAR(C1615)</f>
        <v>2017</v>
      </c>
      <c r="E1615">
        <v>1125000</v>
      </c>
      <c r="F1615" t="s">
        <v>85</v>
      </c>
      <c r="G1615">
        <v>2016</v>
      </c>
      <c r="H1615">
        <v>1931</v>
      </c>
      <c r="I1615" t="s">
        <v>146</v>
      </c>
      <c r="J1615">
        <v>62</v>
      </c>
      <c r="K1615">
        <v>60062</v>
      </c>
      <c r="L1615">
        <v>3930</v>
      </c>
      <c r="M1615">
        <v>10</v>
      </c>
      <c r="N1615">
        <v>4</v>
      </c>
      <c r="O1615">
        <v>1</v>
      </c>
      <c r="P1615" t="s">
        <v>79</v>
      </c>
      <c r="Q1615">
        <v>4</v>
      </c>
      <c r="R1615">
        <v>0</v>
      </c>
      <c r="S1615" t="s">
        <v>21</v>
      </c>
      <c r="T1615">
        <v>3</v>
      </c>
      <c r="U1615">
        <v>0</v>
      </c>
    </row>
    <row r="1616" spans="1:21" x14ac:dyDescent="0.25">
      <c r="A1616">
        <v>9741088</v>
      </c>
      <c r="B1616" t="s">
        <v>15</v>
      </c>
      <c r="C1616" s="1">
        <v>43257</v>
      </c>
      <c r="D1616" s="2">
        <f>YEAR(C1616)</f>
        <v>2018</v>
      </c>
      <c r="E1616">
        <v>1570000</v>
      </c>
      <c r="F1616" t="s">
        <v>85</v>
      </c>
      <c r="G1616">
        <v>2017</v>
      </c>
      <c r="H1616">
        <v>3155</v>
      </c>
      <c r="I1616" t="s">
        <v>435</v>
      </c>
      <c r="J1616">
        <v>62</v>
      </c>
      <c r="K1616">
        <v>60062</v>
      </c>
      <c r="L1616">
        <v>6420</v>
      </c>
      <c r="M1616">
        <v>11</v>
      </c>
      <c r="N1616">
        <v>5</v>
      </c>
      <c r="O1616">
        <v>1</v>
      </c>
      <c r="P1616" t="s">
        <v>79</v>
      </c>
      <c r="Q1616">
        <v>5</v>
      </c>
      <c r="R1616">
        <v>1</v>
      </c>
      <c r="S1616" t="s">
        <v>21</v>
      </c>
      <c r="T1616">
        <v>3</v>
      </c>
      <c r="U1616">
        <v>0</v>
      </c>
    </row>
    <row r="1617" spans="1:21" x14ac:dyDescent="0.25">
      <c r="A1617">
        <v>9828664</v>
      </c>
      <c r="B1617" t="s">
        <v>15</v>
      </c>
      <c r="C1617" s="1">
        <v>43180</v>
      </c>
      <c r="D1617" s="2">
        <f>YEAR(C1617)</f>
        <v>2018</v>
      </c>
      <c r="E1617">
        <v>985000</v>
      </c>
      <c r="F1617" t="s">
        <v>85</v>
      </c>
      <c r="G1617">
        <v>2017</v>
      </c>
      <c r="H1617">
        <v>839</v>
      </c>
      <c r="I1617" t="s">
        <v>112</v>
      </c>
      <c r="J1617">
        <v>62</v>
      </c>
      <c r="K1617">
        <v>60062</v>
      </c>
      <c r="L1617">
        <v>5651</v>
      </c>
      <c r="M1617">
        <v>12</v>
      </c>
      <c r="N1617">
        <v>5</v>
      </c>
      <c r="O1617">
        <v>1</v>
      </c>
      <c r="P1617" t="s">
        <v>79</v>
      </c>
      <c r="Q1617">
        <v>4</v>
      </c>
      <c r="R1617">
        <v>1</v>
      </c>
      <c r="S1617" t="s">
        <v>21</v>
      </c>
      <c r="T1617">
        <v>2</v>
      </c>
      <c r="U1617">
        <v>0</v>
      </c>
    </row>
    <row r="1618" spans="1:21" x14ac:dyDescent="0.25">
      <c r="A1618">
        <v>9959955</v>
      </c>
      <c r="B1618" t="s">
        <v>15</v>
      </c>
      <c r="C1618" s="1">
        <v>43356</v>
      </c>
      <c r="D1618" s="2">
        <f>YEAR(C1618)</f>
        <v>2018</v>
      </c>
      <c r="E1618">
        <v>1265000</v>
      </c>
      <c r="F1618" t="s">
        <v>85</v>
      </c>
      <c r="G1618">
        <v>2017</v>
      </c>
      <c r="H1618">
        <v>3674</v>
      </c>
      <c r="I1618" t="s">
        <v>170</v>
      </c>
      <c r="J1618">
        <v>62</v>
      </c>
      <c r="K1618">
        <v>60062</v>
      </c>
      <c r="L1618">
        <v>5069</v>
      </c>
      <c r="M1618">
        <v>13</v>
      </c>
      <c r="N1618">
        <v>5</v>
      </c>
      <c r="O1618">
        <v>1</v>
      </c>
      <c r="P1618" t="s">
        <v>79</v>
      </c>
      <c r="Q1618">
        <v>4</v>
      </c>
      <c r="R1618">
        <v>1</v>
      </c>
      <c r="S1618" t="s">
        <v>21</v>
      </c>
      <c r="T1618">
        <v>3</v>
      </c>
      <c r="U1618">
        <v>0</v>
      </c>
    </row>
    <row r="1619" spans="1:21" x14ac:dyDescent="0.25">
      <c r="A1619">
        <v>9846595</v>
      </c>
      <c r="B1619" t="s">
        <v>15</v>
      </c>
      <c r="C1619" s="1">
        <v>43167</v>
      </c>
      <c r="D1619" s="2">
        <f>YEAR(C1619)</f>
        <v>2018</v>
      </c>
      <c r="E1619">
        <v>1075000</v>
      </c>
      <c r="F1619" t="s">
        <v>85</v>
      </c>
      <c r="G1619">
        <v>2017</v>
      </c>
      <c r="H1619">
        <v>714</v>
      </c>
      <c r="I1619" t="s">
        <v>262</v>
      </c>
      <c r="J1619">
        <v>62</v>
      </c>
      <c r="K1619">
        <v>60062</v>
      </c>
      <c r="L1619">
        <v>5044</v>
      </c>
      <c r="M1619">
        <v>13</v>
      </c>
      <c r="N1619">
        <v>5</v>
      </c>
      <c r="O1619">
        <v>0</v>
      </c>
      <c r="P1619" t="s">
        <v>79</v>
      </c>
      <c r="Q1619">
        <v>5</v>
      </c>
      <c r="R1619">
        <v>0</v>
      </c>
      <c r="S1619" t="s">
        <v>21</v>
      </c>
      <c r="T1619">
        <v>3</v>
      </c>
      <c r="U1619">
        <v>0</v>
      </c>
    </row>
    <row r="1620" spans="1:21" x14ac:dyDescent="0.25">
      <c r="A1620">
        <v>9776948</v>
      </c>
      <c r="B1620" t="s">
        <v>15</v>
      </c>
      <c r="C1620" s="1">
        <v>43076</v>
      </c>
      <c r="D1620" s="2">
        <f>YEAR(C1620)</f>
        <v>2017</v>
      </c>
      <c r="E1620">
        <v>1150000</v>
      </c>
      <c r="F1620" t="s">
        <v>85</v>
      </c>
      <c r="G1620">
        <v>2017</v>
      </c>
      <c r="H1620">
        <v>2713</v>
      </c>
      <c r="I1620" t="s">
        <v>87</v>
      </c>
      <c r="J1620">
        <v>62</v>
      </c>
      <c r="K1620">
        <v>60062</v>
      </c>
      <c r="L1620">
        <v>4969</v>
      </c>
      <c r="M1620">
        <v>14</v>
      </c>
      <c r="N1620">
        <v>5</v>
      </c>
      <c r="O1620">
        <v>1</v>
      </c>
      <c r="P1620" t="s">
        <v>79</v>
      </c>
      <c r="Q1620">
        <v>5</v>
      </c>
      <c r="R1620">
        <v>1</v>
      </c>
      <c r="S1620" t="s">
        <v>21</v>
      </c>
      <c r="T1620">
        <v>3</v>
      </c>
      <c r="U1620">
        <v>0</v>
      </c>
    </row>
    <row r="1621" spans="1:21" x14ac:dyDescent="0.25">
      <c r="A1621">
        <v>9505603</v>
      </c>
      <c r="B1621" t="s">
        <v>15</v>
      </c>
      <c r="C1621" s="1">
        <v>42921</v>
      </c>
      <c r="D1621" s="2">
        <f>YEAR(C1621)</f>
        <v>2017</v>
      </c>
      <c r="E1621">
        <v>1240000</v>
      </c>
      <c r="F1621" t="s">
        <v>85</v>
      </c>
      <c r="G1621">
        <v>2017</v>
      </c>
      <c r="H1621">
        <v>2705</v>
      </c>
      <c r="I1621" t="s">
        <v>87</v>
      </c>
      <c r="J1621">
        <v>62</v>
      </c>
      <c r="K1621">
        <v>60062</v>
      </c>
      <c r="L1621">
        <v>4908</v>
      </c>
      <c r="M1621">
        <v>14</v>
      </c>
      <c r="N1621">
        <v>5</v>
      </c>
      <c r="O1621">
        <v>1</v>
      </c>
      <c r="P1621" t="s">
        <v>79</v>
      </c>
      <c r="Q1621">
        <v>5</v>
      </c>
      <c r="R1621">
        <v>1</v>
      </c>
      <c r="S1621" t="s">
        <v>21</v>
      </c>
      <c r="T1621">
        <v>3</v>
      </c>
      <c r="U1621">
        <v>0</v>
      </c>
    </row>
    <row r="1622" spans="1:21" x14ac:dyDescent="0.25">
      <c r="A1622">
        <v>9518193</v>
      </c>
      <c r="B1622" t="s">
        <v>15</v>
      </c>
      <c r="C1622" s="1">
        <v>42888</v>
      </c>
      <c r="D1622" s="2">
        <f>YEAR(C1622)</f>
        <v>2017</v>
      </c>
      <c r="E1622">
        <v>1425000</v>
      </c>
      <c r="F1622" t="s">
        <v>85</v>
      </c>
      <c r="G1622">
        <v>2017</v>
      </c>
      <c r="H1622">
        <v>2738</v>
      </c>
      <c r="I1622" t="s">
        <v>357</v>
      </c>
      <c r="J1622">
        <v>62</v>
      </c>
      <c r="K1622">
        <v>60062</v>
      </c>
      <c r="L1622">
        <v>4800</v>
      </c>
      <c r="M1622">
        <v>11</v>
      </c>
      <c r="N1622">
        <v>5</v>
      </c>
      <c r="O1622">
        <v>1</v>
      </c>
      <c r="P1622" t="s">
        <v>79</v>
      </c>
      <c r="Q1622">
        <v>5</v>
      </c>
      <c r="R1622">
        <v>0</v>
      </c>
      <c r="S1622" t="s">
        <v>21</v>
      </c>
      <c r="T1622">
        <v>3</v>
      </c>
      <c r="U1622">
        <v>0</v>
      </c>
    </row>
    <row r="1623" spans="1:21" x14ac:dyDescent="0.25">
      <c r="A1623">
        <v>9679548</v>
      </c>
      <c r="B1623" t="s">
        <v>15</v>
      </c>
      <c r="C1623" s="1">
        <v>42993</v>
      </c>
      <c r="D1623" s="2">
        <f>YEAR(C1623)</f>
        <v>2017</v>
      </c>
      <c r="E1623">
        <v>1195000</v>
      </c>
      <c r="F1623" t="s">
        <v>85</v>
      </c>
      <c r="G1623">
        <v>2017</v>
      </c>
      <c r="H1623">
        <v>30</v>
      </c>
      <c r="I1623" t="s">
        <v>544</v>
      </c>
      <c r="J1623">
        <v>62</v>
      </c>
      <c r="K1623">
        <v>60062</v>
      </c>
      <c r="L1623">
        <v>4500</v>
      </c>
      <c r="M1623">
        <v>13</v>
      </c>
      <c r="N1623">
        <v>5</v>
      </c>
      <c r="O1623">
        <v>1</v>
      </c>
      <c r="P1623" t="s">
        <v>79</v>
      </c>
      <c r="Q1623">
        <v>5</v>
      </c>
      <c r="R1623">
        <v>1</v>
      </c>
      <c r="S1623" t="s">
        <v>21</v>
      </c>
      <c r="T1623">
        <v>3</v>
      </c>
      <c r="U1623">
        <v>0</v>
      </c>
    </row>
    <row r="1624" spans="1:21" x14ac:dyDescent="0.25">
      <c r="A1624">
        <v>9664176</v>
      </c>
      <c r="B1624" t="s">
        <v>15</v>
      </c>
      <c r="C1624" s="1">
        <v>43308</v>
      </c>
      <c r="D1624" s="2">
        <f>YEAR(C1624)</f>
        <v>2018</v>
      </c>
      <c r="E1624">
        <v>1349900</v>
      </c>
      <c r="F1624" t="s">
        <v>85</v>
      </c>
      <c r="G1624">
        <v>2017</v>
      </c>
      <c r="H1624">
        <v>2367</v>
      </c>
      <c r="I1624" t="s">
        <v>131</v>
      </c>
      <c r="J1624">
        <v>62</v>
      </c>
      <c r="K1624">
        <v>60062</v>
      </c>
      <c r="L1624">
        <v>4400</v>
      </c>
      <c r="M1624">
        <v>12</v>
      </c>
      <c r="N1624">
        <v>5</v>
      </c>
      <c r="O1624">
        <v>1</v>
      </c>
      <c r="P1624" t="s">
        <v>79</v>
      </c>
      <c r="Q1624">
        <v>5</v>
      </c>
      <c r="R1624">
        <v>0</v>
      </c>
      <c r="S1624" t="s">
        <v>21</v>
      </c>
      <c r="T1624">
        <v>3</v>
      </c>
      <c r="U1624">
        <v>0</v>
      </c>
    </row>
    <row r="1625" spans="1:21" x14ac:dyDescent="0.25">
      <c r="A1625">
        <v>9631305</v>
      </c>
      <c r="B1625" t="s">
        <v>15</v>
      </c>
      <c r="C1625" s="1">
        <v>43145</v>
      </c>
      <c r="D1625" s="2">
        <f>YEAR(C1625)</f>
        <v>2018</v>
      </c>
      <c r="E1625">
        <v>1295000</v>
      </c>
      <c r="F1625" t="s">
        <v>85</v>
      </c>
      <c r="G1625">
        <v>2017</v>
      </c>
      <c r="H1625">
        <v>2207</v>
      </c>
      <c r="I1625" t="s">
        <v>206</v>
      </c>
      <c r="J1625">
        <v>62</v>
      </c>
      <c r="K1625">
        <v>60062</v>
      </c>
      <c r="L1625">
        <v>4050</v>
      </c>
      <c r="M1625">
        <v>11</v>
      </c>
      <c r="N1625">
        <v>5</v>
      </c>
      <c r="O1625">
        <v>1</v>
      </c>
      <c r="P1625" t="s">
        <v>79</v>
      </c>
      <c r="Q1625">
        <v>5</v>
      </c>
      <c r="R1625">
        <v>0</v>
      </c>
      <c r="S1625" t="s">
        <v>21</v>
      </c>
      <c r="T1625">
        <v>3</v>
      </c>
      <c r="U1625">
        <v>0</v>
      </c>
    </row>
    <row r="1626" spans="1:21" x14ac:dyDescent="0.25">
      <c r="A1626">
        <v>9571319</v>
      </c>
      <c r="B1626" t="s">
        <v>15</v>
      </c>
      <c r="C1626" s="1">
        <v>42985</v>
      </c>
      <c r="D1626" s="2">
        <f>YEAR(C1626)</f>
        <v>2017</v>
      </c>
      <c r="E1626">
        <v>1200000</v>
      </c>
      <c r="F1626" t="s">
        <v>85</v>
      </c>
      <c r="G1626">
        <v>2017</v>
      </c>
      <c r="H1626">
        <v>1819</v>
      </c>
      <c r="I1626" t="s">
        <v>433</v>
      </c>
      <c r="J1626">
        <v>62</v>
      </c>
      <c r="K1626">
        <v>60062</v>
      </c>
      <c r="L1626">
        <v>3430</v>
      </c>
      <c r="M1626">
        <v>11</v>
      </c>
      <c r="N1626">
        <v>5</v>
      </c>
      <c r="O1626">
        <v>1</v>
      </c>
      <c r="P1626" t="s">
        <v>79</v>
      </c>
      <c r="Q1626">
        <v>4</v>
      </c>
      <c r="R1626">
        <v>1</v>
      </c>
      <c r="S1626" t="s">
        <v>21</v>
      </c>
      <c r="T1626">
        <v>3</v>
      </c>
      <c r="U1626">
        <v>0</v>
      </c>
    </row>
    <row r="1627" spans="1:21" x14ac:dyDescent="0.25">
      <c r="A1627">
        <v>9370062</v>
      </c>
      <c r="B1627" t="s">
        <v>15</v>
      </c>
      <c r="C1627" s="1">
        <v>42908</v>
      </c>
      <c r="D1627" s="2">
        <f>YEAR(C1627)</f>
        <v>2017</v>
      </c>
      <c r="E1627">
        <v>1231422</v>
      </c>
      <c r="F1627" t="s">
        <v>85</v>
      </c>
      <c r="G1627">
        <v>2017</v>
      </c>
      <c r="H1627">
        <v>2228</v>
      </c>
      <c r="I1627" t="s">
        <v>170</v>
      </c>
      <c r="J1627">
        <v>62</v>
      </c>
      <c r="K1627">
        <v>60062</v>
      </c>
      <c r="L1627">
        <v>3402</v>
      </c>
      <c r="M1627">
        <v>10</v>
      </c>
      <c r="N1627">
        <v>4</v>
      </c>
      <c r="O1627">
        <v>1</v>
      </c>
      <c r="P1627" t="s">
        <v>79</v>
      </c>
      <c r="Q1627">
        <v>4</v>
      </c>
      <c r="R1627">
        <v>1</v>
      </c>
      <c r="S1627" t="s">
        <v>21</v>
      </c>
      <c r="T1627">
        <v>2</v>
      </c>
      <c r="U1627">
        <v>0</v>
      </c>
    </row>
    <row r="1628" spans="1:21" x14ac:dyDescent="0.25">
      <c r="A1628">
        <v>9871110</v>
      </c>
      <c r="B1628" t="s">
        <v>15</v>
      </c>
      <c r="C1628" s="1">
        <v>43217</v>
      </c>
      <c r="D1628" s="2">
        <f>YEAR(C1628)</f>
        <v>2018</v>
      </c>
      <c r="E1628">
        <v>1209500</v>
      </c>
      <c r="F1628" t="s">
        <v>85</v>
      </c>
      <c r="G1628">
        <v>2017</v>
      </c>
      <c r="H1628">
        <v>2215</v>
      </c>
      <c r="I1628" t="s">
        <v>280</v>
      </c>
      <c r="J1628">
        <v>62</v>
      </c>
      <c r="K1628">
        <v>60062</v>
      </c>
      <c r="L1628">
        <v>3214</v>
      </c>
      <c r="M1628">
        <v>10</v>
      </c>
      <c r="N1628">
        <v>4</v>
      </c>
      <c r="O1628">
        <v>1</v>
      </c>
      <c r="P1628" t="s">
        <v>79</v>
      </c>
      <c r="Q1628">
        <v>4</v>
      </c>
      <c r="R1628">
        <v>1</v>
      </c>
      <c r="S1628" t="s">
        <v>21</v>
      </c>
      <c r="T1628">
        <v>2</v>
      </c>
      <c r="U1628">
        <v>0</v>
      </c>
    </row>
    <row r="1629" spans="1:21" x14ac:dyDescent="0.25">
      <c r="A1629">
        <v>9590514</v>
      </c>
      <c r="B1629" t="s">
        <v>15</v>
      </c>
      <c r="C1629" s="1">
        <v>43202</v>
      </c>
      <c r="D1629" s="2">
        <f>YEAR(C1629)</f>
        <v>2018</v>
      </c>
      <c r="E1629">
        <v>1005500</v>
      </c>
      <c r="F1629" t="s">
        <v>85</v>
      </c>
      <c r="G1629">
        <v>2017</v>
      </c>
      <c r="H1629">
        <v>2424</v>
      </c>
      <c r="I1629" t="s">
        <v>116</v>
      </c>
      <c r="J1629">
        <v>62</v>
      </c>
      <c r="K1629">
        <v>60062</v>
      </c>
      <c r="L1629">
        <v>3000</v>
      </c>
      <c r="M1629">
        <v>11</v>
      </c>
      <c r="N1629">
        <v>4</v>
      </c>
      <c r="O1629">
        <v>1</v>
      </c>
      <c r="P1629" t="s">
        <v>79</v>
      </c>
      <c r="Q1629">
        <v>4</v>
      </c>
      <c r="R1629">
        <v>1</v>
      </c>
      <c r="S1629" t="s">
        <v>21</v>
      </c>
      <c r="T1629">
        <v>2</v>
      </c>
      <c r="U1629">
        <v>0</v>
      </c>
    </row>
    <row r="1630" spans="1:21" x14ac:dyDescent="0.25">
      <c r="A1630">
        <v>9688615</v>
      </c>
      <c r="B1630" t="s">
        <v>15</v>
      </c>
      <c r="C1630" s="1">
        <v>43040</v>
      </c>
      <c r="D1630" s="2">
        <f>YEAR(C1630)</f>
        <v>2017</v>
      </c>
      <c r="E1630">
        <v>990000</v>
      </c>
      <c r="F1630" t="s">
        <v>85</v>
      </c>
      <c r="G1630">
        <v>2017</v>
      </c>
      <c r="H1630">
        <v>2229</v>
      </c>
      <c r="I1630" t="s">
        <v>170</v>
      </c>
      <c r="J1630">
        <v>62</v>
      </c>
      <c r="K1630">
        <v>60062</v>
      </c>
      <c r="L1630">
        <v>2970</v>
      </c>
      <c r="M1630">
        <v>10</v>
      </c>
      <c r="N1630">
        <v>4</v>
      </c>
      <c r="O1630">
        <v>1</v>
      </c>
      <c r="P1630" t="s">
        <v>79</v>
      </c>
      <c r="Q1630">
        <v>4</v>
      </c>
      <c r="R1630">
        <v>1</v>
      </c>
      <c r="S1630" t="s">
        <v>21</v>
      </c>
      <c r="T1630">
        <v>2</v>
      </c>
      <c r="U1630">
        <v>0</v>
      </c>
    </row>
    <row r="1631" spans="1:21" x14ac:dyDescent="0.25">
      <c r="A1631">
        <v>9792017</v>
      </c>
      <c r="B1631" t="s">
        <v>15</v>
      </c>
      <c r="C1631" s="1">
        <v>43159</v>
      </c>
      <c r="D1631" s="2">
        <f>YEAR(C1631)</f>
        <v>2018</v>
      </c>
      <c r="E1631">
        <v>810000</v>
      </c>
      <c r="F1631" t="s">
        <v>85</v>
      </c>
      <c r="G1631">
        <v>2017</v>
      </c>
      <c r="H1631">
        <v>850</v>
      </c>
      <c r="I1631" t="s">
        <v>112</v>
      </c>
      <c r="J1631">
        <v>62</v>
      </c>
      <c r="K1631">
        <v>60062</v>
      </c>
      <c r="L1631">
        <v>2593</v>
      </c>
      <c r="M1631">
        <v>10</v>
      </c>
      <c r="N1631">
        <v>2</v>
      </c>
      <c r="O1631">
        <v>1</v>
      </c>
      <c r="P1631" t="s">
        <v>79</v>
      </c>
      <c r="Q1631">
        <v>4</v>
      </c>
      <c r="R1631">
        <v>1</v>
      </c>
      <c r="S1631" t="s">
        <v>21</v>
      </c>
      <c r="T1631">
        <v>2</v>
      </c>
      <c r="U1631">
        <v>0</v>
      </c>
    </row>
    <row r="1632" spans="1:21" x14ac:dyDescent="0.25">
      <c r="A1632">
        <v>9586502</v>
      </c>
      <c r="B1632" t="s">
        <v>15</v>
      </c>
      <c r="C1632" s="1">
        <v>42962</v>
      </c>
      <c r="D1632" s="2">
        <f>YEAR(C1632)</f>
        <v>2017</v>
      </c>
      <c r="E1632">
        <v>862500</v>
      </c>
      <c r="F1632" t="s">
        <v>85</v>
      </c>
      <c r="G1632">
        <v>2017</v>
      </c>
      <c r="H1632">
        <v>1954</v>
      </c>
      <c r="I1632" t="s">
        <v>91</v>
      </c>
      <c r="J1632">
        <v>62</v>
      </c>
      <c r="K1632">
        <v>60062</v>
      </c>
      <c r="L1632">
        <v>2571</v>
      </c>
      <c r="M1632">
        <v>10</v>
      </c>
      <c r="N1632">
        <v>3</v>
      </c>
      <c r="O1632">
        <v>1</v>
      </c>
      <c r="P1632" t="s">
        <v>79</v>
      </c>
      <c r="Q1632">
        <v>4</v>
      </c>
      <c r="R1632">
        <v>1</v>
      </c>
      <c r="S1632" t="s">
        <v>21</v>
      </c>
      <c r="T1632">
        <v>2</v>
      </c>
      <c r="U1632">
        <v>0</v>
      </c>
    </row>
    <row r="1633" spans="1:21" x14ac:dyDescent="0.25">
      <c r="A1633">
        <v>10113836</v>
      </c>
      <c r="B1633" t="s">
        <v>15</v>
      </c>
      <c r="C1633" s="1">
        <v>43522</v>
      </c>
      <c r="D1633" s="2">
        <f>YEAR(C1633)</f>
        <v>2019</v>
      </c>
      <c r="E1633">
        <v>1480000</v>
      </c>
      <c r="F1633" t="s">
        <v>85</v>
      </c>
      <c r="G1633">
        <v>2018</v>
      </c>
      <c r="H1633">
        <v>2508</v>
      </c>
      <c r="I1633" t="s">
        <v>160</v>
      </c>
      <c r="J1633">
        <v>62</v>
      </c>
      <c r="K1633">
        <v>60062</v>
      </c>
      <c r="L1633">
        <v>7000</v>
      </c>
      <c r="M1633">
        <v>12</v>
      </c>
      <c r="N1633">
        <v>5</v>
      </c>
      <c r="O1633">
        <v>1</v>
      </c>
      <c r="P1633" t="s">
        <v>79</v>
      </c>
      <c r="Q1633">
        <v>5</v>
      </c>
      <c r="R1633">
        <v>1</v>
      </c>
      <c r="S1633" t="s">
        <v>21</v>
      </c>
      <c r="T1633">
        <v>3</v>
      </c>
      <c r="U1633">
        <v>0</v>
      </c>
    </row>
    <row r="1634" spans="1:21" x14ac:dyDescent="0.25">
      <c r="A1634">
        <v>10131506</v>
      </c>
      <c r="B1634" t="s">
        <v>15</v>
      </c>
      <c r="C1634" s="1">
        <v>43473</v>
      </c>
      <c r="D1634" s="2">
        <f>YEAR(C1634)</f>
        <v>2019</v>
      </c>
      <c r="E1634">
        <v>1475000</v>
      </c>
      <c r="F1634" t="s">
        <v>85</v>
      </c>
      <c r="G1634">
        <v>2018</v>
      </c>
      <c r="H1634">
        <v>3905</v>
      </c>
      <c r="I1634" t="s">
        <v>170</v>
      </c>
      <c r="J1634">
        <v>62</v>
      </c>
      <c r="K1634">
        <v>60062</v>
      </c>
      <c r="L1634">
        <v>6000</v>
      </c>
      <c r="M1634">
        <v>12</v>
      </c>
      <c r="N1634">
        <v>6</v>
      </c>
      <c r="O1634">
        <v>1</v>
      </c>
      <c r="P1634" t="s">
        <v>79</v>
      </c>
      <c r="Q1634">
        <v>5</v>
      </c>
      <c r="R1634">
        <v>1</v>
      </c>
      <c r="S1634" t="s">
        <v>21</v>
      </c>
      <c r="T1634">
        <v>3</v>
      </c>
      <c r="U1634">
        <v>0</v>
      </c>
    </row>
    <row r="1635" spans="1:21" x14ac:dyDescent="0.25">
      <c r="A1635">
        <v>9836904</v>
      </c>
      <c r="B1635" t="s">
        <v>15</v>
      </c>
      <c r="C1635" s="1">
        <v>43424</v>
      </c>
      <c r="D1635" s="2">
        <f>YEAR(C1635)</f>
        <v>2018</v>
      </c>
      <c r="E1635">
        <v>1030000</v>
      </c>
      <c r="F1635" t="s">
        <v>85</v>
      </c>
      <c r="G1635">
        <v>2018</v>
      </c>
      <c r="H1635">
        <v>3470</v>
      </c>
      <c r="I1635" t="s">
        <v>363</v>
      </c>
      <c r="J1635">
        <v>62</v>
      </c>
      <c r="K1635">
        <v>60062</v>
      </c>
      <c r="L1635">
        <v>5600</v>
      </c>
      <c r="M1635">
        <v>13</v>
      </c>
      <c r="N1635">
        <v>4</v>
      </c>
      <c r="O1635">
        <v>1</v>
      </c>
      <c r="P1635" t="s">
        <v>79</v>
      </c>
      <c r="Q1635">
        <v>4</v>
      </c>
      <c r="R1635">
        <v>1</v>
      </c>
      <c r="S1635" t="s">
        <v>21</v>
      </c>
      <c r="T1635">
        <v>3</v>
      </c>
      <c r="U1635">
        <v>0</v>
      </c>
    </row>
    <row r="1636" spans="1:21" x14ac:dyDescent="0.25">
      <c r="A1636">
        <v>9868734</v>
      </c>
      <c r="B1636" t="s">
        <v>15</v>
      </c>
      <c r="C1636" s="1">
        <v>43263</v>
      </c>
      <c r="D1636" s="2">
        <f>YEAR(C1636)</f>
        <v>2018</v>
      </c>
      <c r="E1636">
        <v>1350000</v>
      </c>
      <c r="F1636" t="s">
        <v>85</v>
      </c>
      <c r="G1636">
        <v>2018</v>
      </c>
      <c r="H1636">
        <v>1851</v>
      </c>
      <c r="I1636" t="s">
        <v>247</v>
      </c>
      <c r="J1636">
        <v>62</v>
      </c>
      <c r="K1636">
        <v>60062</v>
      </c>
      <c r="L1636">
        <v>5450</v>
      </c>
      <c r="M1636">
        <v>13</v>
      </c>
      <c r="N1636">
        <v>5</v>
      </c>
      <c r="O1636">
        <v>2</v>
      </c>
      <c r="P1636" t="s">
        <v>79</v>
      </c>
      <c r="Q1636">
        <v>5</v>
      </c>
      <c r="R1636">
        <v>0</v>
      </c>
      <c r="S1636" t="s">
        <v>21</v>
      </c>
      <c r="T1636">
        <v>3</v>
      </c>
      <c r="U1636">
        <v>0</v>
      </c>
    </row>
    <row r="1637" spans="1:21" x14ac:dyDescent="0.25">
      <c r="A1637">
        <v>9977972</v>
      </c>
      <c r="B1637" t="s">
        <v>15</v>
      </c>
      <c r="C1637" s="1">
        <v>43370</v>
      </c>
      <c r="D1637" s="2">
        <f>YEAR(C1637)</f>
        <v>2018</v>
      </c>
      <c r="E1637">
        <v>1320000</v>
      </c>
      <c r="F1637" t="s">
        <v>85</v>
      </c>
      <c r="G1637">
        <v>2018</v>
      </c>
      <c r="H1637">
        <v>2168</v>
      </c>
      <c r="I1637" t="s">
        <v>225</v>
      </c>
      <c r="J1637">
        <v>62</v>
      </c>
      <c r="K1637">
        <v>60062</v>
      </c>
      <c r="L1637">
        <v>4420</v>
      </c>
      <c r="M1637">
        <v>13</v>
      </c>
      <c r="N1637">
        <v>5</v>
      </c>
      <c r="O1637">
        <v>1</v>
      </c>
      <c r="P1637" t="s">
        <v>79</v>
      </c>
      <c r="Q1637">
        <v>5</v>
      </c>
      <c r="R1637">
        <v>1</v>
      </c>
      <c r="S1637" t="s">
        <v>21</v>
      </c>
      <c r="T1637">
        <v>2</v>
      </c>
      <c r="U1637">
        <v>0</v>
      </c>
    </row>
    <row r="1638" spans="1:21" x14ac:dyDescent="0.25">
      <c r="A1638">
        <v>9769842</v>
      </c>
      <c r="B1638" t="s">
        <v>15</v>
      </c>
      <c r="C1638" s="1">
        <v>43209</v>
      </c>
      <c r="D1638" s="2">
        <f>YEAR(C1638)</f>
        <v>2018</v>
      </c>
      <c r="E1638">
        <v>1365000</v>
      </c>
      <c r="F1638" t="s">
        <v>85</v>
      </c>
      <c r="G1638">
        <v>2018</v>
      </c>
      <c r="H1638">
        <v>2036</v>
      </c>
      <c r="I1638" t="s">
        <v>160</v>
      </c>
      <c r="J1638">
        <v>62</v>
      </c>
      <c r="K1638">
        <v>60062</v>
      </c>
      <c r="L1638">
        <v>4366</v>
      </c>
      <c r="M1638">
        <v>12</v>
      </c>
      <c r="N1638">
        <v>4</v>
      </c>
      <c r="O1638">
        <v>1</v>
      </c>
      <c r="P1638" t="s">
        <v>79</v>
      </c>
      <c r="Q1638">
        <v>4</v>
      </c>
      <c r="R1638">
        <v>1</v>
      </c>
      <c r="S1638" t="s">
        <v>21</v>
      </c>
      <c r="T1638">
        <v>3</v>
      </c>
      <c r="U1638">
        <v>0</v>
      </c>
    </row>
    <row r="1639" spans="1:21" x14ac:dyDescent="0.25">
      <c r="A1639">
        <v>9842133</v>
      </c>
      <c r="B1639" t="s">
        <v>15</v>
      </c>
      <c r="C1639" s="1">
        <v>43406</v>
      </c>
      <c r="D1639" s="2">
        <f>YEAR(C1639)</f>
        <v>2018</v>
      </c>
      <c r="E1639">
        <v>1195900</v>
      </c>
      <c r="F1639" t="s">
        <v>85</v>
      </c>
      <c r="G1639">
        <v>2018</v>
      </c>
      <c r="H1639">
        <v>1948</v>
      </c>
      <c r="I1639" t="s">
        <v>141</v>
      </c>
      <c r="J1639">
        <v>62</v>
      </c>
      <c r="K1639">
        <v>60062</v>
      </c>
      <c r="L1639">
        <v>3600</v>
      </c>
      <c r="M1639">
        <v>12</v>
      </c>
      <c r="N1639">
        <v>4</v>
      </c>
      <c r="O1639">
        <v>1</v>
      </c>
      <c r="P1639" t="s">
        <v>79</v>
      </c>
      <c r="Q1639">
        <v>4</v>
      </c>
      <c r="R1639">
        <v>1</v>
      </c>
      <c r="S1639" t="s">
        <v>21</v>
      </c>
      <c r="T1639">
        <v>3</v>
      </c>
      <c r="U1639">
        <v>0</v>
      </c>
    </row>
    <row r="1640" spans="1:21" x14ac:dyDescent="0.25">
      <c r="A1640">
        <v>10087550</v>
      </c>
      <c r="B1640" t="s">
        <v>15</v>
      </c>
      <c r="C1640" s="1">
        <v>43511</v>
      </c>
      <c r="D1640" s="2">
        <f>YEAR(C1640)</f>
        <v>2019</v>
      </c>
      <c r="E1640">
        <v>1010000</v>
      </c>
      <c r="F1640" t="s">
        <v>85</v>
      </c>
      <c r="G1640">
        <v>2018</v>
      </c>
      <c r="H1640">
        <v>2536</v>
      </c>
      <c r="I1640" t="s">
        <v>170</v>
      </c>
      <c r="J1640">
        <v>62</v>
      </c>
      <c r="K1640">
        <v>60062</v>
      </c>
      <c r="L1640">
        <v>3000</v>
      </c>
      <c r="M1640">
        <v>11</v>
      </c>
      <c r="N1640">
        <v>4</v>
      </c>
      <c r="O1640">
        <v>1</v>
      </c>
      <c r="P1640" t="s">
        <v>79</v>
      </c>
      <c r="Q1640">
        <v>4</v>
      </c>
      <c r="R1640">
        <v>1</v>
      </c>
      <c r="S1640" t="s">
        <v>21</v>
      </c>
      <c r="T1640">
        <v>2</v>
      </c>
      <c r="U1640">
        <v>0</v>
      </c>
    </row>
    <row r="1641" spans="1:21" x14ac:dyDescent="0.25">
      <c r="A1641">
        <v>9965746</v>
      </c>
      <c r="B1641" t="s">
        <v>15</v>
      </c>
      <c r="C1641" s="1">
        <v>43298</v>
      </c>
      <c r="D1641" s="2">
        <f>YEAR(C1641)</f>
        <v>2018</v>
      </c>
      <c r="E1641">
        <v>890000</v>
      </c>
      <c r="F1641" t="s">
        <v>85</v>
      </c>
      <c r="G1641">
        <v>2018</v>
      </c>
      <c r="H1641">
        <v>1370</v>
      </c>
      <c r="I1641" t="s">
        <v>545</v>
      </c>
      <c r="J1641">
        <v>62</v>
      </c>
      <c r="K1641">
        <v>60062</v>
      </c>
      <c r="L1641">
        <v>3000</v>
      </c>
      <c r="M1641">
        <v>9</v>
      </c>
      <c r="N1641">
        <v>4</v>
      </c>
      <c r="O1641">
        <v>0</v>
      </c>
      <c r="P1641" t="s">
        <v>79</v>
      </c>
      <c r="Q1641">
        <v>4</v>
      </c>
      <c r="R1641">
        <v>1</v>
      </c>
      <c r="S1641" t="s">
        <v>22</v>
      </c>
      <c r="T1641">
        <v>2.5</v>
      </c>
      <c r="U1641">
        <v>0</v>
      </c>
    </row>
    <row r="1642" spans="1:21" x14ac:dyDescent="0.25">
      <c r="A1642">
        <v>9562761</v>
      </c>
      <c r="B1642" t="s">
        <v>15</v>
      </c>
      <c r="C1642" s="1">
        <v>42874</v>
      </c>
      <c r="D1642" s="2">
        <f>YEAR(C1642)</f>
        <v>2017</v>
      </c>
      <c r="E1642">
        <v>215000</v>
      </c>
      <c r="F1642" t="s">
        <v>85</v>
      </c>
      <c r="G1642">
        <v>1949</v>
      </c>
      <c r="H1642">
        <v>8621</v>
      </c>
      <c r="I1642" t="s">
        <v>454</v>
      </c>
      <c r="J1642">
        <v>76</v>
      </c>
      <c r="K1642">
        <v>60077</v>
      </c>
      <c r="L1642">
        <v>1005</v>
      </c>
      <c r="M1642">
        <v>5</v>
      </c>
      <c r="N1642">
        <v>1</v>
      </c>
      <c r="O1642">
        <v>0</v>
      </c>
      <c r="P1642" t="s">
        <v>18</v>
      </c>
      <c r="Q1642">
        <v>2</v>
      </c>
      <c r="R1642">
        <v>0</v>
      </c>
      <c r="S1642" t="s">
        <v>21</v>
      </c>
      <c r="T1642">
        <v>1</v>
      </c>
      <c r="U1642">
        <v>0</v>
      </c>
    </row>
    <row r="1643" spans="1:21" x14ac:dyDescent="0.25">
      <c r="A1643">
        <v>9855880</v>
      </c>
      <c r="B1643" t="s">
        <v>15</v>
      </c>
      <c r="C1643" s="1">
        <v>43206</v>
      </c>
      <c r="D1643" s="2">
        <f>YEAR(C1643)</f>
        <v>2018</v>
      </c>
      <c r="E1643">
        <v>330000</v>
      </c>
      <c r="F1643" t="s">
        <v>85</v>
      </c>
      <c r="G1643">
        <v>1952</v>
      </c>
      <c r="H1643">
        <v>2120</v>
      </c>
      <c r="I1643" t="s">
        <v>247</v>
      </c>
      <c r="J1643">
        <v>62</v>
      </c>
      <c r="K1643">
        <v>60062</v>
      </c>
      <c r="L1643">
        <v>2400</v>
      </c>
      <c r="M1643">
        <v>9</v>
      </c>
      <c r="N1643">
        <v>2</v>
      </c>
      <c r="O1643">
        <v>1</v>
      </c>
      <c r="P1643" t="s">
        <v>18</v>
      </c>
      <c r="Q1643">
        <v>3</v>
      </c>
      <c r="R1643">
        <v>0</v>
      </c>
      <c r="S1643" t="s">
        <v>21</v>
      </c>
      <c r="T1643">
        <v>2.5</v>
      </c>
      <c r="U1643">
        <v>0</v>
      </c>
    </row>
    <row r="1644" spans="1:21" x14ac:dyDescent="0.25">
      <c r="A1644">
        <v>9397150</v>
      </c>
      <c r="B1644" t="s">
        <v>15</v>
      </c>
      <c r="C1644" s="1">
        <v>42893</v>
      </c>
      <c r="D1644" s="2">
        <f>YEAR(C1644)</f>
        <v>2017</v>
      </c>
      <c r="E1644">
        <v>345000</v>
      </c>
      <c r="F1644" t="s">
        <v>85</v>
      </c>
      <c r="G1644">
        <v>1954</v>
      </c>
      <c r="H1644">
        <v>8055</v>
      </c>
      <c r="I1644" t="s">
        <v>101</v>
      </c>
      <c r="J1644">
        <v>76</v>
      </c>
      <c r="K1644">
        <v>60076</v>
      </c>
      <c r="L1644">
        <v>2000</v>
      </c>
      <c r="M1644">
        <v>8</v>
      </c>
      <c r="N1644">
        <v>2</v>
      </c>
      <c r="O1644">
        <v>0</v>
      </c>
      <c r="P1644" t="s">
        <v>18</v>
      </c>
      <c r="Q1644">
        <v>4</v>
      </c>
      <c r="R1644">
        <v>0</v>
      </c>
      <c r="S1644" t="s">
        <v>21</v>
      </c>
      <c r="T1644">
        <v>2</v>
      </c>
      <c r="U1644">
        <v>0</v>
      </c>
    </row>
    <row r="1645" spans="1:21" x14ac:dyDescent="0.25">
      <c r="A1645">
        <v>10031503</v>
      </c>
      <c r="B1645" t="s">
        <v>15</v>
      </c>
      <c r="C1645" s="1">
        <v>43412</v>
      </c>
      <c r="D1645" s="2">
        <f>YEAR(C1645)</f>
        <v>2018</v>
      </c>
      <c r="E1645">
        <v>470000</v>
      </c>
      <c r="F1645" t="s">
        <v>85</v>
      </c>
      <c r="G1645">
        <v>1954</v>
      </c>
      <c r="H1645">
        <v>2835</v>
      </c>
      <c r="I1645" t="s">
        <v>96</v>
      </c>
      <c r="J1645">
        <v>62</v>
      </c>
      <c r="K1645">
        <v>60062</v>
      </c>
      <c r="L1645">
        <v>2528</v>
      </c>
      <c r="M1645">
        <v>10</v>
      </c>
      <c r="N1645">
        <v>2</v>
      </c>
      <c r="O1645">
        <v>1</v>
      </c>
      <c r="P1645" t="s">
        <v>18</v>
      </c>
      <c r="Q1645">
        <v>3</v>
      </c>
      <c r="R1645">
        <v>0</v>
      </c>
      <c r="S1645" t="s">
        <v>21</v>
      </c>
      <c r="T1645">
        <v>2</v>
      </c>
      <c r="U1645">
        <v>0</v>
      </c>
    </row>
    <row r="1646" spans="1:21" x14ac:dyDescent="0.25">
      <c r="A1646">
        <v>10073988</v>
      </c>
      <c r="B1646" t="s">
        <v>15</v>
      </c>
      <c r="C1646" s="1">
        <v>43441</v>
      </c>
      <c r="D1646" s="2">
        <f>YEAR(C1646)</f>
        <v>2018</v>
      </c>
      <c r="E1646">
        <v>240000</v>
      </c>
      <c r="F1646" t="s">
        <v>85</v>
      </c>
      <c r="G1646">
        <v>1955</v>
      </c>
      <c r="H1646">
        <v>8021</v>
      </c>
      <c r="I1646" t="s">
        <v>123</v>
      </c>
      <c r="J1646">
        <v>76</v>
      </c>
      <c r="K1646">
        <v>60076</v>
      </c>
      <c r="L1646">
        <v>1343</v>
      </c>
      <c r="M1646">
        <v>7</v>
      </c>
      <c r="N1646">
        <v>1</v>
      </c>
      <c r="O1646">
        <v>1</v>
      </c>
      <c r="P1646" t="s">
        <v>18</v>
      </c>
      <c r="Q1646">
        <v>3</v>
      </c>
      <c r="R1646">
        <v>0</v>
      </c>
      <c r="S1646" t="s">
        <v>22</v>
      </c>
      <c r="T1646">
        <v>2</v>
      </c>
      <c r="U1646">
        <v>0</v>
      </c>
    </row>
    <row r="1647" spans="1:21" x14ac:dyDescent="0.25">
      <c r="A1647">
        <v>9668717</v>
      </c>
      <c r="B1647" t="s">
        <v>15</v>
      </c>
      <c r="C1647" s="1">
        <v>42961</v>
      </c>
      <c r="D1647" s="2">
        <f>YEAR(C1647)</f>
        <v>2017</v>
      </c>
      <c r="E1647">
        <v>499900</v>
      </c>
      <c r="F1647" t="s">
        <v>85</v>
      </c>
      <c r="G1647">
        <v>1956</v>
      </c>
      <c r="H1647">
        <v>1930</v>
      </c>
      <c r="I1647" t="s">
        <v>469</v>
      </c>
      <c r="J1647">
        <v>62</v>
      </c>
      <c r="K1647">
        <v>60062</v>
      </c>
      <c r="L1647">
        <v>2551</v>
      </c>
      <c r="M1647">
        <v>9</v>
      </c>
      <c r="N1647">
        <v>2</v>
      </c>
      <c r="O1647">
        <v>1</v>
      </c>
      <c r="P1647" t="s">
        <v>18</v>
      </c>
      <c r="Q1647">
        <v>4</v>
      </c>
      <c r="R1647">
        <v>0</v>
      </c>
      <c r="S1647" t="s">
        <v>21</v>
      </c>
      <c r="T1647">
        <v>1</v>
      </c>
      <c r="U1647">
        <v>0</v>
      </c>
    </row>
    <row r="1648" spans="1:21" x14ac:dyDescent="0.25">
      <c r="A1648">
        <v>9738281</v>
      </c>
      <c r="B1648" t="s">
        <v>15</v>
      </c>
      <c r="C1648" s="1">
        <v>43046</v>
      </c>
      <c r="D1648" s="2">
        <f>YEAR(C1648)</f>
        <v>2017</v>
      </c>
      <c r="E1648">
        <v>358000</v>
      </c>
      <c r="F1648" t="s">
        <v>85</v>
      </c>
      <c r="G1648">
        <v>1956</v>
      </c>
      <c r="H1648">
        <v>1525</v>
      </c>
      <c r="I1648" t="s">
        <v>226</v>
      </c>
      <c r="J1648">
        <v>62</v>
      </c>
      <c r="K1648">
        <v>60062</v>
      </c>
      <c r="L1648">
        <v>1215</v>
      </c>
      <c r="M1648">
        <v>7</v>
      </c>
      <c r="N1648">
        <v>2</v>
      </c>
      <c r="O1648">
        <v>0</v>
      </c>
      <c r="P1648" t="s">
        <v>18</v>
      </c>
      <c r="Q1648">
        <v>3</v>
      </c>
      <c r="R1648">
        <v>0</v>
      </c>
      <c r="S1648" t="s">
        <v>21</v>
      </c>
      <c r="T1648">
        <v>2</v>
      </c>
      <c r="U1648">
        <v>0</v>
      </c>
    </row>
    <row r="1649" spans="1:21" x14ac:dyDescent="0.25">
      <c r="A1649">
        <v>9859541</v>
      </c>
      <c r="B1649" t="s">
        <v>15</v>
      </c>
      <c r="C1649" s="1">
        <v>43216</v>
      </c>
      <c r="D1649" s="2">
        <f>YEAR(C1649)</f>
        <v>2018</v>
      </c>
      <c r="E1649">
        <v>260000</v>
      </c>
      <c r="F1649" t="s">
        <v>85</v>
      </c>
      <c r="G1649">
        <v>1957</v>
      </c>
      <c r="H1649">
        <v>9022</v>
      </c>
      <c r="I1649" t="s">
        <v>222</v>
      </c>
      <c r="J1649">
        <v>76</v>
      </c>
      <c r="K1649">
        <v>60076</v>
      </c>
      <c r="L1649">
        <v>1976</v>
      </c>
      <c r="M1649">
        <v>8</v>
      </c>
      <c r="N1649">
        <v>2</v>
      </c>
      <c r="O1649">
        <v>1</v>
      </c>
      <c r="P1649" t="s">
        <v>18</v>
      </c>
      <c r="Q1649">
        <v>4</v>
      </c>
      <c r="R1649">
        <v>0</v>
      </c>
      <c r="S1649" t="s">
        <v>21</v>
      </c>
      <c r="T1649">
        <v>2</v>
      </c>
      <c r="U1649">
        <v>0</v>
      </c>
    </row>
    <row r="1650" spans="1:21" x14ac:dyDescent="0.25">
      <c r="A1650">
        <v>10008648</v>
      </c>
      <c r="B1650" t="s">
        <v>15</v>
      </c>
      <c r="C1650" s="1">
        <v>43336</v>
      </c>
      <c r="D1650" s="2">
        <f>YEAR(C1650)</f>
        <v>2018</v>
      </c>
      <c r="E1650">
        <v>307000</v>
      </c>
      <c r="F1650" t="s">
        <v>85</v>
      </c>
      <c r="G1650">
        <v>1958</v>
      </c>
      <c r="H1650">
        <v>3911</v>
      </c>
      <c r="I1650" t="s">
        <v>447</v>
      </c>
      <c r="J1650">
        <v>76</v>
      </c>
      <c r="K1650">
        <v>60076</v>
      </c>
      <c r="L1650">
        <v>1385</v>
      </c>
      <c r="M1650">
        <v>7</v>
      </c>
      <c r="N1650">
        <v>2</v>
      </c>
      <c r="O1650">
        <v>0</v>
      </c>
      <c r="P1650" t="s">
        <v>18</v>
      </c>
      <c r="Q1650">
        <v>3</v>
      </c>
      <c r="R1650">
        <v>0</v>
      </c>
      <c r="S1650" t="s">
        <v>22</v>
      </c>
      <c r="T1650">
        <v>2</v>
      </c>
      <c r="U1650">
        <v>0</v>
      </c>
    </row>
    <row r="1651" spans="1:21" x14ac:dyDescent="0.25">
      <c r="A1651">
        <v>9524900</v>
      </c>
      <c r="B1651" t="s">
        <v>15</v>
      </c>
      <c r="C1651" s="1">
        <v>42899</v>
      </c>
      <c r="D1651" s="2">
        <f>YEAR(C1651)</f>
        <v>2017</v>
      </c>
      <c r="E1651">
        <v>490000</v>
      </c>
      <c r="F1651" t="s">
        <v>85</v>
      </c>
      <c r="G1651">
        <v>1960</v>
      </c>
      <c r="H1651">
        <v>9510</v>
      </c>
      <c r="I1651" t="s">
        <v>183</v>
      </c>
      <c r="J1651">
        <v>76</v>
      </c>
      <c r="K1651">
        <v>60076</v>
      </c>
      <c r="L1651">
        <v>2638</v>
      </c>
      <c r="M1651">
        <v>10</v>
      </c>
      <c r="N1651">
        <v>3</v>
      </c>
      <c r="O1651">
        <v>0</v>
      </c>
      <c r="P1651" t="s">
        <v>18</v>
      </c>
      <c r="Q1651">
        <v>5</v>
      </c>
      <c r="R1651">
        <v>0</v>
      </c>
      <c r="S1651" t="s">
        <v>21</v>
      </c>
      <c r="T1651">
        <v>1.5</v>
      </c>
      <c r="U1651">
        <v>0</v>
      </c>
    </row>
    <row r="1652" spans="1:21" x14ac:dyDescent="0.25">
      <c r="A1652">
        <v>9584370</v>
      </c>
      <c r="B1652" t="s">
        <v>15</v>
      </c>
      <c r="C1652" s="1">
        <v>42872</v>
      </c>
      <c r="D1652" s="2">
        <f>YEAR(C1652)</f>
        <v>2017</v>
      </c>
      <c r="E1652">
        <v>394000</v>
      </c>
      <c r="F1652" t="s">
        <v>85</v>
      </c>
      <c r="G1652">
        <v>1960</v>
      </c>
      <c r="H1652">
        <v>5222</v>
      </c>
      <c r="I1652" t="s">
        <v>546</v>
      </c>
      <c r="J1652">
        <v>76</v>
      </c>
      <c r="K1652">
        <v>60077</v>
      </c>
      <c r="L1652">
        <v>1450</v>
      </c>
      <c r="M1652">
        <v>7</v>
      </c>
      <c r="N1652">
        <v>2</v>
      </c>
      <c r="O1652">
        <v>0</v>
      </c>
      <c r="P1652" t="s">
        <v>18</v>
      </c>
      <c r="Q1652">
        <v>3</v>
      </c>
      <c r="R1652">
        <v>0</v>
      </c>
      <c r="S1652" t="s">
        <v>19</v>
      </c>
      <c r="T1652">
        <v>0</v>
      </c>
      <c r="U1652">
        <v>0</v>
      </c>
    </row>
    <row r="1653" spans="1:21" x14ac:dyDescent="0.25">
      <c r="A1653">
        <v>9727695</v>
      </c>
      <c r="B1653" t="s">
        <v>15</v>
      </c>
      <c r="C1653" s="1">
        <v>43081</v>
      </c>
      <c r="D1653" s="2">
        <f>YEAR(C1653)</f>
        <v>2017</v>
      </c>
      <c r="E1653">
        <v>360000</v>
      </c>
      <c r="F1653" t="s">
        <v>85</v>
      </c>
      <c r="G1653">
        <v>1964</v>
      </c>
      <c r="H1653">
        <v>920</v>
      </c>
      <c r="I1653" t="s">
        <v>471</v>
      </c>
      <c r="J1653">
        <v>62</v>
      </c>
      <c r="K1653">
        <v>60062</v>
      </c>
      <c r="L1653">
        <v>2100</v>
      </c>
      <c r="M1653">
        <v>7</v>
      </c>
      <c r="N1653">
        <v>2</v>
      </c>
      <c r="O1653">
        <v>0</v>
      </c>
      <c r="P1653" t="s">
        <v>18</v>
      </c>
      <c r="Q1653">
        <v>2</v>
      </c>
      <c r="R1653">
        <v>0</v>
      </c>
      <c r="S1653" t="s">
        <v>21</v>
      </c>
      <c r="T1653">
        <v>2</v>
      </c>
      <c r="U1653">
        <v>0</v>
      </c>
    </row>
    <row r="1654" spans="1:21" x14ac:dyDescent="0.25">
      <c r="A1654">
        <v>9559993</v>
      </c>
      <c r="B1654" t="s">
        <v>15</v>
      </c>
      <c r="C1654" s="1">
        <v>42853</v>
      </c>
      <c r="D1654" s="2">
        <f>YEAR(C1654)</f>
        <v>2017</v>
      </c>
      <c r="E1654">
        <v>503000</v>
      </c>
      <c r="F1654" t="s">
        <v>85</v>
      </c>
      <c r="G1654">
        <v>1965</v>
      </c>
      <c r="H1654">
        <v>2818</v>
      </c>
      <c r="I1654" t="s">
        <v>547</v>
      </c>
      <c r="J1654">
        <v>62</v>
      </c>
      <c r="K1654">
        <v>60062</v>
      </c>
      <c r="L1654">
        <v>1680</v>
      </c>
      <c r="M1654">
        <v>9</v>
      </c>
      <c r="N1654">
        <v>3</v>
      </c>
      <c r="O1654">
        <v>0</v>
      </c>
      <c r="P1654" t="s">
        <v>18</v>
      </c>
      <c r="Q1654">
        <v>4</v>
      </c>
      <c r="R1654">
        <v>0</v>
      </c>
      <c r="S1654" t="s">
        <v>21</v>
      </c>
      <c r="T1654">
        <v>2</v>
      </c>
      <c r="U1654">
        <v>0</v>
      </c>
    </row>
    <row r="1655" spans="1:21" x14ac:dyDescent="0.25">
      <c r="A1655">
        <v>9596919</v>
      </c>
      <c r="B1655" t="s">
        <v>15</v>
      </c>
      <c r="C1655" s="1">
        <v>42902</v>
      </c>
      <c r="D1655" s="2">
        <f>YEAR(C1655)</f>
        <v>2017</v>
      </c>
      <c r="E1655">
        <v>427500</v>
      </c>
      <c r="F1655" t="s">
        <v>85</v>
      </c>
      <c r="G1655">
        <v>1968</v>
      </c>
      <c r="H1655">
        <v>3440</v>
      </c>
      <c r="I1655" t="s">
        <v>405</v>
      </c>
      <c r="J1655">
        <v>62</v>
      </c>
      <c r="K1655">
        <v>60062</v>
      </c>
      <c r="L1655">
        <v>2000</v>
      </c>
      <c r="M1655">
        <v>7</v>
      </c>
      <c r="N1655">
        <v>2</v>
      </c>
      <c r="O1655">
        <v>0</v>
      </c>
      <c r="P1655" t="s">
        <v>18</v>
      </c>
      <c r="Q1655">
        <v>3</v>
      </c>
      <c r="R1655">
        <v>0</v>
      </c>
      <c r="S1655" t="s">
        <v>22</v>
      </c>
      <c r="T1655">
        <v>2</v>
      </c>
      <c r="U1655">
        <v>0</v>
      </c>
    </row>
    <row r="1656" spans="1:21" x14ac:dyDescent="0.25">
      <c r="A1656">
        <v>9948473</v>
      </c>
      <c r="B1656" t="s">
        <v>15</v>
      </c>
      <c r="C1656" s="1">
        <v>43312</v>
      </c>
      <c r="D1656" s="2">
        <f>YEAR(C1656)</f>
        <v>2018</v>
      </c>
      <c r="E1656">
        <v>240000</v>
      </c>
      <c r="F1656" t="s">
        <v>548</v>
      </c>
      <c r="G1656">
        <v>1942</v>
      </c>
      <c r="H1656">
        <v>8310</v>
      </c>
      <c r="I1656" t="s">
        <v>229</v>
      </c>
      <c r="J1656">
        <v>76</v>
      </c>
      <c r="K1656">
        <v>60076</v>
      </c>
      <c r="L1656">
        <v>1008</v>
      </c>
      <c r="M1656">
        <v>6</v>
      </c>
      <c r="N1656">
        <v>1</v>
      </c>
      <c r="O1656">
        <v>0</v>
      </c>
      <c r="P1656" t="s">
        <v>18</v>
      </c>
      <c r="Q1656">
        <v>2</v>
      </c>
      <c r="R1656">
        <v>0</v>
      </c>
      <c r="S1656" t="s">
        <v>22</v>
      </c>
      <c r="T1656">
        <v>2</v>
      </c>
      <c r="U1656">
        <v>0</v>
      </c>
    </row>
    <row r="1657" spans="1:21" x14ac:dyDescent="0.25">
      <c r="A1657">
        <v>9615691</v>
      </c>
      <c r="B1657" t="s">
        <v>15</v>
      </c>
      <c r="C1657" s="1">
        <v>42947</v>
      </c>
      <c r="D1657" s="2">
        <f>YEAR(C1657)</f>
        <v>2017</v>
      </c>
      <c r="E1657">
        <v>199900</v>
      </c>
      <c r="F1657" t="s">
        <v>548</v>
      </c>
      <c r="G1657">
        <v>1956</v>
      </c>
      <c r="H1657">
        <v>4720</v>
      </c>
      <c r="I1657" t="s">
        <v>38</v>
      </c>
      <c r="J1657">
        <v>76</v>
      </c>
      <c r="K1657">
        <v>60076</v>
      </c>
      <c r="L1657">
        <v>1200</v>
      </c>
      <c r="M1657">
        <v>6</v>
      </c>
      <c r="N1657">
        <v>1</v>
      </c>
      <c r="O1657">
        <v>1</v>
      </c>
      <c r="P1657" t="s">
        <v>18</v>
      </c>
      <c r="Q1657">
        <v>2</v>
      </c>
      <c r="R1657">
        <v>0</v>
      </c>
      <c r="S1657" t="s">
        <v>19</v>
      </c>
      <c r="T1657">
        <v>0</v>
      </c>
      <c r="U1657">
        <v>0</v>
      </c>
    </row>
    <row r="1658" spans="1:21" x14ac:dyDescent="0.25">
      <c r="A1658">
        <v>10058689</v>
      </c>
      <c r="B1658" t="s">
        <v>15</v>
      </c>
      <c r="C1658" s="1">
        <v>43388</v>
      </c>
      <c r="D1658" s="2">
        <f>YEAR(C1658)</f>
        <v>2018</v>
      </c>
      <c r="E1658">
        <v>197500</v>
      </c>
      <c r="F1658" t="s">
        <v>548</v>
      </c>
      <c r="G1658">
        <v>1956</v>
      </c>
      <c r="H1658">
        <v>4855</v>
      </c>
      <c r="I1658" t="s">
        <v>249</v>
      </c>
      <c r="J1658">
        <v>76</v>
      </c>
      <c r="K1658">
        <v>60077</v>
      </c>
      <c r="L1658">
        <v>1070</v>
      </c>
      <c r="M1658">
        <v>6</v>
      </c>
      <c r="N1658">
        <v>1</v>
      </c>
      <c r="O1658">
        <v>1</v>
      </c>
      <c r="P1658" t="s">
        <v>18</v>
      </c>
      <c r="Q1658">
        <v>2</v>
      </c>
      <c r="R1658">
        <v>0</v>
      </c>
      <c r="S1658" t="s">
        <v>19</v>
      </c>
      <c r="T1658">
        <v>0</v>
      </c>
      <c r="U1658">
        <v>0</v>
      </c>
    </row>
    <row r="1659" spans="1:21" x14ac:dyDescent="0.25">
      <c r="A1659">
        <v>10053161</v>
      </c>
      <c r="B1659" t="s">
        <v>15</v>
      </c>
      <c r="C1659" s="1">
        <v>43399</v>
      </c>
      <c r="D1659" s="2">
        <f>YEAR(C1659)</f>
        <v>2018</v>
      </c>
      <c r="E1659">
        <v>215000</v>
      </c>
      <c r="F1659" t="s">
        <v>548</v>
      </c>
      <c r="G1659">
        <v>1956</v>
      </c>
      <c r="H1659">
        <v>4863</v>
      </c>
      <c r="I1659" t="s">
        <v>249</v>
      </c>
      <c r="J1659">
        <v>76</v>
      </c>
      <c r="K1659">
        <v>60077</v>
      </c>
      <c r="L1659">
        <v>1070</v>
      </c>
      <c r="M1659">
        <v>4</v>
      </c>
      <c r="N1659">
        <v>1</v>
      </c>
      <c r="O1659">
        <v>1</v>
      </c>
      <c r="P1659" t="s">
        <v>18</v>
      </c>
      <c r="Q1659">
        <v>2</v>
      </c>
      <c r="R1659">
        <v>0</v>
      </c>
      <c r="S1659" t="s">
        <v>19</v>
      </c>
      <c r="T1659">
        <v>0</v>
      </c>
      <c r="U1659">
        <v>0</v>
      </c>
    </row>
    <row r="1660" spans="1:21" x14ac:dyDescent="0.25">
      <c r="A1660">
        <v>9474748</v>
      </c>
      <c r="B1660" t="s">
        <v>15</v>
      </c>
      <c r="C1660" s="1">
        <v>42802</v>
      </c>
      <c r="D1660" s="2">
        <f>YEAR(C1660)</f>
        <v>2017</v>
      </c>
      <c r="E1660">
        <v>161500</v>
      </c>
      <c r="F1660" t="s">
        <v>548</v>
      </c>
      <c r="G1660">
        <v>1957</v>
      </c>
      <c r="H1660">
        <v>4702</v>
      </c>
      <c r="I1660" t="s">
        <v>38</v>
      </c>
      <c r="J1660">
        <v>76</v>
      </c>
      <c r="K1660">
        <v>60076</v>
      </c>
      <c r="L1660">
        <v>1069</v>
      </c>
      <c r="M1660">
        <v>5</v>
      </c>
      <c r="N1660">
        <v>1</v>
      </c>
      <c r="O1660">
        <v>1</v>
      </c>
      <c r="P1660" t="s">
        <v>18</v>
      </c>
      <c r="Q1660">
        <v>2</v>
      </c>
      <c r="R1660">
        <v>0</v>
      </c>
      <c r="S1660" t="s">
        <v>19</v>
      </c>
      <c r="T1660">
        <v>0</v>
      </c>
      <c r="U1660">
        <v>0</v>
      </c>
    </row>
    <row r="1661" spans="1:21" x14ac:dyDescent="0.25">
      <c r="A1661">
        <v>9473024</v>
      </c>
      <c r="B1661" t="s">
        <v>15</v>
      </c>
      <c r="C1661" s="1">
        <v>42828</v>
      </c>
      <c r="D1661" s="2">
        <f>YEAR(C1661)</f>
        <v>2017</v>
      </c>
      <c r="E1661">
        <v>248000</v>
      </c>
      <c r="F1661" t="s">
        <v>548</v>
      </c>
      <c r="G1661">
        <v>1978</v>
      </c>
      <c r="H1661">
        <v>8747</v>
      </c>
      <c r="I1661" t="s">
        <v>552</v>
      </c>
      <c r="J1661">
        <v>76</v>
      </c>
      <c r="K1661">
        <v>60076</v>
      </c>
      <c r="L1661">
        <v>1800</v>
      </c>
      <c r="M1661">
        <v>6</v>
      </c>
      <c r="N1661">
        <v>2</v>
      </c>
      <c r="O1661">
        <v>1</v>
      </c>
      <c r="P1661" t="s">
        <v>18</v>
      </c>
      <c r="Q1661">
        <v>3</v>
      </c>
      <c r="R1661">
        <v>0</v>
      </c>
      <c r="S1661" t="s">
        <v>21</v>
      </c>
      <c r="T1661">
        <v>2.5</v>
      </c>
      <c r="U1661">
        <v>0</v>
      </c>
    </row>
    <row r="1662" spans="1:21" x14ac:dyDescent="0.25">
      <c r="A1662">
        <v>10035970</v>
      </c>
      <c r="B1662" t="s">
        <v>15</v>
      </c>
      <c r="C1662" s="1">
        <v>43360</v>
      </c>
      <c r="D1662" s="2">
        <f>YEAR(C1662)</f>
        <v>2018</v>
      </c>
      <c r="E1662">
        <v>249000</v>
      </c>
      <c r="F1662" t="s">
        <v>548</v>
      </c>
      <c r="G1662">
        <v>1982</v>
      </c>
      <c r="H1662">
        <v>8344</v>
      </c>
      <c r="I1662" t="s">
        <v>46</v>
      </c>
      <c r="J1662">
        <v>76</v>
      </c>
      <c r="K1662">
        <v>60077</v>
      </c>
      <c r="L1662">
        <v>1714</v>
      </c>
      <c r="M1662">
        <v>7</v>
      </c>
      <c r="N1662">
        <v>2</v>
      </c>
      <c r="O1662">
        <v>1</v>
      </c>
      <c r="P1662" t="s">
        <v>18</v>
      </c>
      <c r="Q1662">
        <v>3</v>
      </c>
      <c r="R1662">
        <v>0</v>
      </c>
      <c r="S1662" t="s">
        <v>21</v>
      </c>
      <c r="T1662">
        <v>2</v>
      </c>
      <c r="U1662">
        <v>0</v>
      </c>
    </row>
    <row r="1663" spans="1:21" x14ac:dyDescent="0.25">
      <c r="A1663">
        <v>9874308</v>
      </c>
      <c r="B1663" t="s">
        <v>15</v>
      </c>
      <c r="C1663" s="1">
        <v>43242</v>
      </c>
      <c r="D1663" s="2">
        <f>YEAR(C1663)</f>
        <v>2018</v>
      </c>
      <c r="E1663">
        <v>358000</v>
      </c>
      <c r="F1663" t="s">
        <v>548</v>
      </c>
      <c r="G1663">
        <v>1989</v>
      </c>
      <c r="H1663">
        <v>5339</v>
      </c>
      <c r="I1663" t="s">
        <v>401</v>
      </c>
      <c r="J1663">
        <v>76</v>
      </c>
      <c r="K1663">
        <v>60077</v>
      </c>
      <c r="L1663">
        <v>2193</v>
      </c>
      <c r="M1663">
        <v>8</v>
      </c>
      <c r="N1663">
        <v>2</v>
      </c>
      <c r="O1663">
        <v>1</v>
      </c>
      <c r="P1663" t="s">
        <v>18</v>
      </c>
      <c r="Q1663">
        <v>3</v>
      </c>
      <c r="R1663">
        <v>0</v>
      </c>
      <c r="S1663" t="s">
        <v>21</v>
      </c>
      <c r="T1663">
        <v>2</v>
      </c>
      <c r="U1663">
        <v>0</v>
      </c>
    </row>
    <row r="1664" spans="1:21" x14ac:dyDescent="0.25">
      <c r="A1664">
        <v>9523364</v>
      </c>
      <c r="B1664" t="s">
        <v>15</v>
      </c>
      <c r="C1664" s="1">
        <v>42885</v>
      </c>
      <c r="D1664" s="2">
        <f>YEAR(C1664)</f>
        <v>2017</v>
      </c>
      <c r="E1664">
        <v>325000</v>
      </c>
      <c r="F1664" t="s">
        <v>548</v>
      </c>
      <c r="G1664">
        <v>1989</v>
      </c>
      <c r="H1664">
        <v>5338</v>
      </c>
      <c r="I1664" t="s">
        <v>113</v>
      </c>
      <c r="J1664">
        <v>76</v>
      </c>
      <c r="K1664">
        <v>60077</v>
      </c>
      <c r="L1664">
        <v>2100</v>
      </c>
      <c r="M1664">
        <v>7</v>
      </c>
      <c r="N1664">
        <v>2</v>
      </c>
      <c r="O1664">
        <v>1</v>
      </c>
      <c r="P1664" t="s">
        <v>18</v>
      </c>
      <c r="Q1664">
        <v>3</v>
      </c>
      <c r="R1664">
        <v>0</v>
      </c>
      <c r="S1664" t="s">
        <v>21</v>
      </c>
      <c r="T1664">
        <v>2</v>
      </c>
      <c r="U1664">
        <v>0</v>
      </c>
    </row>
    <row r="1665" spans="1:21" x14ac:dyDescent="0.25">
      <c r="A1665">
        <v>9900805</v>
      </c>
      <c r="B1665" t="s">
        <v>15</v>
      </c>
      <c r="C1665" s="1">
        <v>43217</v>
      </c>
      <c r="D1665" s="2">
        <f>YEAR(C1665)</f>
        <v>2018</v>
      </c>
      <c r="E1665">
        <v>301786</v>
      </c>
      <c r="F1665" t="s">
        <v>548</v>
      </c>
      <c r="G1665">
        <v>1990</v>
      </c>
      <c r="H1665">
        <v>5335</v>
      </c>
      <c r="I1665" t="s">
        <v>69</v>
      </c>
      <c r="J1665">
        <v>76</v>
      </c>
      <c r="K1665">
        <v>60077</v>
      </c>
      <c r="L1665">
        <v>2349</v>
      </c>
      <c r="M1665">
        <v>8</v>
      </c>
      <c r="N1665">
        <v>2</v>
      </c>
      <c r="O1665">
        <v>1</v>
      </c>
      <c r="P1665" t="s">
        <v>18</v>
      </c>
      <c r="Q1665">
        <v>3</v>
      </c>
      <c r="R1665">
        <v>0</v>
      </c>
      <c r="S1665" t="s">
        <v>21</v>
      </c>
      <c r="T1665">
        <v>2</v>
      </c>
      <c r="U1665">
        <v>0</v>
      </c>
    </row>
    <row r="1666" spans="1:21" x14ac:dyDescent="0.25">
      <c r="A1666">
        <v>9571029</v>
      </c>
      <c r="B1666" t="s">
        <v>15</v>
      </c>
      <c r="C1666" s="1">
        <v>42901</v>
      </c>
      <c r="D1666" s="2">
        <f>YEAR(C1666)</f>
        <v>2017</v>
      </c>
      <c r="E1666">
        <v>390000</v>
      </c>
      <c r="F1666" t="s">
        <v>548</v>
      </c>
      <c r="G1666">
        <v>1990</v>
      </c>
      <c r="H1666">
        <v>5344</v>
      </c>
      <c r="I1666" t="s">
        <v>553</v>
      </c>
      <c r="J1666">
        <v>76</v>
      </c>
      <c r="K1666">
        <v>60077</v>
      </c>
      <c r="L1666">
        <v>2193</v>
      </c>
      <c r="M1666">
        <v>7</v>
      </c>
      <c r="N1666">
        <v>2</v>
      </c>
      <c r="O1666">
        <v>1</v>
      </c>
      <c r="P1666" t="s">
        <v>18</v>
      </c>
      <c r="Q1666">
        <v>3</v>
      </c>
      <c r="R1666">
        <v>0</v>
      </c>
      <c r="S1666" t="s">
        <v>21</v>
      </c>
      <c r="T1666">
        <v>2</v>
      </c>
      <c r="U1666">
        <v>0</v>
      </c>
    </row>
    <row r="1667" spans="1:21" x14ac:dyDescent="0.25">
      <c r="A1667">
        <v>9767931</v>
      </c>
      <c r="B1667" t="s">
        <v>15</v>
      </c>
      <c r="C1667" s="1">
        <v>43054</v>
      </c>
      <c r="D1667" s="2">
        <f>YEAR(C1667)</f>
        <v>2017</v>
      </c>
      <c r="E1667">
        <v>345000</v>
      </c>
      <c r="F1667" t="s">
        <v>548</v>
      </c>
      <c r="G1667">
        <v>1992</v>
      </c>
      <c r="H1667">
        <v>7019</v>
      </c>
      <c r="I1667" t="s">
        <v>233</v>
      </c>
      <c r="J1667">
        <v>76</v>
      </c>
      <c r="K1667">
        <v>60077</v>
      </c>
      <c r="L1667">
        <v>2448</v>
      </c>
      <c r="M1667">
        <v>7</v>
      </c>
      <c r="N1667">
        <v>2</v>
      </c>
      <c r="O1667">
        <v>1</v>
      </c>
      <c r="P1667" t="s">
        <v>18</v>
      </c>
      <c r="Q1667">
        <v>3</v>
      </c>
      <c r="R1667">
        <v>0</v>
      </c>
      <c r="S1667" t="s">
        <v>21</v>
      </c>
      <c r="T1667">
        <v>2</v>
      </c>
      <c r="U1667">
        <v>0</v>
      </c>
    </row>
    <row r="1668" spans="1:21" x14ac:dyDescent="0.25">
      <c r="A1668">
        <v>9566232</v>
      </c>
      <c r="B1668" t="s">
        <v>15</v>
      </c>
      <c r="C1668" s="1">
        <v>42880</v>
      </c>
      <c r="D1668" s="2">
        <f>YEAR(C1668)</f>
        <v>2017</v>
      </c>
      <c r="E1668">
        <v>263000</v>
      </c>
      <c r="F1668" t="s">
        <v>548</v>
      </c>
      <c r="G1668">
        <v>1995</v>
      </c>
      <c r="H1668">
        <v>5025</v>
      </c>
      <c r="I1668" t="s">
        <v>73</v>
      </c>
      <c r="J1668">
        <v>76</v>
      </c>
      <c r="K1668">
        <v>60077</v>
      </c>
      <c r="L1668">
        <v>1657</v>
      </c>
      <c r="M1668">
        <v>6</v>
      </c>
      <c r="N1668">
        <v>2</v>
      </c>
      <c r="O1668">
        <v>1</v>
      </c>
      <c r="P1668" t="s">
        <v>18</v>
      </c>
      <c r="Q1668">
        <v>2</v>
      </c>
      <c r="R1668">
        <v>0</v>
      </c>
      <c r="S1668" t="s">
        <v>21</v>
      </c>
      <c r="T1668">
        <v>2</v>
      </c>
      <c r="U1668">
        <v>0</v>
      </c>
    </row>
    <row r="1669" spans="1:21" x14ac:dyDescent="0.25">
      <c r="A1669">
        <v>9653289</v>
      </c>
      <c r="B1669" t="s">
        <v>15</v>
      </c>
      <c r="C1669" s="1">
        <v>43000</v>
      </c>
      <c r="D1669" s="2">
        <f>YEAR(C1669)</f>
        <v>2017</v>
      </c>
      <c r="E1669">
        <v>225000</v>
      </c>
      <c r="F1669" t="s">
        <v>548</v>
      </c>
      <c r="G1669">
        <v>1997</v>
      </c>
      <c r="H1669">
        <v>8023</v>
      </c>
      <c r="I1669" t="s">
        <v>69</v>
      </c>
      <c r="J1669">
        <v>76</v>
      </c>
      <c r="K1669">
        <v>60077</v>
      </c>
      <c r="L1669">
        <v>1473</v>
      </c>
      <c r="M1669">
        <v>6</v>
      </c>
      <c r="N1669">
        <v>2</v>
      </c>
      <c r="O1669">
        <v>1</v>
      </c>
      <c r="P1669" t="s">
        <v>18</v>
      </c>
      <c r="Q1669">
        <v>2</v>
      </c>
      <c r="R1669">
        <v>0</v>
      </c>
      <c r="S1669" t="s">
        <v>21</v>
      </c>
      <c r="T1669">
        <v>1</v>
      </c>
      <c r="U1669">
        <v>0</v>
      </c>
    </row>
    <row r="1670" spans="1:21" x14ac:dyDescent="0.25">
      <c r="A1670">
        <v>10133134</v>
      </c>
      <c r="B1670" t="s">
        <v>15</v>
      </c>
      <c r="C1670" s="1">
        <v>43489</v>
      </c>
      <c r="D1670" s="2">
        <f>YEAR(C1670)</f>
        <v>2019</v>
      </c>
      <c r="E1670">
        <v>359000</v>
      </c>
      <c r="F1670" t="s">
        <v>548</v>
      </c>
      <c r="G1670">
        <v>1998</v>
      </c>
      <c r="H1670">
        <v>7402</v>
      </c>
      <c r="I1670" t="s">
        <v>69</v>
      </c>
      <c r="J1670">
        <v>76</v>
      </c>
      <c r="K1670">
        <v>60076</v>
      </c>
      <c r="L1670">
        <v>1855</v>
      </c>
      <c r="M1670">
        <v>8</v>
      </c>
      <c r="N1670">
        <v>2</v>
      </c>
      <c r="O1670">
        <v>0</v>
      </c>
      <c r="P1670" t="s">
        <v>18</v>
      </c>
      <c r="Q1670">
        <v>3</v>
      </c>
      <c r="R1670">
        <v>0</v>
      </c>
      <c r="S1670" t="s">
        <v>21</v>
      </c>
      <c r="T1670">
        <v>1</v>
      </c>
      <c r="U1670">
        <v>0</v>
      </c>
    </row>
    <row r="1671" spans="1:21" x14ac:dyDescent="0.25">
      <c r="A1671">
        <v>9665230</v>
      </c>
      <c r="B1671" t="s">
        <v>15</v>
      </c>
      <c r="C1671" s="1">
        <v>42998</v>
      </c>
      <c r="D1671" s="2">
        <f>YEAR(C1671)</f>
        <v>2017</v>
      </c>
      <c r="E1671">
        <v>266800</v>
      </c>
      <c r="F1671" t="s">
        <v>548</v>
      </c>
      <c r="G1671">
        <v>1998</v>
      </c>
      <c r="H1671">
        <v>7408</v>
      </c>
      <c r="I1671" t="s">
        <v>69</v>
      </c>
      <c r="J1671">
        <v>76</v>
      </c>
      <c r="K1671">
        <v>60076</v>
      </c>
      <c r="L1671">
        <v>1650</v>
      </c>
      <c r="M1671">
        <v>5</v>
      </c>
      <c r="N1671">
        <v>2</v>
      </c>
      <c r="O1671">
        <v>0</v>
      </c>
      <c r="P1671" t="s">
        <v>18</v>
      </c>
      <c r="Q1671">
        <v>2</v>
      </c>
      <c r="R1671">
        <v>0</v>
      </c>
      <c r="S1671" t="s">
        <v>21</v>
      </c>
      <c r="T1671">
        <v>1</v>
      </c>
      <c r="U1671">
        <v>0</v>
      </c>
    </row>
    <row r="1672" spans="1:21" x14ac:dyDescent="0.25">
      <c r="A1672">
        <v>9518630</v>
      </c>
      <c r="B1672" t="s">
        <v>15</v>
      </c>
      <c r="C1672" s="1">
        <v>42860</v>
      </c>
      <c r="D1672" s="2">
        <f>YEAR(C1672)</f>
        <v>2017</v>
      </c>
      <c r="E1672">
        <v>339000</v>
      </c>
      <c r="F1672" t="s">
        <v>548</v>
      </c>
      <c r="G1672">
        <v>2000</v>
      </c>
      <c r="H1672">
        <v>7430</v>
      </c>
      <c r="I1672" t="s">
        <v>69</v>
      </c>
      <c r="J1672">
        <v>76</v>
      </c>
      <c r="K1672">
        <v>60076</v>
      </c>
      <c r="L1672">
        <v>1980</v>
      </c>
      <c r="M1672">
        <v>7</v>
      </c>
      <c r="N1672">
        <v>2</v>
      </c>
      <c r="O1672">
        <v>0</v>
      </c>
      <c r="P1672" t="s">
        <v>18</v>
      </c>
      <c r="Q1672">
        <v>3</v>
      </c>
      <c r="R1672">
        <v>0</v>
      </c>
      <c r="S1672" t="s">
        <v>21</v>
      </c>
      <c r="T1672">
        <v>1</v>
      </c>
      <c r="U1672">
        <v>0</v>
      </c>
    </row>
    <row r="1673" spans="1:21" x14ac:dyDescent="0.25">
      <c r="A1673">
        <v>9593513</v>
      </c>
      <c r="B1673" t="s">
        <v>15</v>
      </c>
      <c r="C1673" s="1">
        <v>42912</v>
      </c>
      <c r="D1673" s="2">
        <f>YEAR(C1673)</f>
        <v>2017</v>
      </c>
      <c r="E1673">
        <v>251000</v>
      </c>
      <c r="F1673" t="s">
        <v>548</v>
      </c>
      <c r="G1673">
        <v>2000</v>
      </c>
      <c r="H1673">
        <v>7404</v>
      </c>
      <c r="I1673" t="s">
        <v>69</v>
      </c>
      <c r="J1673">
        <v>76</v>
      </c>
      <c r="K1673">
        <v>60076</v>
      </c>
      <c r="L1673">
        <v>1600</v>
      </c>
      <c r="M1673">
        <v>5</v>
      </c>
      <c r="N1673">
        <v>2</v>
      </c>
      <c r="O1673">
        <v>0</v>
      </c>
      <c r="P1673" t="s">
        <v>18</v>
      </c>
      <c r="Q1673">
        <v>2</v>
      </c>
      <c r="R1673">
        <v>0</v>
      </c>
      <c r="S1673" t="s">
        <v>21</v>
      </c>
      <c r="T1673">
        <v>1</v>
      </c>
      <c r="U1673">
        <v>0</v>
      </c>
    </row>
    <row r="1674" spans="1:21" x14ac:dyDescent="0.25">
      <c r="A1674">
        <v>9497482</v>
      </c>
      <c r="B1674" t="s">
        <v>15</v>
      </c>
      <c r="C1674" s="1">
        <v>42859</v>
      </c>
      <c r="D1674" s="2">
        <f>YEAR(C1674)</f>
        <v>2017</v>
      </c>
      <c r="E1674">
        <v>317500</v>
      </c>
      <c r="F1674" t="s">
        <v>548</v>
      </c>
      <c r="G1674">
        <v>2001</v>
      </c>
      <c r="H1674">
        <v>4856</v>
      </c>
      <c r="I1674" t="s">
        <v>176</v>
      </c>
      <c r="J1674">
        <v>76</v>
      </c>
      <c r="K1674">
        <v>60077</v>
      </c>
      <c r="L1674">
        <v>1733</v>
      </c>
      <c r="M1674">
        <v>7</v>
      </c>
      <c r="N1674">
        <v>2</v>
      </c>
      <c r="O1674">
        <v>1</v>
      </c>
      <c r="P1674" t="s">
        <v>18</v>
      </c>
      <c r="Q1674">
        <v>3</v>
      </c>
      <c r="R1674">
        <v>0</v>
      </c>
      <c r="S1674" t="s">
        <v>21</v>
      </c>
      <c r="T1674">
        <v>2</v>
      </c>
      <c r="U1674">
        <v>0</v>
      </c>
    </row>
    <row r="1675" spans="1:21" x14ac:dyDescent="0.25">
      <c r="A1675">
        <v>9781785</v>
      </c>
      <c r="B1675" t="s">
        <v>15</v>
      </c>
      <c r="C1675" s="1">
        <v>43070</v>
      </c>
      <c r="D1675" s="2">
        <f>YEAR(C1675)</f>
        <v>2017</v>
      </c>
      <c r="E1675">
        <v>257000</v>
      </c>
      <c r="F1675" t="s">
        <v>548</v>
      </c>
      <c r="G1675">
        <v>2001</v>
      </c>
      <c r="H1675">
        <v>7428</v>
      </c>
      <c r="I1675" t="s">
        <v>69</v>
      </c>
      <c r="J1675">
        <v>76</v>
      </c>
      <c r="K1675">
        <v>60076</v>
      </c>
      <c r="L1675">
        <v>1650</v>
      </c>
      <c r="M1675">
        <v>6</v>
      </c>
      <c r="N1675">
        <v>2</v>
      </c>
      <c r="O1675">
        <v>0</v>
      </c>
      <c r="P1675" t="s">
        <v>18</v>
      </c>
      <c r="Q1675">
        <v>2</v>
      </c>
      <c r="R1675">
        <v>0</v>
      </c>
      <c r="S1675" t="s">
        <v>21</v>
      </c>
      <c r="T1675">
        <v>1</v>
      </c>
      <c r="U1675">
        <v>0</v>
      </c>
    </row>
    <row r="1676" spans="1:21" x14ac:dyDescent="0.25">
      <c r="A1676">
        <v>9720405</v>
      </c>
      <c r="B1676" t="s">
        <v>15</v>
      </c>
      <c r="C1676" s="1">
        <v>43028</v>
      </c>
      <c r="D1676" s="2">
        <f>YEAR(C1676)</f>
        <v>2017</v>
      </c>
      <c r="E1676">
        <v>264000</v>
      </c>
      <c r="F1676" t="s">
        <v>548</v>
      </c>
      <c r="G1676">
        <v>2001</v>
      </c>
      <c r="H1676">
        <v>7420</v>
      </c>
      <c r="I1676" t="s">
        <v>69</v>
      </c>
      <c r="J1676">
        <v>76</v>
      </c>
      <c r="K1676">
        <v>60076</v>
      </c>
      <c r="L1676">
        <v>1650</v>
      </c>
      <c r="M1676">
        <v>6</v>
      </c>
      <c r="N1676">
        <v>2</v>
      </c>
      <c r="O1676">
        <v>0</v>
      </c>
      <c r="P1676" t="s">
        <v>18</v>
      </c>
      <c r="Q1676">
        <v>2</v>
      </c>
      <c r="R1676">
        <v>0</v>
      </c>
      <c r="S1676" t="s">
        <v>21</v>
      </c>
      <c r="T1676">
        <v>1</v>
      </c>
      <c r="U1676">
        <v>0</v>
      </c>
    </row>
    <row r="1677" spans="1:21" x14ac:dyDescent="0.25">
      <c r="A1677">
        <v>9663296</v>
      </c>
      <c r="B1677" t="s">
        <v>15</v>
      </c>
      <c r="C1677" s="1">
        <v>43003</v>
      </c>
      <c r="D1677" s="2">
        <f>YEAR(C1677)</f>
        <v>2017</v>
      </c>
      <c r="E1677">
        <v>280000</v>
      </c>
      <c r="F1677" t="s">
        <v>548</v>
      </c>
      <c r="G1677">
        <v>2001</v>
      </c>
      <c r="H1677">
        <v>7418</v>
      </c>
      <c r="I1677" t="s">
        <v>69</v>
      </c>
      <c r="J1677">
        <v>76</v>
      </c>
      <c r="K1677">
        <v>60076</v>
      </c>
      <c r="L1677">
        <v>1650</v>
      </c>
      <c r="M1677">
        <v>6</v>
      </c>
      <c r="N1677">
        <v>2</v>
      </c>
      <c r="O1677">
        <v>0</v>
      </c>
      <c r="P1677" t="s">
        <v>18</v>
      </c>
      <c r="Q1677">
        <v>2</v>
      </c>
      <c r="R1677">
        <v>0</v>
      </c>
      <c r="S1677" t="s">
        <v>21</v>
      </c>
      <c r="T1677">
        <v>1</v>
      </c>
      <c r="U1677">
        <v>0</v>
      </c>
    </row>
    <row r="1678" spans="1:21" x14ac:dyDescent="0.25">
      <c r="A1678">
        <v>9511283</v>
      </c>
      <c r="B1678" t="s">
        <v>15</v>
      </c>
      <c r="C1678" s="1">
        <v>42886</v>
      </c>
      <c r="D1678" s="2">
        <f>YEAR(C1678)</f>
        <v>2017</v>
      </c>
      <c r="E1678">
        <v>317000</v>
      </c>
      <c r="F1678" t="s">
        <v>548</v>
      </c>
      <c r="G1678">
        <v>2003</v>
      </c>
      <c r="H1678">
        <v>8627</v>
      </c>
      <c r="I1678" t="s">
        <v>46</v>
      </c>
      <c r="J1678">
        <v>76</v>
      </c>
      <c r="K1678">
        <v>60077</v>
      </c>
      <c r="L1678">
        <v>2114</v>
      </c>
      <c r="M1678">
        <v>6</v>
      </c>
      <c r="N1678">
        <v>3</v>
      </c>
      <c r="O1678">
        <v>0</v>
      </c>
      <c r="P1678" t="s">
        <v>18</v>
      </c>
      <c r="Q1678">
        <v>3</v>
      </c>
      <c r="R1678">
        <v>0</v>
      </c>
      <c r="S1678" t="s">
        <v>21</v>
      </c>
      <c r="T1678">
        <v>2</v>
      </c>
      <c r="U1678">
        <v>0</v>
      </c>
    </row>
    <row r="1679" spans="1:21" x14ac:dyDescent="0.25">
      <c r="A1679">
        <v>10087510</v>
      </c>
      <c r="B1679" t="s">
        <v>15</v>
      </c>
      <c r="C1679" s="1">
        <v>43410</v>
      </c>
      <c r="D1679" s="2">
        <f>YEAR(C1679)</f>
        <v>2018</v>
      </c>
      <c r="E1679">
        <v>312000</v>
      </c>
      <c r="F1679" t="s">
        <v>548</v>
      </c>
      <c r="G1679">
        <v>2004</v>
      </c>
      <c r="H1679">
        <v>4854</v>
      </c>
      <c r="I1679" t="s">
        <v>176</v>
      </c>
      <c r="J1679">
        <v>76</v>
      </c>
      <c r="K1679">
        <v>60077</v>
      </c>
      <c r="L1679">
        <v>2200</v>
      </c>
      <c r="M1679">
        <v>7</v>
      </c>
      <c r="N1679">
        <v>2</v>
      </c>
      <c r="O1679">
        <v>1</v>
      </c>
      <c r="P1679" t="s">
        <v>18</v>
      </c>
      <c r="Q1679">
        <v>2</v>
      </c>
      <c r="R1679">
        <v>0</v>
      </c>
      <c r="S1679" t="s">
        <v>21</v>
      </c>
      <c r="T1679">
        <v>2</v>
      </c>
      <c r="U1679">
        <v>0</v>
      </c>
    </row>
    <row r="1680" spans="1:21" x14ac:dyDescent="0.25">
      <c r="A1680">
        <v>9580004</v>
      </c>
      <c r="B1680" t="s">
        <v>15</v>
      </c>
      <c r="C1680" s="1">
        <v>42895</v>
      </c>
      <c r="D1680" s="2">
        <f>YEAR(C1680)</f>
        <v>2017</v>
      </c>
      <c r="E1680">
        <v>362500</v>
      </c>
      <c r="F1680" t="s">
        <v>548</v>
      </c>
      <c r="G1680">
        <v>2005</v>
      </c>
      <c r="H1680">
        <v>7507</v>
      </c>
      <c r="I1680" t="s">
        <v>231</v>
      </c>
      <c r="J1680">
        <v>76</v>
      </c>
      <c r="K1680">
        <v>60077</v>
      </c>
      <c r="L1680">
        <v>2430</v>
      </c>
      <c r="M1680">
        <v>9</v>
      </c>
      <c r="N1680">
        <v>2</v>
      </c>
      <c r="O1680">
        <v>1</v>
      </c>
      <c r="P1680" t="s">
        <v>18</v>
      </c>
      <c r="Q1680">
        <v>3</v>
      </c>
      <c r="R1680">
        <v>0</v>
      </c>
      <c r="S1680" t="s">
        <v>21</v>
      </c>
      <c r="T1680">
        <v>2</v>
      </c>
      <c r="U1680">
        <v>0</v>
      </c>
    </row>
    <row r="1681" spans="1:21" x14ac:dyDescent="0.25">
      <c r="A1681">
        <v>9842548</v>
      </c>
      <c r="B1681" t="s">
        <v>15</v>
      </c>
      <c r="C1681" s="1">
        <v>43181</v>
      </c>
      <c r="D1681" s="2">
        <f>YEAR(C1681)</f>
        <v>2018</v>
      </c>
      <c r="E1681">
        <v>335000</v>
      </c>
      <c r="F1681" t="s">
        <v>548</v>
      </c>
      <c r="G1681">
        <v>2007</v>
      </c>
      <c r="H1681">
        <v>5144</v>
      </c>
      <c r="I1681" t="s">
        <v>150</v>
      </c>
      <c r="J1681">
        <v>76</v>
      </c>
      <c r="K1681">
        <v>60077</v>
      </c>
      <c r="L1681">
        <v>1805</v>
      </c>
      <c r="M1681">
        <v>6</v>
      </c>
      <c r="N1681">
        <v>3</v>
      </c>
      <c r="O1681">
        <v>1</v>
      </c>
      <c r="P1681" t="s">
        <v>18</v>
      </c>
      <c r="Q1681">
        <v>3</v>
      </c>
      <c r="R1681">
        <v>0</v>
      </c>
      <c r="S1681" t="s">
        <v>21</v>
      </c>
      <c r="T1681">
        <v>2</v>
      </c>
      <c r="U1681">
        <v>0</v>
      </c>
    </row>
    <row r="1682" spans="1:21" x14ac:dyDescent="0.25">
      <c r="A1682">
        <v>9680238</v>
      </c>
      <c r="B1682" t="s">
        <v>15</v>
      </c>
      <c r="C1682" s="1">
        <v>42990</v>
      </c>
      <c r="D1682" s="2">
        <f>YEAR(C1682)</f>
        <v>2017</v>
      </c>
      <c r="E1682">
        <v>399990</v>
      </c>
      <c r="F1682" t="s">
        <v>548</v>
      </c>
      <c r="G1682">
        <v>2003</v>
      </c>
      <c r="H1682">
        <v>8223</v>
      </c>
      <c r="I1682" t="s">
        <v>69</v>
      </c>
      <c r="J1682">
        <v>76</v>
      </c>
      <c r="K1682">
        <v>60077</v>
      </c>
      <c r="L1682">
        <v>2690</v>
      </c>
      <c r="M1682">
        <v>9</v>
      </c>
      <c r="N1682">
        <v>3</v>
      </c>
      <c r="O1682">
        <v>1</v>
      </c>
      <c r="P1682" t="s">
        <v>79</v>
      </c>
      <c r="Q1682">
        <v>3</v>
      </c>
      <c r="R1682">
        <v>0</v>
      </c>
      <c r="S1682" t="s">
        <v>21</v>
      </c>
      <c r="T1682">
        <v>2</v>
      </c>
      <c r="U1682">
        <v>0</v>
      </c>
    </row>
    <row r="1683" spans="1:21" x14ac:dyDescent="0.25">
      <c r="A1683">
        <v>9680501</v>
      </c>
      <c r="B1683" t="s">
        <v>15</v>
      </c>
      <c r="C1683" s="1">
        <v>42991</v>
      </c>
      <c r="D1683" s="2">
        <f>YEAR(C1683)</f>
        <v>2017</v>
      </c>
      <c r="E1683">
        <v>362500</v>
      </c>
      <c r="F1683" t="s">
        <v>548</v>
      </c>
      <c r="G1683">
        <v>2005</v>
      </c>
      <c r="H1683">
        <v>7515</v>
      </c>
      <c r="I1683" t="s">
        <v>231</v>
      </c>
      <c r="J1683">
        <v>76</v>
      </c>
      <c r="K1683">
        <v>60077</v>
      </c>
      <c r="L1683">
        <v>2430</v>
      </c>
      <c r="M1683">
        <v>9</v>
      </c>
      <c r="N1683">
        <v>3</v>
      </c>
      <c r="O1683">
        <v>1</v>
      </c>
      <c r="P1683" t="s">
        <v>79</v>
      </c>
      <c r="Q1683">
        <v>4</v>
      </c>
      <c r="R1683">
        <v>0</v>
      </c>
      <c r="S1683" t="s">
        <v>21</v>
      </c>
      <c r="T1683">
        <v>2</v>
      </c>
      <c r="U1683">
        <v>0</v>
      </c>
    </row>
    <row r="1684" spans="1:21" x14ac:dyDescent="0.25">
      <c r="A1684">
        <v>9624578</v>
      </c>
      <c r="B1684" t="s">
        <v>15</v>
      </c>
      <c r="C1684" s="1">
        <v>42933</v>
      </c>
      <c r="D1684" s="2">
        <f>YEAR(C1684)</f>
        <v>2017</v>
      </c>
      <c r="E1684">
        <v>312000</v>
      </c>
      <c r="F1684" t="s">
        <v>548</v>
      </c>
      <c r="G1684">
        <v>2005</v>
      </c>
      <c r="H1684">
        <v>7742</v>
      </c>
      <c r="I1684" t="s">
        <v>69</v>
      </c>
      <c r="J1684">
        <v>76</v>
      </c>
      <c r="K1684">
        <v>60077</v>
      </c>
      <c r="L1684">
        <v>1700</v>
      </c>
      <c r="M1684">
        <v>6</v>
      </c>
      <c r="N1684">
        <v>2</v>
      </c>
      <c r="O1684">
        <v>1</v>
      </c>
      <c r="P1684" t="s">
        <v>79</v>
      </c>
      <c r="Q1684">
        <v>3</v>
      </c>
      <c r="R1684">
        <v>0</v>
      </c>
      <c r="S1684" t="s">
        <v>21</v>
      </c>
      <c r="T1684">
        <v>2</v>
      </c>
      <c r="U1684">
        <v>0</v>
      </c>
    </row>
    <row r="1685" spans="1:21" x14ac:dyDescent="0.25">
      <c r="A1685">
        <v>9985124</v>
      </c>
      <c r="B1685" t="s">
        <v>15</v>
      </c>
      <c r="C1685" s="1">
        <v>43308</v>
      </c>
      <c r="D1685" s="2">
        <f>YEAR(C1685)</f>
        <v>2018</v>
      </c>
      <c r="E1685">
        <v>316500</v>
      </c>
      <c r="F1685" t="s">
        <v>548</v>
      </c>
      <c r="G1685">
        <v>1987</v>
      </c>
      <c r="H1685">
        <v>9636</v>
      </c>
      <c r="I1685" t="s">
        <v>71</v>
      </c>
      <c r="J1685">
        <v>76</v>
      </c>
      <c r="K1685">
        <v>60077</v>
      </c>
      <c r="L1685">
        <v>2140</v>
      </c>
      <c r="M1685">
        <v>7</v>
      </c>
      <c r="N1685">
        <v>2</v>
      </c>
      <c r="O1685">
        <v>1</v>
      </c>
      <c r="P1685" t="s">
        <v>18</v>
      </c>
      <c r="Q1685">
        <v>3</v>
      </c>
      <c r="R1685">
        <v>0</v>
      </c>
      <c r="S1685" t="s">
        <v>21</v>
      </c>
      <c r="T1685">
        <v>2</v>
      </c>
      <c r="U1685">
        <v>0</v>
      </c>
    </row>
    <row r="1686" spans="1:21" x14ac:dyDescent="0.25">
      <c r="A1686" t="str">
        <f>"10564583"</f>
        <v>10564583</v>
      </c>
      <c r="B1686" t="s">
        <v>15</v>
      </c>
      <c r="C1686" s="1">
        <v>43810</v>
      </c>
      <c r="D1686" s="2">
        <f>YEAR(C1686)</f>
        <v>2019</v>
      </c>
      <c r="E1686">
        <v>138500</v>
      </c>
      <c r="F1686" t="s">
        <v>85</v>
      </c>
      <c r="G1686">
        <v>1977</v>
      </c>
      <c r="H1686">
        <v>224</v>
      </c>
      <c r="I1686" t="s">
        <v>604</v>
      </c>
      <c r="J1686" t="str">
        <f>"2"</f>
        <v>2</v>
      </c>
      <c r="K1686">
        <v>60002</v>
      </c>
      <c r="L1686">
        <v>1272</v>
      </c>
      <c r="M1686">
        <v>7</v>
      </c>
      <c r="N1686">
        <v>2</v>
      </c>
      <c r="O1686">
        <v>0</v>
      </c>
      <c r="P1686" t="s">
        <v>18</v>
      </c>
      <c r="Q1686">
        <v>4</v>
      </c>
      <c r="R1686">
        <v>0</v>
      </c>
      <c r="S1686" t="s">
        <v>22</v>
      </c>
      <c r="T1686">
        <v>2.5</v>
      </c>
      <c r="U1686">
        <v>0</v>
      </c>
    </row>
    <row r="1687" spans="1:21" x14ac:dyDescent="0.25">
      <c r="A1687">
        <v>10038386</v>
      </c>
      <c r="B1687" t="s">
        <v>15</v>
      </c>
      <c r="C1687" s="1">
        <v>43448</v>
      </c>
      <c r="D1687" s="2">
        <f>YEAR(C1687)</f>
        <v>2018</v>
      </c>
      <c r="E1687">
        <v>125000</v>
      </c>
      <c r="F1687" t="s">
        <v>16</v>
      </c>
      <c r="G1687">
        <v>1952</v>
      </c>
      <c r="H1687">
        <v>4930</v>
      </c>
      <c r="I1687" t="s">
        <v>25</v>
      </c>
      <c r="J1687">
        <v>76</v>
      </c>
      <c r="K1687">
        <v>60077</v>
      </c>
      <c r="L1687">
        <v>800</v>
      </c>
      <c r="M1687">
        <v>5</v>
      </c>
      <c r="N1687">
        <v>1</v>
      </c>
      <c r="O1687">
        <v>0</v>
      </c>
      <c r="P1687" t="s">
        <v>18</v>
      </c>
      <c r="Q1687">
        <v>2</v>
      </c>
      <c r="R1687">
        <v>0</v>
      </c>
      <c r="S1687" t="s">
        <v>19</v>
      </c>
      <c r="T1687">
        <v>0</v>
      </c>
      <c r="U1687">
        <v>1</v>
      </c>
    </row>
    <row r="1688" spans="1:21" x14ac:dyDescent="0.25">
      <c r="A1688">
        <v>10012447</v>
      </c>
      <c r="B1688" t="s">
        <v>15</v>
      </c>
      <c r="C1688" s="1">
        <v>43455</v>
      </c>
      <c r="D1688" s="2">
        <f>YEAR(C1688)</f>
        <v>2018</v>
      </c>
      <c r="E1688">
        <v>138000</v>
      </c>
      <c r="F1688" t="s">
        <v>16</v>
      </c>
      <c r="G1688">
        <v>1952</v>
      </c>
      <c r="H1688">
        <v>4930</v>
      </c>
      <c r="I1688" t="s">
        <v>25</v>
      </c>
      <c r="J1688">
        <v>76</v>
      </c>
      <c r="K1688">
        <v>60077</v>
      </c>
      <c r="L1688">
        <v>800</v>
      </c>
      <c r="M1688">
        <v>5</v>
      </c>
      <c r="N1688">
        <v>1</v>
      </c>
      <c r="O1688">
        <v>0</v>
      </c>
      <c r="P1688" t="s">
        <v>18</v>
      </c>
      <c r="Q1688">
        <v>2</v>
      </c>
      <c r="R1688">
        <v>0</v>
      </c>
      <c r="S1688" t="s">
        <v>19</v>
      </c>
      <c r="T1688">
        <v>0</v>
      </c>
      <c r="U1688">
        <v>1</v>
      </c>
    </row>
    <row r="1689" spans="1:21" x14ac:dyDescent="0.25">
      <c r="A1689">
        <v>9392698</v>
      </c>
      <c r="B1689" t="s">
        <v>15</v>
      </c>
      <c r="C1689" s="1">
        <v>42958</v>
      </c>
      <c r="D1689" s="2">
        <f>YEAR(C1689)</f>
        <v>2017</v>
      </c>
      <c r="E1689">
        <v>145000</v>
      </c>
      <c r="F1689" t="s">
        <v>16</v>
      </c>
      <c r="G1689">
        <v>1954</v>
      </c>
      <c r="H1689">
        <v>9052</v>
      </c>
      <c r="I1689" t="s">
        <v>28</v>
      </c>
      <c r="J1689">
        <v>76</v>
      </c>
      <c r="K1689">
        <v>60076</v>
      </c>
      <c r="L1689">
        <v>1250</v>
      </c>
      <c r="M1689">
        <v>6</v>
      </c>
      <c r="N1689">
        <v>1</v>
      </c>
      <c r="O1689">
        <v>0</v>
      </c>
      <c r="P1689" t="s">
        <v>18</v>
      </c>
      <c r="Q1689">
        <v>2</v>
      </c>
      <c r="R1689">
        <v>0</v>
      </c>
      <c r="S1689" t="s">
        <v>19</v>
      </c>
      <c r="T1689">
        <v>0</v>
      </c>
      <c r="U1689">
        <v>1</v>
      </c>
    </row>
    <row r="1690" spans="1:21" x14ac:dyDescent="0.25">
      <c r="A1690">
        <v>9400390</v>
      </c>
      <c r="B1690" t="s">
        <v>15</v>
      </c>
      <c r="C1690" s="1">
        <v>42877</v>
      </c>
      <c r="D1690" s="2">
        <f>YEAR(C1690)</f>
        <v>2017</v>
      </c>
      <c r="E1690">
        <v>132500</v>
      </c>
      <c r="F1690" t="s">
        <v>16</v>
      </c>
      <c r="G1690">
        <v>1954</v>
      </c>
      <c r="H1690">
        <v>9103</v>
      </c>
      <c r="I1690" t="s">
        <v>28</v>
      </c>
      <c r="J1690">
        <v>76</v>
      </c>
      <c r="K1690">
        <v>60076</v>
      </c>
      <c r="L1690">
        <v>1000</v>
      </c>
      <c r="M1690">
        <v>5</v>
      </c>
      <c r="N1690">
        <v>1</v>
      </c>
      <c r="O1690">
        <v>0</v>
      </c>
      <c r="P1690" t="s">
        <v>18</v>
      </c>
      <c r="Q1690">
        <v>2</v>
      </c>
      <c r="R1690">
        <v>0</v>
      </c>
      <c r="S1690" t="s">
        <v>19</v>
      </c>
      <c r="T1690">
        <v>0</v>
      </c>
      <c r="U1690">
        <v>1</v>
      </c>
    </row>
    <row r="1691" spans="1:21" x14ac:dyDescent="0.25">
      <c r="A1691">
        <v>9220723</v>
      </c>
      <c r="B1691" t="s">
        <v>15</v>
      </c>
      <c r="C1691" s="1">
        <v>42800</v>
      </c>
      <c r="D1691" s="2">
        <f>YEAR(C1691)</f>
        <v>2017</v>
      </c>
      <c r="E1691">
        <v>120000</v>
      </c>
      <c r="F1691" t="s">
        <v>16</v>
      </c>
      <c r="G1691">
        <v>1955</v>
      </c>
      <c r="H1691">
        <v>8833</v>
      </c>
      <c r="I1691" t="s">
        <v>29</v>
      </c>
      <c r="J1691">
        <v>76</v>
      </c>
      <c r="K1691">
        <v>60077</v>
      </c>
      <c r="L1691">
        <v>1130</v>
      </c>
      <c r="M1691">
        <v>5</v>
      </c>
      <c r="N1691">
        <v>2</v>
      </c>
      <c r="O1691">
        <v>0</v>
      </c>
      <c r="P1691" t="s">
        <v>18</v>
      </c>
      <c r="Q1691">
        <v>2</v>
      </c>
      <c r="R1691">
        <v>0</v>
      </c>
      <c r="S1691" t="s">
        <v>19</v>
      </c>
      <c r="T1691">
        <v>0</v>
      </c>
      <c r="U1691">
        <v>1</v>
      </c>
    </row>
    <row r="1692" spans="1:21" x14ac:dyDescent="0.25">
      <c r="A1692">
        <v>9688597</v>
      </c>
      <c r="B1692" t="s">
        <v>15</v>
      </c>
      <c r="C1692" s="1">
        <v>43116</v>
      </c>
      <c r="D1692" s="2">
        <f>YEAR(C1692)</f>
        <v>2018</v>
      </c>
      <c r="E1692">
        <v>101000</v>
      </c>
      <c r="F1692" t="s">
        <v>16</v>
      </c>
      <c r="G1692">
        <v>1955</v>
      </c>
      <c r="H1692">
        <v>8845</v>
      </c>
      <c r="I1692" t="s">
        <v>17</v>
      </c>
      <c r="J1692">
        <v>76</v>
      </c>
      <c r="K1692">
        <v>60077</v>
      </c>
      <c r="L1692">
        <v>700</v>
      </c>
      <c r="M1692">
        <v>4</v>
      </c>
      <c r="N1692">
        <v>1</v>
      </c>
      <c r="O1692">
        <v>0</v>
      </c>
      <c r="P1692" t="s">
        <v>18</v>
      </c>
      <c r="Q1692">
        <v>1</v>
      </c>
      <c r="R1692">
        <v>0</v>
      </c>
      <c r="S1692" t="s">
        <v>19</v>
      </c>
      <c r="T1692">
        <v>0</v>
      </c>
      <c r="U1692">
        <v>1</v>
      </c>
    </row>
    <row r="1693" spans="1:21" x14ac:dyDescent="0.25">
      <c r="A1693">
        <v>9745772</v>
      </c>
      <c r="B1693" t="s">
        <v>15</v>
      </c>
      <c r="C1693" s="1">
        <v>43116</v>
      </c>
      <c r="D1693" s="2">
        <f>YEAR(C1693)</f>
        <v>2018</v>
      </c>
      <c r="E1693">
        <v>98786</v>
      </c>
      <c r="F1693" t="s">
        <v>16</v>
      </c>
      <c r="G1693">
        <v>1955</v>
      </c>
      <c r="H1693">
        <v>8845</v>
      </c>
      <c r="I1693" t="s">
        <v>17</v>
      </c>
      <c r="J1693">
        <v>76</v>
      </c>
      <c r="K1693">
        <v>60077</v>
      </c>
      <c r="L1693">
        <v>582</v>
      </c>
      <c r="M1693">
        <v>4</v>
      </c>
      <c r="N1693">
        <v>1</v>
      </c>
      <c r="O1693">
        <v>0</v>
      </c>
      <c r="P1693" t="s">
        <v>18</v>
      </c>
      <c r="Q1693">
        <v>1</v>
      </c>
      <c r="R1693">
        <v>0</v>
      </c>
      <c r="S1693" t="s">
        <v>19</v>
      </c>
      <c r="T1693">
        <v>0</v>
      </c>
      <c r="U1693">
        <v>1</v>
      </c>
    </row>
    <row r="1694" spans="1:21" x14ac:dyDescent="0.25">
      <c r="A1694">
        <v>9391535</v>
      </c>
      <c r="B1694" t="s">
        <v>15</v>
      </c>
      <c r="C1694" s="1">
        <v>42916</v>
      </c>
      <c r="D1694" s="2">
        <f>YEAR(C1694)</f>
        <v>2017</v>
      </c>
      <c r="E1694">
        <v>88500</v>
      </c>
      <c r="F1694" t="s">
        <v>16</v>
      </c>
      <c r="G1694">
        <v>1957</v>
      </c>
      <c r="H1694">
        <v>9039</v>
      </c>
      <c r="I1694" t="s">
        <v>31</v>
      </c>
      <c r="J1694">
        <v>76</v>
      </c>
      <c r="K1694">
        <v>60077</v>
      </c>
      <c r="L1694">
        <v>900</v>
      </c>
      <c r="M1694">
        <v>4</v>
      </c>
      <c r="N1694">
        <v>1</v>
      </c>
      <c r="O1694">
        <v>0</v>
      </c>
      <c r="P1694" t="s">
        <v>18</v>
      </c>
      <c r="Q1694">
        <v>2</v>
      </c>
      <c r="R1694">
        <v>0</v>
      </c>
      <c r="S1694" t="s">
        <v>19</v>
      </c>
      <c r="T1694">
        <v>0</v>
      </c>
      <c r="U1694">
        <v>1</v>
      </c>
    </row>
    <row r="1695" spans="1:21" x14ac:dyDescent="0.25">
      <c r="A1695">
        <v>9683353</v>
      </c>
      <c r="B1695" t="s">
        <v>15</v>
      </c>
      <c r="C1695" s="1">
        <v>42977</v>
      </c>
      <c r="D1695" s="2">
        <f>YEAR(C1695)</f>
        <v>2017</v>
      </c>
      <c r="E1695">
        <v>147000</v>
      </c>
      <c r="F1695" t="s">
        <v>16</v>
      </c>
      <c r="G1695">
        <v>1957</v>
      </c>
      <c r="H1695">
        <v>4825</v>
      </c>
      <c r="I1695" t="s">
        <v>32</v>
      </c>
      <c r="J1695">
        <v>76</v>
      </c>
      <c r="K1695">
        <v>60077</v>
      </c>
      <c r="L1695">
        <v>850</v>
      </c>
      <c r="M1695">
        <v>5</v>
      </c>
      <c r="N1695">
        <v>1</v>
      </c>
      <c r="O1695">
        <v>0</v>
      </c>
      <c r="P1695" t="s">
        <v>18</v>
      </c>
      <c r="Q1695">
        <v>2</v>
      </c>
      <c r="R1695">
        <v>0</v>
      </c>
      <c r="S1695" t="s">
        <v>19</v>
      </c>
      <c r="T1695">
        <v>0</v>
      </c>
      <c r="U1695">
        <v>1</v>
      </c>
    </row>
    <row r="1696" spans="1:21" x14ac:dyDescent="0.25">
      <c r="A1696">
        <v>9827528</v>
      </c>
      <c r="B1696" t="s">
        <v>15</v>
      </c>
      <c r="C1696" s="1">
        <v>43158</v>
      </c>
      <c r="D1696" s="2">
        <f>YEAR(C1696)</f>
        <v>2018</v>
      </c>
      <c r="E1696">
        <v>105000</v>
      </c>
      <c r="F1696" t="s">
        <v>16</v>
      </c>
      <c r="G1696">
        <v>1958</v>
      </c>
      <c r="H1696">
        <v>8450</v>
      </c>
      <c r="I1696" t="s">
        <v>20</v>
      </c>
      <c r="J1696">
        <v>76</v>
      </c>
      <c r="K1696">
        <v>60077</v>
      </c>
      <c r="L1696">
        <v>800</v>
      </c>
      <c r="M1696">
        <v>4</v>
      </c>
      <c r="N1696">
        <v>1</v>
      </c>
      <c r="O1696">
        <v>0</v>
      </c>
      <c r="P1696" t="s">
        <v>18</v>
      </c>
      <c r="Q1696">
        <v>1</v>
      </c>
      <c r="R1696">
        <v>0</v>
      </c>
      <c r="S1696" t="s">
        <v>19</v>
      </c>
      <c r="T1696">
        <v>0</v>
      </c>
      <c r="U1696">
        <v>1</v>
      </c>
    </row>
    <row r="1697" spans="1:21" x14ac:dyDescent="0.25">
      <c r="A1697">
        <v>9649966</v>
      </c>
      <c r="B1697" t="s">
        <v>15</v>
      </c>
      <c r="C1697" s="1">
        <v>42940</v>
      </c>
      <c r="D1697" s="2">
        <f>YEAR(C1697)</f>
        <v>2017</v>
      </c>
      <c r="E1697">
        <v>156000</v>
      </c>
      <c r="F1697" t="s">
        <v>16</v>
      </c>
      <c r="G1697">
        <v>1960</v>
      </c>
      <c r="H1697">
        <v>10100</v>
      </c>
      <c r="I1697" t="s">
        <v>34</v>
      </c>
      <c r="J1697">
        <v>76</v>
      </c>
      <c r="K1697">
        <v>60076</v>
      </c>
      <c r="L1697">
        <v>1700</v>
      </c>
      <c r="M1697">
        <v>6</v>
      </c>
      <c r="N1697">
        <v>2</v>
      </c>
      <c r="O1697">
        <v>0</v>
      </c>
      <c r="P1697" t="s">
        <v>18</v>
      </c>
      <c r="Q1697">
        <v>3</v>
      </c>
      <c r="R1697">
        <v>0</v>
      </c>
      <c r="S1697" t="s">
        <v>19</v>
      </c>
      <c r="T1697">
        <v>0</v>
      </c>
      <c r="U1697">
        <v>1</v>
      </c>
    </row>
    <row r="1698" spans="1:21" x14ac:dyDescent="0.25">
      <c r="A1698">
        <v>9855568</v>
      </c>
      <c r="B1698" t="s">
        <v>15</v>
      </c>
      <c r="C1698" s="1">
        <v>43206</v>
      </c>
      <c r="D1698" s="2">
        <f>YEAR(C1698)</f>
        <v>2018</v>
      </c>
      <c r="E1698">
        <v>110000</v>
      </c>
      <c r="F1698" t="s">
        <v>16</v>
      </c>
      <c r="G1698">
        <v>1960</v>
      </c>
      <c r="H1698">
        <v>10118</v>
      </c>
      <c r="I1698" t="s">
        <v>35</v>
      </c>
      <c r="J1698">
        <v>76</v>
      </c>
      <c r="K1698">
        <v>60076</v>
      </c>
      <c r="L1698">
        <v>800</v>
      </c>
      <c r="M1698">
        <v>4</v>
      </c>
      <c r="N1698">
        <v>1</v>
      </c>
      <c r="O1698">
        <v>0</v>
      </c>
      <c r="P1698" t="s">
        <v>18</v>
      </c>
      <c r="Q1698">
        <v>1</v>
      </c>
      <c r="R1698">
        <v>0</v>
      </c>
      <c r="S1698" t="s">
        <v>19</v>
      </c>
      <c r="T1698">
        <v>0</v>
      </c>
      <c r="U1698">
        <v>1</v>
      </c>
    </row>
    <row r="1699" spans="1:21" x14ac:dyDescent="0.25">
      <c r="A1699">
        <v>9946233</v>
      </c>
      <c r="B1699" t="s">
        <v>15</v>
      </c>
      <c r="C1699" s="1">
        <v>43293</v>
      </c>
      <c r="D1699" s="2">
        <f>YEAR(C1699)</f>
        <v>2018</v>
      </c>
      <c r="E1699">
        <v>117000</v>
      </c>
      <c r="F1699" t="s">
        <v>16</v>
      </c>
      <c r="G1699">
        <v>1960</v>
      </c>
      <c r="H1699">
        <v>10115</v>
      </c>
      <c r="I1699" t="s">
        <v>35</v>
      </c>
      <c r="J1699">
        <v>76</v>
      </c>
      <c r="K1699">
        <v>60076</v>
      </c>
      <c r="L1699">
        <v>750</v>
      </c>
      <c r="M1699">
        <v>4</v>
      </c>
      <c r="N1699">
        <v>1</v>
      </c>
      <c r="O1699">
        <v>0</v>
      </c>
      <c r="P1699" t="s">
        <v>18</v>
      </c>
      <c r="Q1699">
        <v>1</v>
      </c>
      <c r="R1699">
        <v>0</v>
      </c>
      <c r="S1699" t="s">
        <v>19</v>
      </c>
      <c r="T1699">
        <v>0</v>
      </c>
      <c r="U1699">
        <v>1</v>
      </c>
    </row>
    <row r="1700" spans="1:21" x14ac:dyDescent="0.25">
      <c r="A1700">
        <v>9681251</v>
      </c>
      <c r="B1700" t="s">
        <v>15</v>
      </c>
      <c r="C1700" s="1">
        <v>43000</v>
      </c>
      <c r="D1700" s="2">
        <f>YEAR(C1700)</f>
        <v>2017</v>
      </c>
      <c r="E1700">
        <v>112000</v>
      </c>
      <c r="F1700" t="s">
        <v>16</v>
      </c>
      <c r="G1700">
        <v>1960</v>
      </c>
      <c r="H1700">
        <v>10117</v>
      </c>
      <c r="I1700" t="s">
        <v>35</v>
      </c>
      <c r="J1700">
        <v>76</v>
      </c>
      <c r="K1700">
        <v>60076</v>
      </c>
      <c r="L1700">
        <v>675</v>
      </c>
      <c r="M1700">
        <v>4</v>
      </c>
      <c r="N1700">
        <v>1</v>
      </c>
      <c r="O1700">
        <v>0</v>
      </c>
      <c r="P1700" t="s">
        <v>18</v>
      </c>
      <c r="Q1700">
        <v>1</v>
      </c>
      <c r="R1700">
        <v>0</v>
      </c>
      <c r="S1700" t="s">
        <v>19</v>
      </c>
      <c r="T1700">
        <v>0</v>
      </c>
      <c r="U1700">
        <v>1</v>
      </c>
    </row>
    <row r="1701" spans="1:21" x14ac:dyDescent="0.25">
      <c r="A1701">
        <v>9925511</v>
      </c>
      <c r="B1701" t="s">
        <v>15</v>
      </c>
      <c r="C1701" s="1">
        <v>43445</v>
      </c>
      <c r="D1701" s="2">
        <f>YEAR(C1701)</f>
        <v>2018</v>
      </c>
      <c r="E1701">
        <v>90000</v>
      </c>
      <c r="F1701" t="s">
        <v>16</v>
      </c>
      <c r="G1701">
        <v>1960</v>
      </c>
      <c r="H1701">
        <v>8450</v>
      </c>
      <c r="I1701" t="s">
        <v>36</v>
      </c>
      <c r="J1701">
        <v>76</v>
      </c>
      <c r="K1701">
        <v>60077</v>
      </c>
      <c r="L1701">
        <v>600</v>
      </c>
      <c r="M1701">
        <v>4</v>
      </c>
      <c r="N1701">
        <v>1</v>
      </c>
      <c r="O1701">
        <v>0</v>
      </c>
      <c r="P1701" t="s">
        <v>18</v>
      </c>
      <c r="Q1701">
        <v>1</v>
      </c>
      <c r="R1701">
        <v>0</v>
      </c>
      <c r="S1701" t="s">
        <v>19</v>
      </c>
      <c r="T1701">
        <v>0</v>
      </c>
      <c r="U1701">
        <v>1</v>
      </c>
    </row>
    <row r="1702" spans="1:21" x14ac:dyDescent="0.25">
      <c r="A1702">
        <v>10161225</v>
      </c>
      <c r="B1702" t="s">
        <v>15</v>
      </c>
      <c r="C1702" s="1">
        <v>43495</v>
      </c>
      <c r="D1702" s="2">
        <f>YEAR(C1702)</f>
        <v>2019</v>
      </c>
      <c r="E1702">
        <v>60500</v>
      </c>
      <c r="F1702" t="s">
        <v>16</v>
      </c>
      <c r="G1702">
        <v>1960</v>
      </c>
      <c r="H1702">
        <v>5215</v>
      </c>
      <c r="I1702" t="s">
        <v>37</v>
      </c>
      <c r="J1702">
        <v>76</v>
      </c>
      <c r="K1702">
        <v>60077</v>
      </c>
      <c r="L1702">
        <v>372</v>
      </c>
      <c r="M1702">
        <v>2</v>
      </c>
      <c r="N1702">
        <v>1</v>
      </c>
      <c r="O1702">
        <v>0</v>
      </c>
      <c r="P1702" t="s">
        <v>18</v>
      </c>
      <c r="Q1702">
        <v>0</v>
      </c>
      <c r="R1702">
        <v>0</v>
      </c>
      <c r="S1702" t="s">
        <v>19</v>
      </c>
      <c r="T1702">
        <v>0</v>
      </c>
      <c r="U1702">
        <v>1</v>
      </c>
    </row>
    <row r="1703" spans="1:21" x14ac:dyDescent="0.25">
      <c r="A1703">
        <v>9884465</v>
      </c>
      <c r="B1703" t="s">
        <v>15</v>
      </c>
      <c r="C1703" s="1">
        <v>43276</v>
      </c>
      <c r="D1703" s="2">
        <f>YEAR(C1703)</f>
        <v>2018</v>
      </c>
      <c r="E1703">
        <v>140000</v>
      </c>
      <c r="F1703" t="s">
        <v>16</v>
      </c>
      <c r="G1703">
        <v>1961</v>
      </c>
      <c r="H1703">
        <v>8845</v>
      </c>
      <c r="I1703" t="s">
        <v>17</v>
      </c>
      <c r="J1703">
        <v>76</v>
      </c>
      <c r="K1703">
        <v>60077</v>
      </c>
      <c r="L1703">
        <v>1109</v>
      </c>
      <c r="M1703">
        <v>5</v>
      </c>
      <c r="N1703">
        <v>1</v>
      </c>
      <c r="O1703">
        <v>0</v>
      </c>
      <c r="P1703" t="s">
        <v>18</v>
      </c>
      <c r="Q1703">
        <v>2</v>
      </c>
      <c r="R1703">
        <v>0</v>
      </c>
      <c r="S1703" t="s">
        <v>19</v>
      </c>
      <c r="T1703">
        <v>0</v>
      </c>
      <c r="U1703">
        <v>1</v>
      </c>
    </row>
    <row r="1704" spans="1:21" x14ac:dyDescent="0.25">
      <c r="A1704">
        <v>9586176</v>
      </c>
      <c r="B1704" t="s">
        <v>15</v>
      </c>
      <c r="C1704" s="1">
        <v>43004</v>
      </c>
      <c r="D1704" s="2">
        <f>YEAR(C1704)</f>
        <v>2017</v>
      </c>
      <c r="E1704">
        <v>123000</v>
      </c>
      <c r="F1704" t="s">
        <v>16</v>
      </c>
      <c r="G1704">
        <v>1961</v>
      </c>
      <c r="H1704">
        <v>4635</v>
      </c>
      <c r="I1704" t="s">
        <v>38</v>
      </c>
      <c r="J1704">
        <v>76</v>
      </c>
      <c r="K1704">
        <v>60076</v>
      </c>
      <c r="L1704">
        <v>1000</v>
      </c>
      <c r="M1704">
        <v>4</v>
      </c>
      <c r="N1704">
        <v>1</v>
      </c>
      <c r="O1704">
        <v>0</v>
      </c>
      <c r="P1704" t="s">
        <v>18</v>
      </c>
      <c r="Q1704">
        <v>2</v>
      </c>
      <c r="R1704">
        <v>0</v>
      </c>
      <c r="S1704" t="s">
        <v>19</v>
      </c>
      <c r="T1704">
        <v>0</v>
      </c>
      <c r="U1704">
        <v>1</v>
      </c>
    </row>
    <row r="1705" spans="1:21" x14ac:dyDescent="0.25">
      <c r="A1705">
        <v>9590730</v>
      </c>
      <c r="B1705" t="s">
        <v>15</v>
      </c>
      <c r="C1705" s="1">
        <v>42951</v>
      </c>
      <c r="D1705" s="2">
        <f>YEAR(C1705)</f>
        <v>2017</v>
      </c>
      <c r="E1705">
        <v>216000</v>
      </c>
      <c r="F1705" t="s">
        <v>16</v>
      </c>
      <c r="G1705">
        <v>1962</v>
      </c>
      <c r="H1705">
        <v>4850</v>
      </c>
      <c r="I1705" t="s">
        <v>39</v>
      </c>
      <c r="J1705">
        <v>76</v>
      </c>
      <c r="K1705">
        <v>60077</v>
      </c>
      <c r="L1705">
        <v>1450</v>
      </c>
      <c r="M1705">
        <v>6</v>
      </c>
      <c r="N1705">
        <v>2</v>
      </c>
      <c r="O1705">
        <v>0</v>
      </c>
      <c r="P1705" t="s">
        <v>18</v>
      </c>
      <c r="Q1705">
        <v>3</v>
      </c>
      <c r="R1705">
        <v>0</v>
      </c>
      <c r="S1705" t="s">
        <v>22</v>
      </c>
      <c r="T1705">
        <v>1</v>
      </c>
      <c r="U1705">
        <v>1</v>
      </c>
    </row>
    <row r="1706" spans="1:21" x14ac:dyDescent="0.25">
      <c r="A1706">
        <v>9566178</v>
      </c>
      <c r="B1706" t="s">
        <v>15</v>
      </c>
      <c r="C1706" s="1">
        <v>42842</v>
      </c>
      <c r="D1706" s="2">
        <f>YEAR(C1706)</f>
        <v>2017</v>
      </c>
      <c r="E1706">
        <v>119500</v>
      </c>
      <c r="F1706" t="s">
        <v>16</v>
      </c>
      <c r="G1706">
        <v>1962</v>
      </c>
      <c r="H1706">
        <v>9117</v>
      </c>
      <c r="I1706" t="s">
        <v>28</v>
      </c>
      <c r="J1706">
        <v>76</v>
      </c>
      <c r="K1706">
        <v>60076</v>
      </c>
      <c r="L1706">
        <v>1000</v>
      </c>
      <c r="M1706">
        <v>4</v>
      </c>
      <c r="N1706">
        <v>1</v>
      </c>
      <c r="O1706">
        <v>0</v>
      </c>
      <c r="P1706" t="s">
        <v>18</v>
      </c>
      <c r="Q1706">
        <v>2</v>
      </c>
      <c r="R1706">
        <v>0</v>
      </c>
      <c r="S1706" t="s">
        <v>19</v>
      </c>
      <c r="T1706">
        <v>0</v>
      </c>
      <c r="U1706">
        <v>1</v>
      </c>
    </row>
    <row r="1707" spans="1:21" x14ac:dyDescent="0.25">
      <c r="A1707">
        <v>9519461</v>
      </c>
      <c r="B1707" t="s">
        <v>15</v>
      </c>
      <c r="C1707" s="1">
        <v>42874</v>
      </c>
      <c r="D1707" s="2">
        <f>YEAR(C1707)</f>
        <v>2017</v>
      </c>
      <c r="E1707">
        <v>135000</v>
      </c>
      <c r="F1707" t="s">
        <v>16</v>
      </c>
      <c r="G1707">
        <v>1962</v>
      </c>
      <c r="H1707">
        <v>4643</v>
      </c>
      <c r="I1707" t="s">
        <v>38</v>
      </c>
      <c r="J1707">
        <v>76</v>
      </c>
      <c r="K1707">
        <v>60076</v>
      </c>
      <c r="L1707">
        <v>1000</v>
      </c>
      <c r="M1707">
        <v>5</v>
      </c>
      <c r="N1707">
        <v>1</v>
      </c>
      <c r="O1707">
        <v>1</v>
      </c>
      <c r="P1707" t="s">
        <v>18</v>
      </c>
      <c r="Q1707">
        <v>2</v>
      </c>
      <c r="R1707">
        <v>0</v>
      </c>
      <c r="S1707" t="s">
        <v>19</v>
      </c>
      <c r="T1707">
        <v>0</v>
      </c>
      <c r="U1707">
        <v>1</v>
      </c>
    </row>
    <row r="1708" spans="1:21" x14ac:dyDescent="0.25">
      <c r="A1708">
        <v>9715862</v>
      </c>
      <c r="B1708" t="s">
        <v>15</v>
      </c>
      <c r="C1708" s="1">
        <v>43018</v>
      </c>
      <c r="D1708" s="2">
        <f>YEAR(C1708)</f>
        <v>2017</v>
      </c>
      <c r="E1708">
        <v>137500</v>
      </c>
      <c r="F1708" t="s">
        <v>16</v>
      </c>
      <c r="G1708">
        <v>1962</v>
      </c>
      <c r="H1708">
        <v>4641</v>
      </c>
      <c r="I1708" t="s">
        <v>38</v>
      </c>
      <c r="J1708">
        <v>76</v>
      </c>
      <c r="K1708">
        <v>60076</v>
      </c>
      <c r="L1708">
        <v>1000</v>
      </c>
      <c r="M1708">
        <v>5</v>
      </c>
      <c r="N1708">
        <v>1</v>
      </c>
      <c r="O1708">
        <v>1</v>
      </c>
      <c r="P1708" t="s">
        <v>18</v>
      </c>
      <c r="Q1708">
        <v>2</v>
      </c>
      <c r="R1708">
        <v>0</v>
      </c>
      <c r="S1708" t="s">
        <v>19</v>
      </c>
      <c r="T1708">
        <v>0</v>
      </c>
      <c r="U1708">
        <v>1</v>
      </c>
    </row>
    <row r="1709" spans="1:21" x14ac:dyDescent="0.25">
      <c r="A1709">
        <v>9983453</v>
      </c>
      <c r="B1709" t="s">
        <v>15</v>
      </c>
      <c r="C1709" s="1">
        <v>43300</v>
      </c>
      <c r="D1709" s="2">
        <f>YEAR(C1709)</f>
        <v>2018</v>
      </c>
      <c r="E1709">
        <v>150000</v>
      </c>
      <c r="F1709" t="s">
        <v>16</v>
      </c>
      <c r="G1709">
        <v>1962</v>
      </c>
      <c r="H1709">
        <v>4641</v>
      </c>
      <c r="I1709" t="s">
        <v>38</v>
      </c>
      <c r="J1709">
        <v>76</v>
      </c>
      <c r="K1709">
        <v>60076</v>
      </c>
      <c r="L1709">
        <v>1000</v>
      </c>
      <c r="M1709">
        <v>5</v>
      </c>
      <c r="N1709">
        <v>1</v>
      </c>
      <c r="O1709">
        <v>1</v>
      </c>
      <c r="P1709" t="s">
        <v>18</v>
      </c>
      <c r="Q1709">
        <v>2</v>
      </c>
      <c r="R1709">
        <v>0</v>
      </c>
      <c r="S1709" t="s">
        <v>19</v>
      </c>
      <c r="T1709">
        <v>0</v>
      </c>
      <c r="U1709">
        <v>1</v>
      </c>
    </row>
    <row r="1710" spans="1:21" x14ac:dyDescent="0.25">
      <c r="A1710">
        <v>9598894</v>
      </c>
      <c r="B1710" t="s">
        <v>15</v>
      </c>
      <c r="C1710" s="1">
        <v>42923</v>
      </c>
      <c r="D1710" s="2">
        <f>YEAR(C1710)</f>
        <v>2017</v>
      </c>
      <c r="E1710">
        <v>129500</v>
      </c>
      <c r="F1710" t="s">
        <v>16</v>
      </c>
      <c r="G1710">
        <v>1962</v>
      </c>
      <c r="H1710">
        <v>8440</v>
      </c>
      <c r="I1710" t="s">
        <v>20</v>
      </c>
      <c r="J1710">
        <v>76</v>
      </c>
      <c r="K1710">
        <v>60077</v>
      </c>
      <c r="L1710">
        <v>800</v>
      </c>
      <c r="M1710">
        <v>4</v>
      </c>
      <c r="N1710">
        <v>1</v>
      </c>
      <c r="O1710">
        <v>0</v>
      </c>
      <c r="P1710" t="s">
        <v>18</v>
      </c>
      <c r="Q1710">
        <v>2</v>
      </c>
      <c r="R1710">
        <v>0</v>
      </c>
      <c r="S1710" t="s">
        <v>19</v>
      </c>
      <c r="T1710">
        <v>0</v>
      </c>
      <c r="U1710">
        <v>1</v>
      </c>
    </row>
    <row r="1711" spans="1:21" x14ac:dyDescent="0.25">
      <c r="A1711">
        <v>9601609</v>
      </c>
      <c r="B1711" t="s">
        <v>15</v>
      </c>
      <c r="C1711" s="1">
        <v>42944</v>
      </c>
      <c r="D1711" s="2">
        <f>YEAR(C1711)</f>
        <v>2017</v>
      </c>
      <c r="E1711">
        <v>158000</v>
      </c>
      <c r="F1711" t="s">
        <v>16</v>
      </c>
      <c r="G1711">
        <v>1963</v>
      </c>
      <c r="H1711">
        <v>10124</v>
      </c>
      <c r="I1711" t="s">
        <v>34</v>
      </c>
      <c r="J1711">
        <v>76</v>
      </c>
      <c r="K1711">
        <v>60077</v>
      </c>
      <c r="L1711">
        <v>1496</v>
      </c>
      <c r="M1711">
        <v>6</v>
      </c>
      <c r="N1711">
        <v>2</v>
      </c>
      <c r="O1711">
        <v>0</v>
      </c>
      <c r="P1711" t="s">
        <v>18</v>
      </c>
      <c r="Q1711">
        <v>3</v>
      </c>
      <c r="R1711">
        <v>0</v>
      </c>
      <c r="S1711" t="s">
        <v>19</v>
      </c>
      <c r="T1711">
        <v>0</v>
      </c>
      <c r="U1711">
        <v>1</v>
      </c>
    </row>
    <row r="1712" spans="1:21" x14ac:dyDescent="0.25">
      <c r="A1712">
        <v>9870217</v>
      </c>
      <c r="B1712" t="s">
        <v>15</v>
      </c>
      <c r="C1712" s="1">
        <v>43245</v>
      </c>
      <c r="D1712" s="2">
        <f>YEAR(C1712)</f>
        <v>2018</v>
      </c>
      <c r="E1712">
        <v>136000</v>
      </c>
      <c r="F1712" t="s">
        <v>16</v>
      </c>
      <c r="G1712">
        <v>1963</v>
      </c>
      <c r="H1712">
        <v>10015</v>
      </c>
      <c r="I1712" t="s">
        <v>40</v>
      </c>
      <c r="J1712">
        <v>76</v>
      </c>
      <c r="K1712">
        <v>60076</v>
      </c>
      <c r="L1712">
        <v>1200</v>
      </c>
      <c r="M1712">
        <v>5</v>
      </c>
      <c r="N1712">
        <v>2</v>
      </c>
      <c r="O1712">
        <v>0</v>
      </c>
      <c r="P1712" t="s">
        <v>18</v>
      </c>
      <c r="Q1712">
        <v>2</v>
      </c>
      <c r="R1712">
        <v>0</v>
      </c>
      <c r="S1712" t="s">
        <v>19</v>
      </c>
      <c r="T1712">
        <v>0</v>
      </c>
      <c r="U1712">
        <v>1</v>
      </c>
    </row>
    <row r="1713" spans="1:21" x14ac:dyDescent="0.25">
      <c r="A1713">
        <v>9583415</v>
      </c>
      <c r="B1713" t="s">
        <v>15</v>
      </c>
      <c r="C1713" s="1">
        <v>42871</v>
      </c>
      <c r="D1713" s="2">
        <f>YEAR(C1713)</f>
        <v>2017</v>
      </c>
      <c r="E1713">
        <v>177500</v>
      </c>
      <c r="F1713" t="s">
        <v>16</v>
      </c>
      <c r="G1713">
        <v>1964</v>
      </c>
      <c r="H1713">
        <v>10015</v>
      </c>
      <c r="I1713" t="s">
        <v>40</v>
      </c>
      <c r="J1713">
        <v>76</v>
      </c>
      <c r="K1713">
        <v>60076</v>
      </c>
      <c r="L1713">
        <v>1750</v>
      </c>
      <c r="M1713">
        <v>6</v>
      </c>
      <c r="N1713">
        <v>2</v>
      </c>
      <c r="O1713">
        <v>0</v>
      </c>
      <c r="P1713" t="s">
        <v>18</v>
      </c>
      <c r="Q1713">
        <v>3</v>
      </c>
      <c r="R1713">
        <v>0</v>
      </c>
      <c r="S1713" t="s">
        <v>19</v>
      </c>
      <c r="T1713">
        <v>0</v>
      </c>
      <c r="U1713">
        <v>1</v>
      </c>
    </row>
    <row r="1714" spans="1:21" x14ac:dyDescent="0.25">
      <c r="A1714">
        <v>9966391</v>
      </c>
      <c r="B1714" t="s">
        <v>15</v>
      </c>
      <c r="C1714" s="1">
        <v>43312</v>
      </c>
      <c r="D1714" s="2">
        <f>YEAR(C1714)</f>
        <v>2018</v>
      </c>
      <c r="E1714">
        <v>197000</v>
      </c>
      <c r="F1714" t="s">
        <v>16</v>
      </c>
      <c r="G1714">
        <v>1965</v>
      </c>
      <c r="H1714">
        <v>10124</v>
      </c>
      <c r="I1714" t="s">
        <v>42</v>
      </c>
      <c r="J1714">
        <v>76</v>
      </c>
      <c r="K1714">
        <v>60076</v>
      </c>
      <c r="L1714">
        <v>1450</v>
      </c>
      <c r="M1714">
        <v>6</v>
      </c>
      <c r="N1714">
        <v>2</v>
      </c>
      <c r="O1714">
        <v>0</v>
      </c>
      <c r="P1714" t="s">
        <v>18</v>
      </c>
      <c r="Q1714">
        <v>3</v>
      </c>
      <c r="R1714">
        <v>0</v>
      </c>
      <c r="S1714" t="s">
        <v>19</v>
      </c>
      <c r="T1714">
        <v>0</v>
      </c>
      <c r="U1714">
        <v>1</v>
      </c>
    </row>
    <row r="1715" spans="1:21" x14ac:dyDescent="0.25">
      <c r="A1715">
        <v>9897375</v>
      </c>
      <c r="B1715" t="s">
        <v>15</v>
      </c>
      <c r="C1715" s="1">
        <v>43231</v>
      </c>
      <c r="D1715" s="2">
        <f>YEAR(C1715)</f>
        <v>2018</v>
      </c>
      <c r="E1715">
        <v>190000</v>
      </c>
      <c r="F1715" t="s">
        <v>16</v>
      </c>
      <c r="G1715">
        <v>1965</v>
      </c>
      <c r="H1715">
        <v>8306</v>
      </c>
      <c r="I1715" t="s">
        <v>43</v>
      </c>
      <c r="J1715">
        <v>76</v>
      </c>
      <c r="K1715">
        <v>60076</v>
      </c>
      <c r="L1715">
        <v>1300</v>
      </c>
      <c r="M1715">
        <v>6</v>
      </c>
      <c r="N1715">
        <v>1</v>
      </c>
      <c r="O1715">
        <v>1</v>
      </c>
      <c r="P1715" t="s">
        <v>18</v>
      </c>
      <c r="Q1715">
        <v>3</v>
      </c>
      <c r="R1715">
        <v>0</v>
      </c>
      <c r="S1715" t="s">
        <v>19</v>
      </c>
      <c r="T1715">
        <v>0</v>
      </c>
      <c r="U1715">
        <v>1</v>
      </c>
    </row>
    <row r="1716" spans="1:21" x14ac:dyDescent="0.25">
      <c r="A1716">
        <v>9495899</v>
      </c>
      <c r="B1716" t="s">
        <v>15</v>
      </c>
      <c r="C1716" s="1">
        <v>42866</v>
      </c>
      <c r="D1716" s="2">
        <f>YEAR(C1716)</f>
        <v>2017</v>
      </c>
      <c r="E1716">
        <v>148000</v>
      </c>
      <c r="F1716" t="s">
        <v>16</v>
      </c>
      <c r="G1716">
        <v>1965</v>
      </c>
      <c r="H1716">
        <v>10108</v>
      </c>
      <c r="I1716" t="s">
        <v>34</v>
      </c>
      <c r="J1716">
        <v>76</v>
      </c>
      <c r="K1716">
        <v>60076</v>
      </c>
      <c r="L1716">
        <v>1300</v>
      </c>
      <c r="M1716">
        <v>6</v>
      </c>
      <c r="N1716">
        <v>2</v>
      </c>
      <c r="O1716">
        <v>0</v>
      </c>
      <c r="P1716" t="s">
        <v>18</v>
      </c>
      <c r="Q1716">
        <v>3</v>
      </c>
      <c r="R1716">
        <v>0</v>
      </c>
      <c r="S1716" t="s">
        <v>19</v>
      </c>
      <c r="T1716">
        <v>0</v>
      </c>
      <c r="U1716">
        <v>1</v>
      </c>
    </row>
    <row r="1717" spans="1:21" x14ac:dyDescent="0.25">
      <c r="A1717">
        <v>10063678</v>
      </c>
      <c r="B1717" t="s">
        <v>15</v>
      </c>
      <c r="C1717" s="1">
        <v>43417</v>
      </c>
      <c r="D1717" s="2">
        <f>YEAR(C1717)</f>
        <v>2018</v>
      </c>
      <c r="E1717">
        <v>175000</v>
      </c>
      <c r="F1717" t="s">
        <v>16</v>
      </c>
      <c r="G1717">
        <v>1965</v>
      </c>
      <c r="H1717">
        <v>10117</v>
      </c>
      <c r="I1717" t="s">
        <v>44</v>
      </c>
      <c r="J1717">
        <v>76</v>
      </c>
      <c r="K1717">
        <v>60076</v>
      </c>
      <c r="L1717">
        <v>1200</v>
      </c>
      <c r="M1717">
        <v>5</v>
      </c>
      <c r="N1717">
        <v>2</v>
      </c>
      <c r="O1717">
        <v>0</v>
      </c>
      <c r="P1717" t="s">
        <v>18</v>
      </c>
      <c r="Q1717">
        <v>2</v>
      </c>
      <c r="R1717">
        <v>0</v>
      </c>
      <c r="S1717" t="s">
        <v>19</v>
      </c>
      <c r="T1717">
        <v>0</v>
      </c>
      <c r="U1717">
        <v>1</v>
      </c>
    </row>
    <row r="1718" spans="1:21" x14ac:dyDescent="0.25">
      <c r="A1718">
        <v>9939096</v>
      </c>
      <c r="B1718" t="s">
        <v>15</v>
      </c>
      <c r="C1718" s="1">
        <v>43280</v>
      </c>
      <c r="D1718" s="2">
        <f>YEAR(C1718)</f>
        <v>2018</v>
      </c>
      <c r="E1718">
        <v>156000</v>
      </c>
      <c r="F1718" t="s">
        <v>16</v>
      </c>
      <c r="G1718">
        <v>1965</v>
      </c>
      <c r="H1718">
        <v>10100</v>
      </c>
      <c r="I1718" t="s">
        <v>34</v>
      </c>
      <c r="J1718">
        <v>76</v>
      </c>
      <c r="K1718">
        <v>60076</v>
      </c>
      <c r="L1718">
        <v>1100</v>
      </c>
      <c r="M1718">
        <v>5</v>
      </c>
      <c r="N1718">
        <v>2</v>
      </c>
      <c r="O1718">
        <v>0</v>
      </c>
      <c r="P1718" t="s">
        <v>18</v>
      </c>
      <c r="Q1718">
        <v>2</v>
      </c>
      <c r="R1718">
        <v>0</v>
      </c>
      <c r="S1718" t="s">
        <v>19</v>
      </c>
      <c r="T1718">
        <v>0</v>
      </c>
      <c r="U1718">
        <v>1</v>
      </c>
    </row>
    <row r="1719" spans="1:21" x14ac:dyDescent="0.25">
      <c r="A1719">
        <v>9939218</v>
      </c>
      <c r="B1719" t="s">
        <v>15</v>
      </c>
      <c r="C1719" s="1">
        <v>43269</v>
      </c>
      <c r="D1719" s="2">
        <f>YEAR(C1719)</f>
        <v>2018</v>
      </c>
      <c r="E1719">
        <v>161800</v>
      </c>
      <c r="F1719" t="s">
        <v>16</v>
      </c>
      <c r="G1719">
        <v>1965</v>
      </c>
      <c r="H1719">
        <v>4718</v>
      </c>
      <c r="I1719" t="s">
        <v>41</v>
      </c>
      <c r="J1719">
        <v>76</v>
      </c>
      <c r="K1719">
        <v>60076</v>
      </c>
      <c r="L1719">
        <v>1000</v>
      </c>
      <c r="M1719">
        <v>5</v>
      </c>
      <c r="N1719">
        <v>2</v>
      </c>
      <c r="O1719">
        <v>0</v>
      </c>
      <c r="P1719" t="s">
        <v>18</v>
      </c>
      <c r="Q1719">
        <v>2</v>
      </c>
      <c r="R1719">
        <v>0</v>
      </c>
      <c r="S1719" t="s">
        <v>19</v>
      </c>
      <c r="T1719">
        <v>0</v>
      </c>
      <c r="U1719">
        <v>1</v>
      </c>
    </row>
    <row r="1720" spans="1:21" x14ac:dyDescent="0.25">
      <c r="A1720">
        <v>9580815</v>
      </c>
      <c r="B1720" t="s">
        <v>15</v>
      </c>
      <c r="C1720" s="1">
        <v>42894</v>
      </c>
      <c r="D1720" s="2">
        <f>YEAR(C1720)</f>
        <v>2017</v>
      </c>
      <c r="E1720">
        <v>139500</v>
      </c>
      <c r="F1720" t="s">
        <v>16</v>
      </c>
      <c r="G1720">
        <v>1965</v>
      </c>
      <c r="H1720">
        <v>8500</v>
      </c>
      <c r="I1720" t="s">
        <v>20</v>
      </c>
      <c r="J1720">
        <v>76</v>
      </c>
      <c r="K1720">
        <v>60077</v>
      </c>
      <c r="L1720">
        <v>965</v>
      </c>
      <c r="M1720">
        <v>5</v>
      </c>
      <c r="N1720">
        <v>1</v>
      </c>
      <c r="O1720">
        <v>1</v>
      </c>
      <c r="P1720" t="s">
        <v>18</v>
      </c>
      <c r="Q1720">
        <v>2</v>
      </c>
      <c r="R1720">
        <v>0</v>
      </c>
      <c r="S1720" t="s">
        <v>19</v>
      </c>
      <c r="T1720">
        <v>0</v>
      </c>
      <c r="U1720">
        <v>1</v>
      </c>
    </row>
    <row r="1721" spans="1:21" x14ac:dyDescent="0.25">
      <c r="A1721">
        <v>9831189</v>
      </c>
      <c r="B1721" t="s">
        <v>15</v>
      </c>
      <c r="C1721" s="1">
        <v>43203</v>
      </c>
      <c r="D1721" s="2">
        <f>YEAR(C1721)</f>
        <v>2018</v>
      </c>
      <c r="E1721">
        <v>160000</v>
      </c>
      <c r="F1721" t="s">
        <v>16</v>
      </c>
      <c r="G1721">
        <v>1966</v>
      </c>
      <c r="H1721">
        <v>7801</v>
      </c>
      <c r="I1721" t="s">
        <v>46</v>
      </c>
      <c r="J1721">
        <v>76</v>
      </c>
      <c r="K1721">
        <v>60077</v>
      </c>
      <c r="L1721">
        <v>1400</v>
      </c>
      <c r="M1721">
        <v>5</v>
      </c>
      <c r="N1721">
        <v>2</v>
      </c>
      <c r="O1721">
        <v>0</v>
      </c>
      <c r="P1721" t="s">
        <v>18</v>
      </c>
      <c r="Q1721">
        <v>2</v>
      </c>
      <c r="R1721">
        <v>0</v>
      </c>
      <c r="S1721" t="s">
        <v>19</v>
      </c>
      <c r="T1721">
        <v>0</v>
      </c>
      <c r="U1721">
        <v>1</v>
      </c>
    </row>
    <row r="1722" spans="1:21" x14ac:dyDescent="0.25">
      <c r="A1722">
        <v>9977127</v>
      </c>
      <c r="B1722" t="s">
        <v>15</v>
      </c>
      <c r="C1722" s="1">
        <v>43343</v>
      </c>
      <c r="D1722" s="2">
        <f>YEAR(C1722)</f>
        <v>2018</v>
      </c>
      <c r="E1722">
        <v>95000</v>
      </c>
      <c r="F1722" t="s">
        <v>16</v>
      </c>
      <c r="G1722">
        <v>1966</v>
      </c>
      <c r="H1722">
        <v>4718</v>
      </c>
      <c r="I1722" t="s">
        <v>41</v>
      </c>
      <c r="J1722">
        <v>76</v>
      </c>
      <c r="K1722">
        <v>60076</v>
      </c>
      <c r="L1722">
        <v>900</v>
      </c>
      <c r="M1722">
        <v>4</v>
      </c>
      <c r="N1722">
        <v>1</v>
      </c>
      <c r="O1722">
        <v>0</v>
      </c>
      <c r="P1722" t="s">
        <v>18</v>
      </c>
      <c r="Q1722">
        <v>1</v>
      </c>
      <c r="R1722">
        <v>0</v>
      </c>
      <c r="S1722" t="s">
        <v>19</v>
      </c>
      <c r="T1722">
        <v>0</v>
      </c>
      <c r="U1722">
        <v>1</v>
      </c>
    </row>
    <row r="1723" spans="1:21" x14ac:dyDescent="0.25">
      <c r="A1723">
        <v>9163731</v>
      </c>
      <c r="B1723" t="s">
        <v>15</v>
      </c>
      <c r="C1723" s="1">
        <v>42846</v>
      </c>
      <c r="D1723" s="2">
        <f>YEAR(C1723)</f>
        <v>2017</v>
      </c>
      <c r="E1723">
        <v>187000</v>
      </c>
      <c r="F1723" t="s">
        <v>16</v>
      </c>
      <c r="G1723">
        <v>1967</v>
      </c>
      <c r="H1723">
        <v>8448</v>
      </c>
      <c r="I1723" t="s">
        <v>47</v>
      </c>
      <c r="J1723">
        <v>76</v>
      </c>
      <c r="K1723">
        <v>60077</v>
      </c>
      <c r="L1723">
        <v>1312</v>
      </c>
      <c r="M1723">
        <v>7</v>
      </c>
      <c r="N1723">
        <v>1</v>
      </c>
      <c r="O1723">
        <v>1</v>
      </c>
      <c r="P1723" t="s">
        <v>18</v>
      </c>
      <c r="Q1723">
        <v>3</v>
      </c>
      <c r="R1723">
        <v>0</v>
      </c>
      <c r="S1723" t="s">
        <v>19</v>
      </c>
      <c r="T1723">
        <v>0</v>
      </c>
      <c r="U1723">
        <v>1</v>
      </c>
    </row>
    <row r="1724" spans="1:21" x14ac:dyDescent="0.25">
      <c r="A1724">
        <v>9952189</v>
      </c>
      <c r="B1724" t="s">
        <v>15</v>
      </c>
      <c r="C1724" s="1">
        <v>43276</v>
      </c>
      <c r="D1724" s="2">
        <f>YEAR(C1724)</f>
        <v>2018</v>
      </c>
      <c r="E1724">
        <v>146600</v>
      </c>
      <c r="F1724" t="s">
        <v>16</v>
      </c>
      <c r="G1724">
        <v>1967</v>
      </c>
      <c r="H1724">
        <v>8030</v>
      </c>
      <c r="I1724" t="s">
        <v>23</v>
      </c>
      <c r="J1724">
        <v>76</v>
      </c>
      <c r="K1724">
        <v>60076</v>
      </c>
      <c r="L1724">
        <v>1000</v>
      </c>
      <c r="M1724">
        <v>6</v>
      </c>
      <c r="N1724">
        <v>1</v>
      </c>
      <c r="O1724">
        <v>0</v>
      </c>
      <c r="P1724" t="s">
        <v>18</v>
      </c>
      <c r="Q1724">
        <v>2</v>
      </c>
      <c r="R1724">
        <v>0</v>
      </c>
      <c r="S1724" t="s">
        <v>19</v>
      </c>
      <c r="T1724">
        <v>0</v>
      </c>
      <c r="U1724">
        <v>1</v>
      </c>
    </row>
    <row r="1725" spans="1:21" x14ac:dyDescent="0.25">
      <c r="A1725">
        <v>9843362</v>
      </c>
      <c r="B1725" t="s">
        <v>15</v>
      </c>
      <c r="C1725" s="1">
        <v>43276</v>
      </c>
      <c r="D1725" s="2">
        <f>YEAR(C1725)</f>
        <v>2018</v>
      </c>
      <c r="E1725">
        <v>140000</v>
      </c>
      <c r="F1725" t="s">
        <v>16</v>
      </c>
      <c r="G1725">
        <v>1968</v>
      </c>
      <c r="H1725">
        <v>5200</v>
      </c>
      <c r="I1725" t="s">
        <v>50</v>
      </c>
      <c r="J1725">
        <v>76</v>
      </c>
      <c r="K1725">
        <v>60077</v>
      </c>
      <c r="L1725">
        <v>13000</v>
      </c>
      <c r="M1725">
        <v>5</v>
      </c>
      <c r="N1725">
        <v>2</v>
      </c>
      <c r="O1725">
        <v>0</v>
      </c>
      <c r="P1725" t="s">
        <v>18</v>
      </c>
      <c r="Q1725">
        <v>2</v>
      </c>
      <c r="R1725">
        <v>0</v>
      </c>
      <c r="S1725" t="s">
        <v>19</v>
      </c>
      <c r="T1725">
        <v>0</v>
      </c>
      <c r="U1725">
        <v>1</v>
      </c>
    </row>
    <row r="1726" spans="1:21" x14ac:dyDescent="0.25">
      <c r="A1726">
        <v>9941607</v>
      </c>
      <c r="B1726" t="s">
        <v>15</v>
      </c>
      <c r="C1726" s="1">
        <v>43280</v>
      </c>
      <c r="D1726" s="2">
        <f>YEAR(C1726)</f>
        <v>2018</v>
      </c>
      <c r="E1726">
        <v>179000</v>
      </c>
      <c r="F1726" t="s">
        <v>16</v>
      </c>
      <c r="G1726">
        <v>1968</v>
      </c>
      <c r="H1726">
        <v>5251</v>
      </c>
      <c r="I1726" t="s">
        <v>50</v>
      </c>
      <c r="J1726">
        <v>76</v>
      </c>
      <c r="K1726">
        <v>60077</v>
      </c>
      <c r="L1726">
        <v>1435</v>
      </c>
      <c r="M1726">
        <v>5</v>
      </c>
      <c r="N1726">
        <v>2</v>
      </c>
      <c r="O1726">
        <v>0</v>
      </c>
      <c r="P1726" t="s">
        <v>18</v>
      </c>
      <c r="Q1726">
        <v>2</v>
      </c>
      <c r="R1726">
        <v>0</v>
      </c>
      <c r="S1726" t="s">
        <v>19</v>
      </c>
      <c r="T1726">
        <v>0</v>
      </c>
      <c r="U1726">
        <v>1</v>
      </c>
    </row>
    <row r="1727" spans="1:21" x14ac:dyDescent="0.25">
      <c r="A1727">
        <v>9469350</v>
      </c>
      <c r="B1727" t="s">
        <v>15</v>
      </c>
      <c r="C1727" s="1">
        <v>42824</v>
      </c>
      <c r="D1727" s="2">
        <f>YEAR(C1727)</f>
        <v>2017</v>
      </c>
      <c r="E1727">
        <v>143850</v>
      </c>
      <c r="F1727" t="s">
        <v>16</v>
      </c>
      <c r="G1727">
        <v>1968</v>
      </c>
      <c r="H1727">
        <v>5215</v>
      </c>
      <c r="I1727" t="s">
        <v>37</v>
      </c>
      <c r="J1727">
        <v>76</v>
      </c>
      <c r="K1727">
        <v>60077</v>
      </c>
      <c r="L1727">
        <v>1400</v>
      </c>
      <c r="M1727">
        <v>6</v>
      </c>
      <c r="N1727">
        <v>2</v>
      </c>
      <c r="O1727">
        <v>0</v>
      </c>
      <c r="P1727" t="s">
        <v>18</v>
      </c>
      <c r="Q1727">
        <v>3</v>
      </c>
      <c r="R1727">
        <v>0</v>
      </c>
      <c r="S1727" t="s">
        <v>19</v>
      </c>
      <c r="T1727">
        <v>0</v>
      </c>
      <c r="U1727">
        <v>1</v>
      </c>
    </row>
    <row r="1728" spans="1:21" x14ac:dyDescent="0.25">
      <c r="A1728">
        <v>9916253</v>
      </c>
      <c r="B1728" t="s">
        <v>15</v>
      </c>
      <c r="C1728" s="1">
        <v>43256</v>
      </c>
      <c r="D1728" s="2">
        <f>YEAR(C1728)</f>
        <v>2018</v>
      </c>
      <c r="E1728">
        <v>190000</v>
      </c>
      <c r="F1728" t="s">
        <v>16</v>
      </c>
      <c r="G1728">
        <v>1968</v>
      </c>
      <c r="H1728">
        <v>5251</v>
      </c>
      <c r="I1728" t="s">
        <v>37</v>
      </c>
      <c r="J1728">
        <v>76</v>
      </c>
      <c r="K1728">
        <v>60077</v>
      </c>
      <c r="L1728">
        <v>1380</v>
      </c>
      <c r="M1728">
        <v>6</v>
      </c>
      <c r="N1728">
        <v>2</v>
      </c>
      <c r="O1728">
        <v>0</v>
      </c>
      <c r="P1728" t="s">
        <v>18</v>
      </c>
      <c r="Q1728">
        <v>3</v>
      </c>
      <c r="R1728">
        <v>0</v>
      </c>
      <c r="S1728" t="s">
        <v>19</v>
      </c>
      <c r="T1728">
        <v>0</v>
      </c>
      <c r="U1728">
        <v>1</v>
      </c>
    </row>
    <row r="1729" spans="1:21" x14ac:dyDescent="0.25">
      <c r="A1729">
        <v>10082315</v>
      </c>
      <c r="B1729" t="s">
        <v>15</v>
      </c>
      <c r="C1729" s="1">
        <v>43413</v>
      </c>
      <c r="D1729" s="2">
        <f>YEAR(C1729)</f>
        <v>2018</v>
      </c>
      <c r="E1729">
        <v>162000</v>
      </c>
      <c r="F1729" t="s">
        <v>16</v>
      </c>
      <c r="G1729">
        <v>1968</v>
      </c>
      <c r="H1729">
        <v>5251</v>
      </c>
      <c r="I1729" t="s">
        <v>50</v>
      </c>
      <c r="J1729">
        <v>76</v>
      </c>
      <c r="K1729">
        <v>60077</v>
      </c>
      <c r="L1729">
        <v>1325</v>
      </c>
      <c r="M1729">
        <v>5</v>
      </c>
      <c r="N1729">
        <v>2</v>
      </c>
      <c r="O1729">
        <v>0</v>
      </c>
      <c r="P1729" t="s">
        <v>18</v>
      </c>
      <c r="Q1729">
        <v>2</v>
      </c>
      <c r="R1729">
        <v>0</v>
      </c>
      <c r="S1729" t="s">
        <v>19</v>
      </c>
      <c r="T1729">
        <v>0</v>
      </c>
      <c r="U1729">
        <v>1</v>
      </c>
    </row>
    <row r="1730" spans="1:21" x14ac:dyDescent="0.25">
      <c r="A1730">
        <v>9488035</v>
      </c>
      <c r="B1730" t="s">
        <v>15</v>
      </c>
      <c r="C1730" s="1">
        <v>42930</v>
      </c>
      <c r="D1730" s="2">
        <f>YEAR(C1730)</f>
        <v>2017</v>
      </c>
      <c r="E1730">
        <v>203000</v>
      </c>
      <c r="F1730" t="s">
        <v>16</v>
      </c>
      <c r="G1730">
        <v>1968</v>
      </c>
      <c r="H1730">
        <v>5251</v>
      </c>
      <c r="I1730" t="s">
        <v>50</v>
      </c>
      <c r="J1730">
        <v>76</v>
      </c>
      <c r="K1730">
        <v>60077</v>
      </c>
      <c r="L1730">
        <v>1323</v>
      </c>
      <c r="M1730">
        <v>6</v>
      </c>
      <c r="N1730">
        <v>2</v>
      </c>
      <c r="O1730">
        <v>0</v>
      </c>
      <c r="P1730" t="s">
        <v>18</v>
      </c>
      <c r="Q1730">
        <v>3</v>
      </c>
      <c r="R1730">
        <v>0</v>
      </c>
      <c r="S1730" t="s">
        <v>19</v>
      </c>
      <c r="T1730">
        <v>0</v>
      </c>
      <c r="U1730">
        <v>1</v>
      </c>
    </row>
    <row r="1731" spans="1:21" x14ac:dyDescent="0.25">
      <c r="A1731">
        <v>10083109</v>
      </c>
      <c r="B1731" t="s">
        <v>15</v>
      </c>
      <c r="C1731" s="1">
        <v>43396</v>
      </c>
      <c r="D1731" s="2">
        <f>YEAR(C1731)</f>
        <v>2018</v>
      </c>
      <c r="E1731">
        <v>154000</v>
      </c>
      <c r="F1731" t="s">
        <v>16</v>
      </c>
      <c r="G1731">
        <v>1968</v>
      </c>
      <c r="H1731">
        <v>10015</v>
      </c>
      <c r="I1731" t="s">
        <v>40</v>
      </c>
      <c r="J1731">
        <v>76</v>
      </c>
      <c r="K1731">
        <v>60076</v>
      </c>
      <c r="L1731">
        <v>1200</v>
      </c>
      <c r="M1731">
        <v>5</v>
      </c>
      <c r="N1731">
        <v>2</v>
      </c>
      <c r="O1731">
        <v>0</v>
      </c>
      <c r="P1731" t="s">
        <v>18</v>
      </c>
      <c r="Q1731">
        <v>2</v>
      </c>
      <c r="R1731">
        <v>0</v>
      </c>
      <c r="S1731" t="s">
        <v>19</v>
      </c>
      <c r="T1731">
        <v>0</v>
      </c>
      <c r="U1731">
        <v>1</v>
      </c>
    </row>
    <row r="1732" spans="1:21" x14ac:dyDescent="0.25">
      <c r="A1732">
        <v>9685376</v>
      </c>
      <c r="B1732" t="s">
        <v>15</v>
      </c>
      <c r="C1732" s="1">
        <v>43005</v>
      </c>
      <c r="D1732" s="2">
        <f>YEAR(C1732)</f>
        <v>2017</v>
      </c>
      <c r="E1732">
        <v>159000</v>
      </c>
      <c r="F1732" t="s">
        <v>16</v>
      </c>
      <c r="G1732">
        <v>1968</v>
      </c>
      <c r="H1732">
        <v>5200</v>
      </c>
      <c r="I1732" t="s">
        <v>50</v>
      </c>
      <c r="J1732">
        <v>76</v>
      </c>
      <c r="K1732">
        <v>60077</v>
      </c>
      <c r="L1732">
        <v>1200</v>
      </c>
      <c r="M1732">
        <v>5</v>
      </c>
      <c r="N1732">
        <v>2</v>
      </c>
      <c r="O1732">
        <v>0</v>
      </c>
      <c r="P1732" t="s">
        <v>18</v>
      </c>
      <c r="Q1732">
        <v>2</v>
      </c>
      <c r="R1732">
        <v>0</v>
      </c>
      <c r="S1732" t="s">
        <v>19</v>
      </c>
      <c r="T1732">
        <v>0</v>
      </c>
      <c r="U1732">
        <v>1</v>
      </c>
    </row>
    <row r="1733" spans="1:21" x14ac:dyDescent="0.25">
      <c r="A1733">
        <v>9647130</v>
      </c>
      <c r="B1733" t="s">
        <v>15</v>
      </c>
      <c r="C1733" s="1">
        <v>42962</v>
      </c>
      <c r="D1733" s="2">
        <f>YEAR(C1733)</f>
        <v>2017</v>
      </c>
      <c r="E1733">
        <v>167500</v>
      </c>
      <c r="F1733" t="s">
        <v>16</v>
      </c>
      <c r="G1733">
        <v>1968</v>
      </c>
      <c r="H1733">
        <v>5214</v>
      </c>
      <c r="I1733" t="s">
        <v>37</v>
      </c>
      <c r="J1733">
        <v>76</v>
      </c>
      <c r="K1733">
        <v>60077</v>
      </c>
      <c r="L1733">
        <v>1051</v>
      </c>
      <c r="M1733">
        <v>5</v>
      </c>
      <c r="N1733">
        <v>2</v>
      </c>
      <c r="O1733">
        <v>0</v>
      </c>
      <c r="P1733" t="s">
        <v>18</v>
      </c>
      <c r="Q1733">
        <v>2</v>
      </c>
      <c r="R1733">
        <v>0</v>
      </c>
      <c r="S1733" t="s">
        <v>19</v>
      </c>
      <c r="T1733">
        <v>0</v>
      </c>
      <c r="U1733">
        <v>1</v>
      </c>
    </row>
    <row r="1734" spans="1:21" x14ac:dyDescent="0.25">
      <c r="A1734">
        <v>9901873</v>
      </c>
      <c r="B1734" t="s">
        <v>15</v>
      </c>
      <c r="C1734" s="1">
        <v>43199</v>
      </c>
      <c r="D1734" s="2">
        <f>YEAR(C1734)</f>
        <v>2018</v>
      </c>
      <c r="E1734">
        <v>163500</v>
      </c>
      <c r="F1734" t="s">
        <v>16</v>
      </c>
      <c r="G1734">
        <v>1968</v>
      </c>
      <c r="H1734">
        <v>5214</v>
      </c>
      <c r="I1734" t="s">
        <v>37</v>
      </c>
      <c r="J1734">
        <v>76</v>
      </c>
      <c r="K1734">
        <v>60077</v>
      </c>
      <c r="L1734">
        <v>1000</v>
      </c>
      <c r="M1734">
        <v>5</v>
      </c>
      <c r="N1734">
        <v>2</v>
      </c>
      <c r="O1734">
        <v>0</v>
      </c>
      <c r="P1734" t="s">
        <v>18</v>
      </c>
      <c r="Q1734">
        <v>2</v>
      </c>
      <c r="R1734">
        <v>0</v>
      </c>
      <c r="S1734" t="s">
        <v>19</v>
      </c>
      <c r="T1734">
        <v>0</v>
      </c>
      <c r="U1734">
        <v>1</v>
      </c>
    </row>
    <row r="1735" spans="1:21" x14ac:dyDescent="0.25">
      <c r="A1735">
        <v>9658324</v>
      </c>
      <c r="B1735" t="s">
        <v>15</v>
      </c>
      <c r="C1735" s="1">
        <v>42947</v>
      </c>
      <c r="D1735" s="2">
        <f>YEAR(C1735)</f>
        <v>2017</v>
      </c>
      <c r="E1735">
        <v>99500</v>
      </c>
      <c r="F1735" t="s">
        <v>16</v>
      </c>
      <c r="G1735">
        <v>1968</v>
      </c>
      <c r="H1735">
        <v>5214</v>
      </c>
      <c r="I1735" t="s">
        <v>50</v>
      </c>
      <c r="J1735">
        <v>76</v>
      </c>
      <c r="K1735">
        <v>60077</v>
      </c>
      <c r="L1735">
        <v>950</v>
      </c>
      <c r="M1735">
        <v>4</v>
      </c>
      <c r="N1735">
        <v>1</v>
      </c>
      <c r="O1735">
        <v>0</v>
      </c>
      <c r="P1735" t="s">
        <v>18</v>
      </c>
      <c r="Q1735">
        <v>1</v>
      </c>
      <c r="R1735">
        <v>0</v>
      </c>
      <c r="S1735" t="s">
        <v>19</v>
      </c>
      <c r="T1735">
        <v>0</v>
      </c>
      <c r="U1735">
        <v>1</v>
      </c>
    </row>
    <row r="1736" spans="1:21" x14ac:dyDescent="0.25">
      <c r="A1736">
        <v>9647639</v>
      </c>
      <c r="B1736" t="s">
        <v>15</v>
      </c>
      <c r="C1736" s="1">
        <v>42940</v>
      </c>
      <c r="D1736" s="2">
        <f>YEAR(C1736)</f>
        <v>2017</v>
      </c>
      <c r="E1736">
        <v>103000</v>
      </c>
      <c r="F1736" t="s">
        <v>16</v>
      </c>
      <c r="G1736">
        <v>1968</v>
      </c>
      <c r="H1736">
        <v>4855</v>
      </c>
      <c r="I1736" t="s">
        <v>51</v>
      </c>
      <c r="J1736">
        <v>76</v>
      </c>
      <c r="K1736">
        <v>60077</v>
      </c>
      <c r="L1736">
        <v>726</v>
      </c>
      <c r="M1736">
        <v>4</v>
      </c>
      <c r="N1736">
        <v>1</v>
      </c>
      <c r="O1736">
        <v>0</v>
      </c>
      <c r="P1736" t="s">
        <v>18</v>
      </c>
      <c r="Q1736">
        <v>1</v>
      </c>
      <c r="R1736">
        <v>0</v>
      </c>
      <c r="S1736" t="s">
        <v>19</v>
      </c>
      <c r="T1736">
        <v>0</v>
      </c>
      <c r="U1736">
        <v>1</v>
      </c>
    </row>
    <row r="1737" spans="1:21" x14ac:dyDescent="0.25">
      <c r="A1737">
        <v>10116525</v>
      </c>
      <c r="B1737" t="s">
        <v>15</v>
      </c>
      <c r="C1737" s="1">
        <v>43419</v>
      </c>
      <c r="D1737" s="2">
        <f>YEAR(C1737)</f>
        <v>2018</v>
      </c>
      <c r="E1737">
        <v>195000</v>
      </c>
      <c r="F1737" t="s">
        <v>16</v>
      </c>
      <c r="G1737">
        <v>1969</v>
      </c>
      <c r="H1737">
        <v>8210</v>
      </c>
      <c r="I1737" t="s">
        <v>52</v>
      </c>
      <c r="J1737">
        <v>76</v>
      </c>
      <c r="K1737">
        <v>60077</v>
      </c>
      <c r="L1737">
        <v>1500</v>
      </c>
      <c r="M1737">
        <v>6</v>
      </c>
      <c r="N1737">
        <v>2</v>
      </c>
      <c r="O1737">
        <v>0</v>
      </c>
      <c r="P1737" t="s">
        <v>18</v>
      </c>
      <c r="Q1737">
        <v>3</v>
      </c>
      <c r="R1737">
        <v>0</v>
      </c>
      <c r="S1737" t="s">
        <v>21</v>
      </c>
      <c r="T1737">
        <v>1</v>
      </c>
      <c r="U1737">
        <v>1</v>
      </c>
    </row>
    <row r="1738" spans="1:21" x14ac:dyDescent="0.25">
      <c r="A1738">
        <v>9806182</v>
      </c>
      <c r="B1738" t="s">
        <v>15</v>
      </c>
      <c r="C1738" s="1">
        <v>43098</v>
      </c>
      <c r="D1738" s="2">
        <f>YEAR(C1738)</f>
        <v>2017</v>
      </c>
      <c r="E1738">
        <v>186000</v>
      </c>
      <c r="F1738" t="s">
        <v>16</v>
      </c>
      <c r="G1738">
        <v>1969</v>
      </c>
      <c r="H1738">
        <v>8210</v>
      </c>
      <c r="I1738" t="s">
        <v>52</v>
      </c>
      <c r="J1738">
        <v>76</v>
      </c>
      <c r="K1738">
        <v>60077</v>
      </c>
      <c r="L1738">
        <v>1300</v>
      </c>
      <c r="M1738">
        <v>5</v>
      </c>
      <c r="N1738">
        <v>2</v>
      </c>
      <c r="O1738">
        <v>0</v>
      </c>
      <c r="P1738" t="s">
        <v>18</v>
      </c>
      <c r="Q1738">
        <v>2</v>
      </c>
      <c r="R1738">
        <v>0</v>
      </c>
      <c r="S1738" t="s">
        <v>21</v>
      </c>
      <c r="T1738">
        <v>1</v>
      </c>
      <c r="U1738">
        <v>1</v>
      </c>
    </row>
    <row r="1739" spans="1:21" x14ac:dyDescent="0.25">
      <c r="A1739">
        <v>9738846</v>
      </c>
      <c r="B1739" t="s">
        <v>15</v>
      </c>
      <c r="C1739" s="1">
        <v>43105</v>
      </c>
      <c r="D1739" s="2">
        <f>YEAR(C1739)</f>
        <v>2018</v>
      </c>
      <c r="E1739">
        <v>123000</v>
      </c>
      <c r="F1739" t="s">
        <v>16</v>
      </c>
      <c r="G1739">
        <v>1969</v>
      </c>
      <c r="H1739">
        <v>8521</v>
      </c>
      <c r="I1739" t="s">
        <v>53</v>
      </c>
      <c r="J1739">
        <v>76</v>
      </c>
      <c r="K1739">
        <v>60077</v>
      </c>
      <c r="L1739">
        <v>1000</v>
      </c>
      <c r="M1739">
        <v>5</v>
      </c>
      <c r="N1739">
        <v>1</v>
      </c>
      <c r="O1739">
        <v>0</v>
      </c>
      <c r="P1739" t="s">
        <v>18</v>
      </c>
      <c r="Q1739">
        <v>2</v>
      </c>
      <c r="R1739">
        <v>0</v>
      </c>
      <c r="S1739" t="s">
        <v>19</v>
      </c>
      <c r="T1739">
        <v>0</v>
      </c>
      <c r="U1739">
        <v>1</v>
      </c>
    </row>
    <row r="1740" spans="1:21" x14ac:dyDescent="0.25">
      <c r="A1740">
        <v>9714146</v>
      </c>
      <c r="B1740" t="s">
        <v>15</v>
      </c>
      <c r="C1740" s="1">
        <v>43123</v>
      </c>
      <c r="D1740" s="2">
        <f>YEAR(C1740)</f>
        <v>2018</v>
      </c>
      <c r="E1740">
        <v>120000</v>
      </c>
      <c r="F1740" t="s">
        <v>16</v>
      </c>
      <c r="G1740">
        <v>1969</v>
      </c>
      <c r="H1740">
        <v>8230</v>
      </c>
      <c r="I1740" t="s">
        <v>52</v>
      </c>
      <c r="J1740">
        <v>76</v>
      </c>
      <c r="K1740">
        <v>60077</v>
      </c>
      <c r="L1740">
        <v>840</v>
      </c>
      <c r="M1740">
        <v>4</v>
      </c>
      <c r="N1740">
        <v>1</v>
      </c>
      <c r="O1740">
        <v>0</v>
      </c>
      <c r="P1740" t="s">
        <v>18</v>
      </c>
      <c r="Q1740">
        <v>1</v>
      </c>
      <c r="R1740">
        <v>0</v>
      </c>
      <c r="S1740" t="s">
        <v>19</v>
      </c>
      <c r="T1740">
        <v>0</v>
      </c>
      <c r="U1740">
        <v>1</v>
      </c>
    </row>
    <row r="1741" spans="1:21" x14ac:dyDescent="0.25">
      <c r="A1741">
        <v>9950286</v>
      </c>
      <c r="B1741" t="s">
        <v>15</v>
      </c>
      <c r="C1741" s="1">
        <v>43279</v>
      </c>
      <c r="D1741" s="2">
        <f>YEAR(C1741)</f>
        <v>2018</v>
      </c>
      <c r="E1741">
        <v>85000</v>
      </c>
      <c r="F1741" t="s">
        <v>16</v>
      </c>
      <c r="G1741">
        <v>1969</v>
      </c>
      <c r="H1741">
        <v>9211</v>
      </c>
      <c r="I1741" t="s">
        <v>20</v>
      </c>
      <c r="J1741">
        <v>76</v>
      </c>
      <c r="K1741">
        <v>60077</v>
      </c>
      <c r="L1741">
        <v>600</v>
      </c>
      <c r="M1741">
        <v>4</v>
      </c>
      <c r="N1741">
        <v>1</v>
      </c>
      <c r="O1741">
        <v>0</v>
      </c>
      <c r="P1741" t="s">
        <v>18</v>
      </c>
      <c r="Q1741">
        <v>1</v>
      </c>
      <c r="R1741">
        <v>0</v>
      </c>
      <c r="S1741" t="s">
        <v>19</v>
      </c>
      <c r="T1741">
        <v>0</v>
      </c>
      <c r="U1741">
        <v>1</v>
      </c>
    </row>
    <row r="1742" spans="1:21" x14ac:dyDescent="0.25">
      <c r="A1742">
        <v>9898906</v>
      </c>
      <c r="B1742" t="s">
        <v>15</v>
      </c>
      <c r="C1742" s="1">
        <v>43431</v>
      </c>
      <c r="D1742" s="2">
        <f>YEAR(C1742)</f>
        <v>2018</v>
      </c>
      <c r="E1742">
        <v>149800</v>
      </c>
      <c r="F1742" t="s">
        <v>16</v>
      </c>
      <c r="G1742">
        <v>1970</v>
      </c>
      <c r="H1742">
        <v>4630</v>
      </c>
      <c r="I1742" t="s">
        <v>57</v>
      </c>
      <c r="J1742">
        <v>76</v>
      </c>
      <c r="K1742">
        <v>60076</v>
      </c>
      <c r="L1742">
        <v>1200</v>
      </c>
      <c r="M1742">
        <v>5</v>
      </c>
      <c r="N1742">
        <v>2</v>
      </c>
      <c r="O1742">
        <v>0</v>
      </c>
      <c r="P1742" t="s">
        <v>18</v>
      </c>
      <c r="Q1742">
        <v>2</v>
      </c>
      <c r="R1742">
        <v>0</v>
      </c>
      <c r="S1742" t="s">
        <v>19</v>
      </c>
      <c r="T1742">
        <v>0</v>
      </c>
      <c r="U1742">
        <v>1</v>
      </c>
    </row>
    <row r="1743" spans="1:21" x14ac:dyDescent="0.25">
      <c r="A1743">
        <v>9656671</v>
      </c>
      <c r="B1743" t="s">
        <v>15</v>
      </c>
      <c r="C1743" s="1">
        <v>42985</v>
      </c>
      <c r="D1743" s="2">
        <f>YEAR(C1743)</f>
        <v>2017</v>
      </c>
      <c r="E1743">
        <v>191000</v>
      </c>
      <c r="F1743" t="s">
        <v>16</v>
      </c>
      <c r="G1743">
        <v>1970</v>
      </c>
      <c r="H1743">
        <v>5001</v>
      </c>
      <c r="I1743" t="s">
        <v>55</v>
      </c>
      <c r="J1743">
        <v>76</v>
      </c>
      <c r="K1743">
        <v>60077</v>
      </c>
      <c r="L1743">
        <v>1200</v>
      </c>
      <c r="M1743">
        <v>5</v>
      </c>
      <c r="N1743">
        <v>2</v>
      </c>
      <c r="O1743">
        <v>0</v>
      </c>
      <c r="P1743" t="s">
        <v>18</v>
      </c>
      <c r="Q1743">
        <v>2</v>
      </c>
      <c r="R1743">
        <v>0</v>
      </c>
      <c r="S1743" t="s">
        <v>19</v>
      </c>
      <c r="T1743">
        <v>0</v>
      </c>
      <c r="U1743">
        <v>1</v>
      </c>
    </row>
    <row r="1744" spans="1:21" x14ac:dyDescent="0.25">
      <c r="A1744">
        <v>9580548</v>
      </c>
      <c r="B1744" t="s">
        <v>15</v>
      </c>
      <c r="C1744" s="1">
        <v>42860</v>
      </c>
      <c r="D1744" s="2">
        <f>YEAR(C1744)</f>
        <v>2017</v>
      </c>
      <c r="E1744">
        <v>105000</v>
      </c>
      <c r="F1744" t="s">
        <v>16</v>
      </c>
      <c r="G1744">
        <v>1970</v>
      </c>
      <c r="H1744">
        <v>8230</v>
      </c>
      <c r="I1744" t="s">
        <v>52</v>
      </c>
      <c r="J1744">
        <v>76</v>
      </c>
      <c r="K1744">
        <v>60077</v>
      </c>
      <c r="L1744">
        <v>925</v>
      </c>
      <c r="M1744">
        <v>4</v>
      </c>
      <c r="N1744">
        <v>1</v>
      </c>
      <c r="O1744">
        <v>0</v>
      </c>
      <c r="P1744" t="s">
        <v>18</v>
      </c>
      <c r="Q1744">
        <v>1</v>
      </c>
      <c r="R1744">
        <v>0</v>
      </c>
      <c r="S1744" t="s">
        <v>19</v>
      </c>
      <c r="T1744">
        <v>0</v>
      </c>
      <c r="U1744">
        <v>1</v>
      </c>
    </row>
    <row r="1745" spans="1:21" x14ac:dyDescent="0.25">
      <c r="A1745">
        <v>9638756</v>
      </c>
      <c r="B1745" t="s">
        <v>15</v>
      </c>
      <c r="C1745" s="1">
        <v>42936</v>
      </c>
      <c r="D1745" s="2">
        <f>YEAR(C1745)</f>
        <v>2017</v>
      </c>
      <c r="E1745">
        <v>202000</v>
      </c>
      <c r="F1745" t="s">
        <v>16</v>
      </c>
      <c r="G1745">
        <v>1971</v>
      </c>
      <c r="H1745">
        <v>4624</v>
      </c>
      <c r="I1745" t="s">
        <v>57</v>
      </c>
      <c r="J1745">
        <v>76</v>
      </c>
      <c r="K1745">
        <v>60076</v>
      </c>
      <c r="L1745">
        <v>1437</v>
      </c>
      <c r="M1745">
        <v>7</v>
      </c>
      <c r="N1745">
        <v>2</v>
      </c>
      <c r="O1745">
        <v>0</v>
      </c>
      <c r="P1745" t="s">
        <v>18</v>
      </c>
      <c r="Q1745">
        <v>3</v>
      </c>
      <c r="R1745">
        <v>0</v>
      </c>
      <c r="S1745" t="s">
        <v>19</v>
      </c>
      <c r="T1745">
        <v>0</v>
      </c>
      <c r="U1745">
        <v>1</v>
      </c>
    </row>
    <row r="1746" spans="1:21" x14ac:dyDescent="0.25">
      <c r="A1746">
        <v>9493526</v>
      </c>
      <c r="B1746" t="s">
        <v>15</v>
      </c>
      <c r="C1746" s="1">
        <v>42832</v>
      </c>
      <c r="D1746" s="2">
        <f>YEAR(C1746)</f>
        <v>2017</v>
      </c>
      <c r="E1746">
        <v>130000</v>
      </c>
      <c r="F1746" t="s">
        <v>16</v>
      </c>
      <c r="G1746">
        <v>1972</v>
      </c>
      <c r="H1746">
        <v>10015</v>
      </c>
      <c r="I1746" t="s">
        <v>40</v>
      </c>
      <c r="J1746">
        <v>76</v>
      </c>
      <c r="K1746">
        <v>60076</v>
      </c>
      <c r="L1746">
        <v>1200</v>
      </c>
      <c r="M1746">
        <v>5</v>
      </c>
      <c r="N1746">
        <v>2</v>
      </c>
      <c r="O1746">
        <v>0</v>
      </c>
      <c r="P1746" t="s">
        <v>18</v>
      </c>
      <c r="Q1746">
        <v>2</v>
      </c>
      <c r="R1746">
        <v>0</v>
      </c>
      <c r="S1746" t="s">
        <v>19</v>
      </c>
      <c r="T1746">
        <v>0</v>
      </c>
      <c r="U1746">
        <v>1</v>
      </c>
    </row>
    <row r="1747" spans="1:21" x14ac:dyDescent="0.25">
      <c r="A1747">
        <v>9978701</v>
      </c>
      <c r="B1747" t="s">
        <v>15</v>
      </c>
      <c r="C1747" s="1">
        <v>43392</v>
      </c>
      <c r="D1747" s="2">
        <f>YEAR(C1747)</f>
        <v>2018</v>
      </c>
      <c r="E1747">
        <v>189900</v>
      </c>
      <c r="F1747" t="s">
        <v>16</v>
      </c>
      <c r="G1747">
        <v>1973</v>
      </c>
      <c r="H1747">
        <v>9445</v>
      </c>
      <c r="I1747" t="s">
        <v>23</v>
      </c>
      <c r="J1747">
        <v>76</v>
      </c>
      <c r="K1747">
        <v>60076</v>
      </c>
      <c r="L1747">
        <v>1311</v>
      </c>
      <c r="M1747">
        <v>5</v>
      </c>
      <c r="N1747">
        <v>2</v>
      </c>
      <c r="O1747">
        <v>0</v>
      </c>
      <c r="P1747" t="s">
        <v>18</v>
      </c>
      <c r="Q1747">
        <v>3</v>
      </c>
      <c r="R1747">
        <v>0</v>
      </c>
      <c r="S1747" t="s">
        <v>19</v>
      </c>
      <c r="T1747">
        <v>0</v>
      </c>
      <c r="U1747">
        <v>1</v>
      </c>
    </row>
    <row r="1748" spans="1:21" x14ac:dyDescent="0.25">
      <c r="A1748">
        <v>10022162</v>
      </c>
      <c r="B1748" t="s">
        <v>15</v>
      </c>
      <c r="C1748" s="1">
        <v>43370</v>
      </c>
      <c r="D1748" s="2">
        <f>YEAR(C1748)</f>
        <v>2018</v>
      </c>
      <c r="E1748">
        <v>192500</v>
      </c>
      <c r="F1748" t="s">
        <v>16</v>
      </c>
      <c r="G1748">
        <v>1974</v>
      </c>
      <c r="H1748">
        <v>4949</v>
      </c>
      <c r="I1748" t="s">
        <v>63</v>
      </c>
      <c r="J1748">
        <v>76</v>
      </c>
      <c r="K1748">
        <v>60077</v>
      </c>
      <c r="L1748">
        <v>1800</v>
      </c>
      <c r="M1748">
        <v>6</v>
      </c>
      <c r="N1748">
        <v>2</v>
      </c>
      <c r="O1748">
        <v>0</v>
      </c>
      <c r="P1748" t="s">
        <v>18</v>
      </c>
      <c r="Q1748">
        <v>3</v>
      </c>
      <c r="R1748">
        <v>0</v>
      </c>
      <c r="S1748" t="s">
        <v>21</v>
      </c>
      <c r="T1748">
        <v>1</v>
      </c>
      <c r="U1748">
        <v>1</v>
      </c>
    </row>
    <row r="1749" spans="1:21" x14ac:dyDescent="0.25">
      <c r="A1749">
        <v>10156902</v>
      </c>
      <c r="B1749" t="s">
        <v>15</v>
      </c>
      <c r="C1749" s="1">
        <v>43496</v>
      </c>
      <c r="D1749" s="2">
        <f>YEAR(C1749)</f>
        <v>2019</v>
      </c>
      <c r="E1749">
        <v>190000</v>
      </c>
      <c r="F1749" t="s">
        <v>16</v>
      </c>
      <c r="G1749">
        <v>1975</v>
      </c>
      <c r="H1749">
        <v>5200</v>
      </c>
      <c r="I1749" t="s">
        <v>66</v>
      </c>
      <c r="J1749">
        <v>76</v>
      </c>
      <c r="K1749">
        <v>60077</v>
      </c>
      <c r="L1749">
        <v>1550</v>
      </c>
      <c r="M1749">
        <v>5</v>
      </c>
      <c r="N1749">
        <v>2</v>
      </c>
      <c r="O1749">
        <v>0</v>
      </c>
      <c r="P1749" t="s">
        <v>18</v>
      </c>
      <c r="Q1749">
        <v>2</v>
      </c>
      <c r="R1749">
        <v>0</v>
      </c>
      <c r="S1749" t="s">
        <v>21</v>
      </c>
      <c r="T1749">
        <v>1</v>
      </c>
      <c r="U1749">
        <v>1</v>
      </c>
    </row>
    <row r="1750" spans="1:21" x14ac:dyDescent="0.25">
      <c r="A1750">
        <v>9507473</v>
      </c>
      <c r="B1750" t="s">
        <v>15</v>
      </c>
      <c r="C1750" s="1">
        <v>42860</v>
      </c>
      <c r="D1750" s="2">
        <f>YEAR(C1750)</f>
        <v>2017</v>
      </c>
      <c r="E1750">
        <v>192000</v>
      </c>
      <c r="F1750" t="s">
        <v>16</v>
      </c>
      <c r="G1750">
        <v>1975</v>
      </c>
      <c r="H1750">
        <v>9530</v>
      </c>
      <c r="I1750" t="s">
        <v>17</v>
      </c>
      <c r="J1750">
        <v>76</v>
      </c>
      <c r="K1750">
        <v>60077</v>
      </c>
      <c r="L1750">
        <v>1400</v>
      </c>
      <c r="M1750">
        <v>5</v>
      </c>
      <c r="N1750">
        <v>2</v>
      </c>
      <c r="O1750">
        <v>0</v>
      </c>
      <c r="P1750" t="s">
        <v>18</v>
      </c>
      <c r="Q1750">
        <v>2</v>
      </c>
      <c r="R1750">
        <v>0</v>
      </c>
      <c r="S1750" t="s">
        <v>21</v>
      </c>
      <c r="T1750">
        <v>1</v>
      </c>
      <c r="U1750">
        <v>1</v>
      </c>
    </row>
    <row r="1751" spans="1:21" x14ac:dyDescent="0.25">
      <c r="A1751">
        <v>9778826</v>
      </c>
      <c r="B1751" t="s">
        <v>15</v>
      </c>
      <c r="C1751" s="1">
        <v>43192</v>
      </c>
      <c r="D1751" s="2">
        <f>YEAR(C1751)</f>
        <v>2018</v>
      </c>
      <c r="E1751">
        <v>158500</v>
      </c>
      <c r="F1751" t="s">
        <v>16</v>
      </c>
      <c r="G1751">
        <v>1975</v>
      </c>
      <c r="H1751">
        <v>8161</v>
      </c>
      <c r="I1751" t="s">
        <v>46</v>
      </c>
      <c r="J1751">
        <v>76</v>
      </c>
      <c r="K1751">
        <v>60077</v>
      </c>
      <c r="L1751">
        <v>1300</v>
      </c>
      <c r="M1751">
        <v>6</v>
      </c>
      <c r="N1751">
        <v>2</v>
      </c>
      <c r="O1751">
        <v>0</v>
      </c>
      <c r="P1751" t="s">
        <v>18</v>
      </c>
      <c r="Q1751">
        <v>3</v>
      </c>
      <c r="R1751">
        <v>0</v>
      </c>
      <c r="S1751" t="s">
        <v>19</v>
      </c>
      <c r="T1751">
        <v>0</v>
      </c>
      <c r="U1751">
        <v>1</v>
      </c>
    </row>
    <row r="1752" spans="1:21" x14ac:dyDescent="0.25">
      <c r="A1752">
        <v>10040751</v>
      </c>
      <c r="B1752" t="s">
        <v>15</v>
      </c>
      <c r="C1752" s="1">
        <v>43369</v>
      </c>
      <c r="D1752" s="2">
        <f>YEAR(C1752)</f>
        <v>2018</v>
      </c>
      <c r="E1752">
        <v>135000</v>
      </c>
      <c r="F1752" t="s">
        <v>16</v>
      </c>
      <c r="G1752">
        <v>1975</v>
      </c>
      <c r="H1752">
        <v>4940</v>
      </c>
      <c r="I1752" t="s">
        <v>45</v>
      </c>
      <c r="J1752">
        <v>76</v>
      </c>
      <c r="K1752">
        <v>60077</v>
      </c>
      <c r="L1752">
        <v>1100</v>
      </c>
      <c r="M1752">
        <v>4</v>
      </c>
      <c r="N1752">
        <v>1</v>
      </c>
      <c r="O1752">
        <v>0</v>
      </c>
      <c r="P1752" t="s">
        <v>18</v>
      </c>
      <c r="Q1752">
        <v>1</v>
      </c>
      <c r="R1752">
        <v>0</v>
      </c>
      <c r="S1752" t="s">
        <v>21</v>
      </c>
      <c r="T1752">
        <v>1</v>
      </c>
      <c r="U1752">
        <v>1</v>
      </c>
    </row>
    <row r="1753" spans="1:21" x14ac:dyDescent="0.25">
      <c r="A1753">
        <v>10031231</v>
      </c>
      <c r="B1753" t="s">
        <v>15</v>
      </c>
      <c r="C1753" s="1">
        <v>43342</v>
      </c>
      <c r="D1753" s="2">
        <f>YEAR(C1753)</f>
        <v>2018</v>
      </c>
      <c r="E1753">
        <v>145000</v>
      </c>
      <c r="F1753" t="s">
        <v>16</v>
      </c>
      <c r="G1753">
        <v>1975</v>
      </c>
      <c r="H1753">
        <v>8161</v>
      </c>
      <c r="I1753" t="s">
        <v>46</v>
      </c>
      <c r="J1753">
        <v>76</v>
      </c>
      <c r="K1753">
        <v>60077</v>
      </c>
      <c r="L1753">
        <v>1008</v>
      </c>
      <c r="M1753">
        <v>5</v>
      </c>
      <c r="N1753">
        <v>1</v>
      </c>
      <c r="O1753">
        <v>1</v>
      </c>
      <c r="P1753" t="s">
        <v>18</v>
      </c>
      <c r="Q1753">
        <v>2</v>
      </c>
      <c r="R1753">
        <v>0</v>
      </c>
      <c r="S1753" t="s">
        <v>19</v>
      </c>
      <c r="T1753">
        <v>0</v>
      </c>
      <c r="U1753">
        <v>1</v>
      </c>
    </row>
    <row r="1754" spans="1:21" x14ac:dyDescent="0.25">
      <c r="A1754">
        <v>9484679</v>
      </c>
      <c r="B1754" t="s">
        <v>15</v>
      </c>
      <c r="C1754" s="1">
        <v>42849</v>
      </c>
      <c r="D1754" s="2">
        <f>YEAR(C1754)</f>
        <v>2017</v>
      </c>
      <c r="E1754">
        <v>205000</v>
      </c>
      <c r="F1754" t="s">
        <v>16</v>
      </c>
      <c r="G1754">
        <v>1976</v>
      </c>
      <c r="H1754">
        <v>5005</v>
      </c>
      <c r="I1754" t="s">
        <v>67</v>
      </c>
      <c r="J1754">
        <v>76</v>
      </c>
      <c r="K1754">
        <v>60077</v>
      </c>
      <c r="L1754">
        <v>1250</v>
      </c>
      <c r="M1754">
        <v>5</v>
      </c>
      <c r="N1754">
        <v>2</v>
      </c>
      <c r="O1754">
        <v>0</v>
      </c>
      <c r="P1754" t="s">
        <v>18</v>
      </c>
      <c r="Q1754">
        <v>2</v>
      </c>
      <c r="R1754">
        <v>0</v>
      </c>
      <c r="S1754" t="s">
        <v>21</v>
      </c>
      <c r="T1754">
        <v>1</v>
      </c>
      <c r="U1754">
        <v>1</v>
      </c>
    </row>
    <row r="1755" spans="1:21" x14ac:dyDescent="0.25">
      <c r="A1755">
        <v>9583074</v>
      </c>
      <c r="B1755" t="s">
        <v>15</v>
      </c>
      <c r="C1755" s="1">
        <v>42935</v>
      </c>
      <c r="D1755" s="2">
        <f>YEAR(C1755)</f>
        <v>2017</v>
      </c>
      <c r="E1755">
        <v>185000</v>
      </c>
      <c r="F1755" t="s">
        <v>16</v>
      </c>
      <c r="G1755">
        <v>1976</v>
      </c>
      <c r="H1755">
        <v>5005</v>
      </c>
      <c r="I1755" t="s">
        <v>67</v>
      </c>
      <c r="J1755">
        <v>76</v>
      </c>
      <c r="K1755">
        <v>60077</v>
      </c>
      <c r="L1755">
        <v>1200</v>
      </c>
      <c r="M1755">
        <v>5</v>
      </c>
      <c r="N1755">
        <v>2</v>
      </c>
      <c r="O1755">
        <v>0</v>
      </c>
      <c r="P1755" t="s">
        <v>18</v>
      </c>
      <c r="Q1755">
        <v>2</v>
      </c>
      <c r="R1755">
        <v>0</v>
      </c>
      <c r="S1755" t="s">
        <v>19</v>
      </c>
      <c r="T1755">
        <v>0</v>
      </c>
      <c r="U1755">
        <v>1</v>
      </c>
    </row>
    <row r="1756" spans="1:21" x14ac:dyDescent="0.25">
      <c r="A1756">
        <v>9605359</v>
      </c>
      <c r="B1756" t="s">
        <v>15</v>
      </c>
      <c r="C1756" s="1">
        <v>42893</v>
      </c>
      <c r="D1756" s="2">
        <f>YEAR(C1756)</f>
        <v>2017</v>
      </c>
      <c r="E1756">
        <v>137000</v>
      </c>
      <c r="F1756" t="s">
        <v>16</v>
      </c>
      <c r="G1756">
        <v>1976</v>
      </c>
      <c r="H1756">
        <v>5005</v>
      </c>
      <c r="I1756" t="s">
        <v>68</v>
      </c>
      <c r="J1756">
        <v>76</v>
      </c>
      <c r="K1756">
        <v>60077</v>
      </c>
      <c r="L1756">
        <v>1000</v>
      </c>
      <c r="M1756">
        <v>4</v>
      </c>
      <c r="N1756">
        <v>1</v>
      </c>
      <c r="O1756">
        <v>0</v>
      </c>
      <c r="P1756" t="s">
        <v>18</v>
      </c>
      <c r="Q1756">
        <v>1</v>
      </c>
      <c r="R1756">
        <v>0</v>
      </c>
      <c r="S1756" t="s">
        <v>21</v>
      </c>
      <c r="T1756">
        <v>1</v>
      </c>
      <c r="U1756">
        <v>1</v>
      </c>
    </row>
    <row r="1757" spans="1:21" x14ac:dyDescent="0.25">
      <c r="A1757">
        <v>9938457</v>
      </c>
      <c r="B1757" t="s">
        <v>15</v>
      </c>
      <c r="C1757" s="1">
        <v>43294</v>
      </c>
      <c r="D1757" s="2">
        <f>YEAR(C1757)</f>
        <v>2018</v>
      </c>
      <c r="E1757">
        <v>115500</v>
      </c>
      <c r="F1757" t="s">
        <v>16</v>
      </c>
      <c r="G1757">
        <v>1976</v>
      </c>
      <c r="H1757">
        <v>5005</v>
      </c>
      <c r="I1757" t="s">
        <v>68</v>
      </c>
      <c r="J1757">
        <v>76</v>
      </c>
      <c r="K1757">
        <v>60077</v>
      </c>
      <c r="L1757">
        <v>1000</v>
      </c>
      <c r="M1757">
        <v>4</v>
      </c>
      <c r="N1757">
        <v>1</v>
      </c>
      <c r="O1757">
        <v>0</v>
      </c>
      <c r="P1757" t="s">
        <v>18</v>
      </c>
      <c r="Q1757">
        <v>1</v>
      </c>
      <c r="R1757">
        <v>0</v>
      </c>
      <c r="S1757" t="s">
        <v>19</v>
      </c>
      <c r="T1757">
        <v>0</v>
      </c>
      <c r="U1757">
        <v>1</v>
      </c>
    </row>
    <row r="1758" spans="1:21" x14ac:dyDescent="0.25">
      <c r="A1758">
        <v>9963177</v>
      </c>
      <c r="B1758" t="s">
        <v>15</v>
      </c>
      <c r="C1758" s="1">
        <v>43279</v>
      </c>
      <c r="D1758" s="2">
        <f>YEAR(C1758)</f>
        <v>2018</v>
      </c>
      <c r="E1758">
        <v>145000</v>
      </c>
      <c r="F1758" t="s">
        <v>16</v>
      </c>
      <c r="G1758">
        <v>1976</v>
      </c>
      <c r="H1758">
        <v>5005</v>
      </c>
      <c r="I1758" t="s">
        <v>68</v>
      </c>
      <c r="J1758">
        <v>76</v>
      </c>
      <c r="K1758">
        <v>60077</v>
      </c>
      <c r="L1758">
        <v>995</v>
      </c>
      <c r="M1758">
        <v>4</v>
      </c>
      <c r="N1758">
        <v>1</v>
      </c>
      <c r="O1758">
        <v>0</v>
      </c>
      <c r="P1758" t="s">
        <v>18</v>
      </c>
      <c r="Q1758">
        <v>1</v>
      </c>
      <c r="R1758">
        <v>0</v>
      </c>
      <c r="S1758" t="s">
        <v>19</v>
      </c>
      <c r="T1758">
        <v>0</v>
      </c>
      <c r="U1758">
        <v>1</v>
      </c>
    </row>
    <row r="1759" spans="1:21" x14ac:dyDescent="0.25">
      <c r="A1759">
        <v>10040746</v>
      </c>
      <c r="B1759" t="s">
        <v>15</v>
      </c>
      <c r="C1759" s="1">
        <v>43369</v>
      </c>
      <c r="D1759" s="2">
        <f>YEAR(C1759)</f>
        <v>2018</v>
      </c>
      <c r="E1759">
        <v>192500</v>
      </c>
      <c r="F1759" t="s">
        <v>16</v>
      </c>
      <c r="G1759">
        <v>1976</v>
      </c>
      <c r="H1759">
        <v>5005</v>
      </c>
      <c r="I1759" t="s">
        <v>67</v>
      </c>
      <c r="J1759">
        <v>76</v>
      </c>
      <c r="K1759">
        <v>60077</v>
      </c>
      <c r="L1759">
        <v>900</v>
      </c>
      <c r="M1759">
        <v>4</v>
      </c>
      <c r="N1759">
        <v>1</v>
      </c>
      <c r="O1759">
        <v>0</v>
      </c>
      <c r="P1759" t="s">
        <v>18</v>
      </c>
      <c r="Q1759">
        <v>2</v>
      </c>
      <c r="R1759">
        <v>0</v>
      </c>
      <c r="S1759" t="s">
        <v>19</v>
      </c>
      <c r="T1759">
        <v>0</v>
      </c>
      <c r="U1759">
        <v>1</v>
      </c>
    </row>
    <row r="1760" spans="1:21" x14ac:dyDescent="0.25">
      <c r="A1760">
        <v>10039082</v>
      </c>
      <c r="B1760" t="s">
        <v>15</v>
      </c>
      <c r="C1760" s="1">
        <v>43405</v>
      </c>
      <c r="D1760" s="2">
        <f>YEAR(C1760)</f>
        <v>2018</v>
      </c>
      <c r="E1760">
        <v>180000</v>
      </c>
      <c r="F1760" t="s">
        <v>16</v>
      </c>
      <c r="G1760">
        <v>1977</v>
      </c>
      <c r="H1760">
        <v>5406</v>
      </c>
      <c r="I1760" t="s">
        <v>69</v>
      </c>
      <c r="J1760">
        <v>76</v>
      </c>
      <c r="K1760">
        <v>60077</v>
      </c>
      <c r="L1760">
        <v>1200</v>
      </c>
      <c r="M1760">
        <v>5</v>
      </c>
      <c r="N1760">
        <v>2</v>
      </c>
      <c r="O1760">
        <v>0</v>
      </c>
      <c r="P1760" t="s">
        <v>18</v>
      </c>
      <c r="Q1760">
        <v>2</v>
      </c>
      <c r="R1760">
        <v>0</v>
      </c>
      <c r="S1760" t="s">
        <v>21</v>
      </c>
      <c r="T1760">
        <v>2</v>
      </c>
      <c r="U1760">
        <v>1</v>
      </c>
    </row>
    <row r="1761" spans="1:21" x14ac:dyDescent="0.25">
      <c r="A1761">
        <v>10123152</v>
      </c>
      <c r="B1761" t="s">
        <v>15</v>
      </c>
      <c r="C1761" s="1">
        <v>43441</v>
      </c>
      <c r="D1761" s="2">
        <f>YEAR(C1761)</f>
        <v>2018</v>
      </c>
      <c r="E1761">
        <v>277500</v>
      </c>
      <c r="F1761" t="s">
        <v>16</v>
      </c>
      <c r="G1761">
        <v>2004</v>
      </c>
      <c r="H1761">
        <v>5105</v>
      </c>
      <c r="I1761" t="s">
        <v>55</v>
      </c>
      <c r="J1761">
        <v>76</v>
      </c>
      <c r="K1761">
        <v>60077</v>
      </c>
      <c r="L1761">
        <v>1597</v>
      </c>
      <c r="M1761">
        <v>6</v>
      </c>
      <c r="N1761">
        <v>2</v>
      </c>
      <c r="O1761">
        <v>0</v>
      </c>
      <c r="P1761" t="s">
        <v>18</v>
      </c>
      <c r="Q1761">
        <v>2</v>
      </c>
      <c r="R1761">
        <v>0</v>
      </c>
      <c r="S1761" t="s">
        <v>21</v>
      </c>
      <c r="T1761">
        <v>1</v>
      </c>
      <c r="U1761">
        <v>1</v>
      </c>
    </row>
    <row r="1762" spans="1:21" x14ac:dyDescent="0.25">
      <c r="A1762">
        <v>9973528</v>
      </c>
      <c r="B1762" t="s">
        <v>15</v>
      </c>
      <c r="C1762" s="1">
        <v>43301</v>
      </c>
      <c r="D1762" s="2">
        <f>YEAR(C1762)</f>
        <v>2018</v>
      </c>
      <c r="E1762">
        <v>295000</v>
      </c>
      <c r="F1762" t="s">
        <v>16</v>
      </c>
      <c r="G1762">
        <v>2005</v>
      </c>
      <c r="H1762">
        <v>5155</v>
      </c>
      <c r="I1762" t="s">
        <v>55</v>
      </c>
      <c r="J1762">
        <v>76</v>
      </c>
      <c r="K1762">
        <v>60077</v>
      </c>
      <c r="L1762">
        <v>1597</v>
      </c>
      <c r="M1762">
        <v>5</v>
      </c>
      <c r="N1762">
        <v>2</v>
      </c>
      <c r="O1762">
        <v>0</v>
      </c>
      <c r="P1762" t="s">
        <v>18</v>
      </c>
      <c r="Q1762">
        <v>2</v>
      </c>
      <c r="R1762">
        <v>0</v>
      </c>
      <c r="S1762" t="s">
        <v>21</v>
      </c>
      <c r="T1762">
        <v>1</v>
      </c>
      <c r="U1762">
        <v>1</v>
      </c>
    </row>
    <row r="1763" spans="1:21" x14ac:dyDescent="0.25">
      <c r="A1763">
        <v>9621546</v>
      </c>
      <c r="B1763" t="s">
        <v>15</v>
      </c>
      <c r="C1763" s="1">
        <v>42968</v>
      </c>
      <c r="D1763" s="2">
        <f>YEAR(C1763)</f>
        <v>2017</v>
      </c>
      <c r="E1763">
        <v>345375</v>
      </c>
      <c r="F1763" t="s">
        <v>16</v>
      </c>
      <c r="G1763">
        <v>2006</v>
      </c>
      <c r="H1763">
        <v>4953</v>
      </c>
      <c r="I1763" t="s">
        <v>66</v>
      </c>
      <c r="J1763">
        <v>76</v>
      </c>
      <c r="K1763">
        <v>60077</v>
      </c>
      <c r="L1763">
        <v>2129</v>
      </c>
      <c r="M1763">
        <v>6</v>
      </c>
      <c r="N1763">
        <v>2</v>
      </c>
      <c r="O1763">
        <v>0</v>
      </c>
      <c r="P1763" t="s">
        <v>18</v>
      </c>
      <c r="Q1763">
        <v>3</v>
      </c>
      <c r="R1763">
        <v>0</v>
      </c>
      <c r="S1763" t="s">
        <v>22</v>
      </c>
      <c r="T1763">
        <v>1</v>
      </c>
      <c r="U1763">
        <v>1</v>
      </c>
    </row>
    <row r="1764" spans="1:21" x14ac:dyDescent="0.25">
      <c r="A1764">
        <v>9952310</v>
      </c>
      <c r="B1764" t="s">
        <v>15</v>
      </c>
      <c r="C1764" s="1">
        <v>43307</v>
      </c>
      <c r="D1764" s="2">
        <f>YEAR(C1764)</f>
        <v>2018</v>
      </c>
      <c r="E1764">
        <v>134900</v>
      </c>
      <c r="F1764" t="s">
        <v>16</v>
      </c>
      <c r="G1764">
        <v>1957</v>
      </c>
      <c r="H1764">
        <v>4825</v>
      </c>
      <c r="I1764" t="s">
        <v>32</v>
      </c>
      <c r="J1764">
        <v>76</v>
      </c>
      <c r="K1764">
        <v>60077</v>
      </c>
      <c r="L1764">
        <v>850</v>
      </c>
      <c r="M1764">
        <v>5</v>
      </c>
      <c r="N1764">
        <v>1</v>
      </c>
      <c r="O1764">
        <v>0</v>
      </c>
      <c r="P1764" t="s">
        <v>18</v>
      </c>
      <c r="Q1764">
        <v>2</v>
      </c>
      <c r="R1764">
        <v>0</v>
      </c>
      <c r="S1764" t="s">
        <v>19</v>
      </c>
      <c r="T1764">
        <v>0</v>
      </c>
      <c r="U1764">
        <v>1</v>
      </c>
    </row>
    <row r="1765" spans="1:21" x14ac:dyDescent="0.25">
      <c r="A1765">
        <v>9632410</v>
      </c>
      <c r="B1765" t="s">
        <v>15</v>
      </c>
      <c r="C1765" s="1">
        <v>42928</v>
      </c>
      <c r="D1765" s="2">
        <f>YEAR(C1765)</f>
        <v>2017</v>
      </c>
      <c r="E1765">
        <v>139000</v>
      </c>
      <c r="F1765" t="s">
        <v>16</v>
      </c>
      <c r="G1765">
        <v>1957</v>
      </c>
      <c r="H1765">
        <v>4821</v>
      </c>
      <c r="I1765" t="s">
        <v>32</v>
      </c>
      <c r="J1765">
        <v>76</v>
      </c>
      <c r="K1765">
        <v>60077</v>
      </c>
      <c r="L1765">
        <v>800</v>
      </c>
      <c r="M1765">
        <v>5</v>
      </c>
      <c r="N1765">
        <v>1</v>
      </c>
      <c r="O1765">
        <v>0</v>
      </c>
      <c r="P1765" t="s">
        <v>18</v>
      </c>
      <c r="Q1765">
        <v>2</v>
      </c>
      <c r="R1765">
        <v>0</v>
      </c>
      <c r="S1765" t="s">
        <v>19</v>
      </c>
      <c r="T1765">
        <v>0</v>
      </c>
      <c r="U1765">
        <v>1</v>
      </c>
    </row>
    <row r="1766" spans="1:21" x14ac:dyDescent="0.25">
      <c r="A1766">
        <v>9640687</v>
      </c>
      <c r="B1766" t="s">
        <v>15</v>
      </c>
      <c r="C1766" s="1">
        <v>42930</v>
      </c>
      <c r="D1766" s="2">
        <f>YEAR(C1766)</f>
        <v>2017</v>
      </c>
      <c r="E1766">
        <v>147000</v>
      </c>
      <c r="F1766" t="s">
        <v>16</v>
      </c>
      <c r="G1766">
        <v>1960</v>
      </c>
      <c r="H1766">
        <v>8712</v>
      </c>
      <c r="I1766" t="s">
        <v>20</v>
      </c>
      <c r="J1766">
        <v>76</v>
      </c>
      <c r="K1766">
        <v>60077</v>
      </c>
      <c r="L1766">
        <v>900</v>
      </c>
      <c r="M1766">
        <v>5</v>
      </c>
      <c r="N1766">
        <v>2</v>
      </c>
      <c r="O1766">
        <v>0</v>
      </c>
      <c r="P1766" t="s">
        <v>18</v>
      </c>
      <c r="Q1766">
        <v>2</v>
      </c>
      <c r="R1766">
        <v>0</v>
      </c>
      <c r="S1766" t="s">
        <v>19</v>
      </c>
      <c r="T1766">
        <v>0</v>
      </c>
      <c r="U1766">
        <v>1</v>
      </c>
    </row>
    <row r="1767" spans="1:21" x14ac:dyDescent="0.25">
      <c r="A1767">
        <v>10139476</v>
      </c>
      <c r="B1767" t="s">
        <v>15</v>
      </c>
      <c r="C1767" s="1">
        <v>43490</v>
      </c>
      <c r="D1767" s="2">
        <f>YEAR(C1767)</f>
        <v>2019</v>
      </c>
      <c r="E1767">
        <v>145000</v>
      </c>
      <c r="F1767" t="s">
        <v>16</v>
      </c>
      <c r="G1767">
        <v>1961</v>
      </c>
      <c r="H1767">
        <v>8500</v>
      </c>
      <c r="I1767" t="s">
        <v>20</v>
      </c>
      <c r="J1767">
        <v>76</v>
      </c>
      <c r="K1767">
        <v>60077</v>
      </c>
      <c r="L1767">
        <v>923</v>
      </c>
      <c r="M1767">
        <v>5</v>
      </c>
      <c r="N1767">
        <v>1</v>
      </c>
      <c r="O1767">
        <v>1</v>
      </c>
      <c r="P1767" t="s">
        <v>18</v>
      </c>
      <c r="Q1767">
        <v>2</v>
      </c>
      <c r="R1767">
        <v>0</v>
      </c>
      <c r="S1767" t="s">
        <v>19</v>
      </c>
      <c r="T1767">
        <v>0</v>
      </c>
      <c r="U1767">
        <v>1</v>
      </c>
    </row>
    <row r="1768" spans="1:21" x14ac:dyDescent="0.25">
      <c r="A1768">
        <v>10037759</v>
      </c>
      <c r="B1768" t="s">
        <v>15</v>
      </c>
      <c r="C1768" s="1">
        <v>43370</v>
      </c>
      <c r="D1768" s="2">
        <f>YEAR(C1768)</f>
        <v>2018</v>
      </c>
      <c r="E1768">
        <v>105000</v>
      </c>
      <c r="F1768" t="s">
        <v>16</v>
      </c>
      <c r="G1768">
        <v>1962</v>
      </c>
      <c r="H1768">
        <v>8460</v>
      </c>
      <c r="I1768" t="s">
        <v>36</v>
      </c>
      <c r="J1768">
        <v>76</v>
      </c>
      <c r="K1768">
        <v>60077</v>
      </c>
      <c r="L1768">
        <v>760</v>
      </c>
      <c r="M1768">
        <v>5</v>
      </c>
      <c r="N1768">
        <v>1</v>
      </c>
      <c r="O1768">
        <v>0</v>
      </c>
      <c r="P1768" t="s">
        <v>18</v>
      </c>
      <c r="Q1768">
        <v>2</v>
      </c>
      <c r="R1768">
        <v>0</v>
      </c>
      <c r="S1768" t="s">
        <v>19</v>
      </c>
      <c r="T1768">
        <v>0</v>
      </c>
      <c r="U1768">
        <v>1</v>
      </c>
    </row>
    <row r="1769" spans="1:21" x14ac:dyDescent="0.25">
      <c r="A1769">
        <v>9948741</v>
      </c>
      <c r="B1769" t="s">
        <v>15</v>
      </c>
      <c r="C1769" s="1">
        <v>43368</v>
      </c>
      <c r="D1769" s="2">
        <f>YEAR(C1769)</f>
        <v>2018</v>
      </c>
      <c r="E1769">
        <v>120000</v>
      </c>
      <c r="F1769" t="s">
        <v>16</v>
      </c>
      <c r="G1769">
        <v>1963</v>
      </c>
      <c r="H1769">
        <v>4718</v>
      </c>
      <c r="I1769" t="s">
        <v>41</v>
      </c>
      <c r="J1769">
        <v>76</v>
      </c>
      <c r="K1769">
        <v>60076</v>
      </c>
      <c r="L1769">
        <v>1000</v>
      </c>
      <c r="M1769">
        <v>5</v>
      </c>
      <c r="N1769">
        <v>1</v>
      </c>
      <c r="O1769">
        <v>1</v>
      </c>
      <c r="P1769" t="s">
        <v>18</v>
      </c>
      <c r="Q1769">
        <v>2</v>
      </c>
      <c r="R1769">
        <v>0</v>
      </c>
      <c r="S1769" t="s">
        <v>19</v>
      </c>
      <c r="T1769">
        <v>0</v>
      </c>
      <c r="U1769">
        <v>1</v>
      </c>
    </row>
    <row r="1770" spans="1:21" x14ac:dyDescent="0.25">
      <c r="A1770">
        <v>9825720</v>
      </c>
      <c r="B1770" t="s">
        <v>15</v>
      </c>
      <c r="C1770" s="1">
        <v>43152</v>
      </c>
      <c r="D1770" s="2">
        <f>YEAR(C1770)</f>
        <v>2018</v>
      </c>
      <c r="E1770">
        <v>155000</v>
      </c>
      <c r="F1770" t="s">
        <v>16</v>
      </c>
      <c r="G1770">
        <v>1964</v>
      </c>
      <c r="H1770">
        <v>10117</v>
      </c>
      <c r="I1770" t="s">
        <v>44</v>
      </c>
      <c r="J1770">
        <v>76</v>
      </c>
      <c r="K1770">
        <v>60076</v>
      </c>
      <c r="L1770">
        <v>1150</v>
      </c>
      <c r="M1770">
        <v>6</v>
      </c>
      <c r="N1770">
        <v>2</v>
      </c>
      <c r="O1770">
        <v>0</v>
      </c>
      <c r="P1770" t="s">
        <v>18</v>
      </c>
      <c r="Q1770">
        <v>3</v>
      </c>
      <c r="R1770">
        <v>0</v>
      </c>
      <c r="S1770" t="s">
        <v>19</v>
      </c>
      <c r="T1770">
        <v>0</v>
      </c>
      <c r="U1770">
        <v>1</v>
      </c>
    </row>
    <row r="1771" spans="1:21" x14ac:dyDescent="0.25">
      <c r="A1771">
        <v>9738095</v>
      </c>
      <c r="B1771" t="s">
        <v>15</v>
      </c>
      <c r="C1771" s="1">
        <v>43059</v>
      </c>
      <c r="D1771" s="2">
        <f>YEAR(C1771)</f>
        <v>2017</v>
      </c>
      <c r="E1771">
        <v>165000</v>
      </c>
      <c r="F1771" t="s">
        <v>16</v>
      </c>
      <c r="G1771">
        <v>1965</v>
      </c>
      <c r="H1771">
        <v>10101</v>
      </c>
      <c r="I1771" t="s">
        <v>44</v>
      </c>
      <c r="J1771">
        <v>76</v>
      </c>
      <c r="K1771">
        <v>60076</v>
      </c>
      <c r="L1771">
        <v>1500</v>
      </c>
      <c r="M1771">
        <v>6</v>
      </c>
      <c r="N1771">
        <v>2</v>
      </c>
      <c r="O1771">
        <v>0</v>
      </c>
      <c r="P1771" t="s">
        <v>18</v>
      </c>
      <c r="Q1771">
        <v>3</v>
      </c>
      <c r="R1771">
        <v>0</v>
      </c>
      <c r="S1771" t="s">
        <v>19</v>
      </c>
      <c r="T1771">
        <v>0</v>
      </c>
      <c r="U1771">
        <v>1</v>
      </c>
    </row>
    <row r="1772" spans="1:21" x14ac:dyDescent="0.25">
      <c r="A1772">
        <v>10120955</v>
      </c>
      <c r="B1772" t="s">
        <v>15</v>
      </c>
      <c r="C1772" s="1">
        <v>43452</v>
      </c>
      <c r="D1772" s="2">
        <f>YEAR(C1772)</f>
        <v>2018</v>
      </c>
      <c r="E1772">
        <v>198000</v>
      </c>
      <c r="F1772" t="s">
        <v>16</v>
      </c>
      <c r="G1772">
        <v>1966</v>
      </c>
      <c r="H1772">
        <v>8001</v>
      </c>
      <c r="I1772" t="s">
        <v>80</v>
      </c>
      <c r="J1772">
        <v>76</v>
      </c>
      <c r="K1772">
        <v>60077</v>
      </c>
      <c r="L1772">
        <v>1900</v>
      </c>
      <c r="M1772">
        <v>6</v>
      </c>
      <c r="N1772">
        <v>2</v>
      </c>
      <c r="O1772">
        <v>0</v>
      </c>
      <c r="P1772" t="s">
        <v>18</v>
      </c>
      <c r="Q1772">
        <v>3</v>
      </c>
      <c r="R1772">
        <v>0</v>
      </c>
      <c r="S1772" t="s">
        <v>22</v>
      </c>
      <c r="T1772">
        <v>1</v>
      </c>
      <c r="U1772">
        <v>1</v>
      </c>
    </row>
    <row r="1773" spans="1:21" x14ac:dyDescent="0.25">
      <c r="A1773">
        <v>10012944</v>
      </c>
      <c r="B1773" t="s">
        <v>15</v>
      </c>
      <c r="C1773" s="1">
        <v>43388</v>
      </c>
      <c r="D1773" s="2">
        <f>YEAR(C1773)</f>
        <v>2018</v>
      </c>
      <c r="E1773">
        <v>160000</v>
      </c>
      <c r="F1773" t="s">
        <v>16</v>
      </c>
      <c r="G1773">
        <v>1967</v>
      </c>
      <c r="H1773">
        <v>10125</v>
      </c>
      <c r="I1773" t="s">
        <v>44</v>
      </c>
      <c r="J1773">
        <v>76</v>
      </c>
      <c r="K1773">
        <v>60076</v>
      </c>
      <c r="L1773">
        <v>1825</v>
      </c>
      <c r="M1773">
        <v>6</v>
      </c>
      <c r="N1773">
        <v>2</v>
      </c>
      <c r="O1773">
        <v>0</v>
      </c>
      <c r="P1773" t="s">
        <v>18</v>
      </c>
      <c r="Q1773">
        <v>3</v>
      </c>
      <c r="R1773">
        <v>0</v>
      </c>
      <c r="S1773" t="s">
        <v>19</v>
      </c>
      <c r="T1773">
        <v>0</v>
      </c>
      <c r="U1773">
        <v>1</v>
      </c>
    </row>
    <row r="1774" spans="1:21" x14ac:dyDescent="0.25">
      <c r="A1774">
        <v>9761754</v>
      </c>
      <c r="B1774" t="s">
        <v>15</v>
      </c>
      <c r="C1774" s="1">
        <v>43080</v>
      </c>
      <c r="D1774" s="2">
        <f>YEAR(C1774)</f>
        <v>2017</v>
      </c>
      <c r="E1774">
        <v>125900</v>
      </c>
      <c r="F1774" t="s">
        <v>16</v>
      </c>
      <c r="G1774">
        <v>1968</v>
      </c>
      <c r="H1774">
        <v>5214</v>
      </c>
      <c r="I1774" t="s">
        <v>37</v>
      </c>
      <c r="J1774">
        <v>76</v>
      </c>
      <c r="K1774">
        <v>60077</v>
      </c>
      <c r="L1774">
        <v>750</v>
      </c>
      <c r="M1774">
        <v>4</v>
      </c>
      <c r="N1774">
        <v>1</v>
      </c>
      <c r="O1774">
        <v>0</v>
      </c>
      <c r="P1774" t="s">
        <v>18</v>
      </c>
      <c r="Q1774">
        <v>1</v>
      </c>
      <c r="R1774">
        <v>0</v>
      </c>
      <c r="S1774" t="s">
        <v>19</v>
      </c>
      <c r="T1774">
        <v>0</v>
      </c>
      <c r="U1774">
        <v>1</v>
      </c>
    </row>
    <row r="1775" spans="1:21" x14ac:dyDescent="0.25">
      <c r="A1775">
        <v>9892249</v>
      </c>
      <c r="B1775" t="s">
        <v>15</v>
      </c>
      <c r="C1775" s="1">
        <v>43235</v>
      </c>
      <c r="D1775" s="2">
        <f>YEAR(C1775)</f>
        <v>2018</v>
      </c>
      <c r="E1775">
        <v>150500</v>
      </c>
      <c r="F1775" t="s">
        <v>16</v>
      </c>
      <c r="G1775">
        <v>1969</v>
      </c>
      <c r="H1775">
        <v>10015</v>
      </c>
      <c r="I1775" t="s">
        <v>40</v>
      </c>
      <c r="J1775">
        <v>76</v>
      </c>
      <c r="K1775">
        <v>60076</v>
      </c>
      <c r="L1775">
        <v>1150</v>
      </c>
      <c r="M1775">
        <v>5</v>
      </c>
      <c r="N1775">
        <v>2</v>
      </c>
      <c r="O1775">
        <v>0</v>
      </c>
      <c r="P1775" t="s">
        <v>18</v>
      </c>
      <c r="Q1775">
        <v>2</v>
      </c>
      <c r="R1775">
        <v>0</v>
      </c>
      <c r="S1775" t="s">
        <v>19</v>
      </c>
      <c r="T1775">
        <v>0</v>
      </c>
      <c r="U1775">
        <v>1</v>
      </c>
    </row>
    <row r="1776" spans="1:21" x14ac:dyDescent="0.25">
      <c r="A1776">
        <v>10103039</v>
      </c>
      <c r="B1776" t="s">
        <v>15</v>
      </c>
      <c r="C1776" s="1">
        <v>43440</v>
      </c>
      <c r="D1776" s="2">
        <f>YEAR(C1776)</f>
        <v>2018</v>
      </c>
      <c r="E1776">
        <v>137500</v>
      </c>
      <c r="F1776" t="s">
        <v>16</v>
      </c>
      <c r="G1776">
        <v>1970</v>
      </c>
      <c r="H1776">
        <v>5220</v>
      </c>
      <c r="I1776" t="s">
        <v>66</v>
      </c>
      <c r="J1776">
        <v>76</v>
      </c>
      <c r="K1776">
        <v>60076</v>
      </c>
      <c r="L1776">
        <v>1400</v>
      </c>
      <c r="M1776">
        <v>6</v>
      </c>
      <c r="N1776">
        <v>2</v>
      </c>
      <c r="O1776">
        <v>0</v>
      </c>
      <c r="P1776" t="s">
        <v>18</v>
      </c>
      <c r="Q1776">
        <v>2</v>
      </c>
      <c r="R1776">
        <v>0</v>
      </c>
      <c r="S1776" t="s">
        <v>19</v>
      </c>
      <c r="T1776">
        <v>0</v>
      </c>
      <c r="U1776">
        <v>1</v>
      </c>
    </row>
    <row r="1777" spans="1:21" x14ac:dyDescent="0.25">
      <c r="A1777">
        <v>9706062</v>
      </c>
      <c r="B1777" t="s">
        <v>15</v>
      </c>
      <c r="C1777" s="1">
        <v>43003</v>
      </c>
      <c r="D1777" s="2">
        <f>YEAR(C1777)</f>
        <v>2017</v>
      </c>
      <c r="E1777">
        <v>146000</v>
      </c>
      <c r="F1777" t="s">
        <v>16</v>
      </c>
      <c r="G1777">
        <v>1973</v>
      </c>
      <c r="H1777">
        <v>9445</v>
      </c>
      <c r="I1777" t="s">
        <v>23</v>
      </c>
      <c r="J1777">
        <v>76</v>
      </c>
      <c r="K1777">
        <v>60076</v>
      </c>
      <c r="L1777">
        <v>1205</v>
      </c>
      <c r="M1777">
        <v>5</v>
      </c>
      <c r="N1777">
        <v>2</v>
      </c>
      <c r="O1777">
        <v>0</v>
      </c>
      <c r="P1777" t="s">
        <v>18</v>
      </c>
      <c r="Q1777">
        <v>2</v>
      </c>
      <c r="R1777">
        <v>0</v>
      </c>
      <c r="S1777" t="s">
        <v>19</v>
      </c>
      <c r="T1777">
        <v>0</v>
      </c>
      <c r="U1777">
        <v>1</v>
      </c>
    </row>
    <row r="1778" spans="1:21" x14ac:dyDescent="0.25">
      <c r="A1778">
        <v>10097217</v>
      </c>
      <c r="B1778" t="s">
        <v>15</v>
      </c>
      <c r="C1778" s="1">
        <v>43404</v>
      </c>
      <c r="D1778" s="2">
        <f>YEAR(C1778)</f>
        <v>2018</v>
      </c>
      <c r="E1778">
        <v>170000</v>
      </c>
      <c r="F1778" t="s">
        <v>16</v>
      </c>
      <c r="G1778">
        <v>1976</v>
      </c>
      <c r="H1778">
        <v>9240</v>
      </c>
      <c r="I1778" t="s">
        <v>62</v>
      </c>
      <c r="J1778">
        <v>76</v>
      </c>
      <c r="K1778">
        <v>60077</v>
      </c>
      <c r="L1778">
        <v>1630</v>
      </c>
      <c r="M1778">
        <v>5</v>
      </c>
      <c r="N1778">
        <v>2</v>
      </c>
      <c r="O1778">
        <v>0</v>
      </c>
      <c r="P1778" t="s">
        <v>18</v>
      </c>
      <c r="Q1778">
        <v>2</v>
      </c>
      <c r="R1778">
        <v>0</v>
      </c>
      <c r="S1778" t="s">
        <v>21</v>
      </c>
      <c r="T1778">
        <v>1</v>
      </c>
      <c r="U1778">
        <v>1</v>
      </c>
    </row>
    <row r="1779" spans="1:21" x14ac:dyDescent="0.25">
      <c r="A1779">
        <v>9476012</v>
      </c>
      <c r="B1779" t="s">
        <v>15</v>
      </c>
      <c r="C1779" s="1">
        <v>42846</v>
      </c>
      <c r="D1779" s="2">
        <f>YEAR(C1779)</f>
        <v>2017</v>
      </c>
      <c r="E1779">
        <v>327000</v>
      </c>
      <c r="F1779" t="s">
        <v>16</v>
      </c>
      <c r="G1779">
        <v>2006</v>
      </c>
      <c r="H1779">
        <v>4953</v>
      </c>
      <c r="I1779" t="s">
        <v>66</v>
      </c>
      <c r="J1779">
        <v>76</v>
      </c>
      <c r="K1779">
        <v>60077</v>
      </c>
      <c r="L1779">
        <v>2129</v>
      </c>
      <c r="M1779">
        <v>6</v>
      </c>
      <c r="N1779">
        <v>2</v>
      </c>
      <c r="O1779">
        <v>0</v>
      </c>
      <c r="P1779" t="s">
        <v>18</v>
      </c>
      <c r="Q1779">
        <v>3</v>
      </c>
      <c r="R1779">
        <v>0</v>
      </c>
      <c r="S1779" t="s">
        <v>21</v>
      </c>
      <c r="T1779">
        <v>1</v>
      </c>
      <c r="U1779">
        <v>1</v>
      </c>
    </row>
    <row r="1780" spans="1:21" x14ac:dyDescent="0.25">
      <c r="A1780">
        <v>9603597</v>
      </c>
      <c r="B1780" t="s">
        <v>15</v>
      </c>
      <c r="C1780" s="1">
        <v>42912</v>
      </c>
      <c r="D1780" s="2">
        <f>YEAR(C1780)</f>
        <v>2017</v>
      </c>
      <c r="E1780">
        <v>355000</v>
      </c>
      <c r="F1780" t="s">
        <v>85</v>
      </c>
      <c r="G1780">
        <v>1949</v>
      </c>
      <c r="H1780">
        <v>8521</v>
      </c>
      <c r="I1780" t="s">
        <v>102</v>
      </c>
      <c r="J1780">
        <v>76</v>
      </c>
      <c r="K1780">
        <v>60076</v>
      </c>
      <c r="L1780">
        <v>1754</v>
      </c>
      <c r="M1780">
        <v>8</v>
      </c>
      <c r="N1780">
        <v>1</v>
      </c>
      <c r="O1780">
        <v>1</v>
      </c>
      <c r="P1780" t="s">
        <v>18</v>
      </c>
      <c r="Q1780">
        <v>4</v>
      </c>
      <c r="R1780">
        <v>0</v>
      </c>
      <c r="S1780" t="s">
        <v>21</v>
      </c>
      <c r="T1780">
        <v>1</v>
      </c>
      <c r="U1780">
        <v>1</v>
      </c>
    </row>
    <row r="1781" spans="1:21" x14ac:dyDescent="0.25">
      <c r="A1781">
        <v>9574883</v>
      </c>
      <c r="B1781" t="s">
        <v>15</v>
      </c>
      <c r="C1781" s="1">
        <v>42885</v>
      </c>
      <c r="D1781" s="2">
        <f>YEAR(C1781)</f>
        <v>2017</v>
      </c>
      <c r="E1781">
        <v>262500</v>
      </c>
      <c r="F1781" t="s">
        <v>85</v>
      </c>
      <c r="G1781">
        <v>1951</v>
      </c>
      <c r="H1781">
        <v>5319</v>
      </c>
      <c r="I1781" t="s">
        <v>154</v>
      </c>
      <c r="J1781">
        <v>76</v>
      </c>
      <c r="K1781">
        <v>60077</v>
      </c>
      <c r="L1781">
        <v>940</v>
      </c>
      <c r="M1781">
        <v>6</v>
      </c>
      <c r="N1781">
        <v>1</v>
      </c>
      <c r="O1781">
        <v>0</v>
      </c>
      <c r="P1781" t="s">
        <v>18</v>
      </c>
      <c r="Q1781">
        <v>2</v>
      </c>
      <c r="R1781">
        <v>0</v>
      </c>
      <c r="S1781" t="s">
        <v>22</v>
      </c>
      <c r="T1781">
        <v>1</v>
      </c>
      <c r="U1781">
        <v>1</v>
      </c>
    </row>
    <row r="1782" spans="1:21" x14ac:dyDescent="0.25">
      <c r="A1782">
        <v>9837013</v>
      </c>
      <c r="B1782" t="s">
        <v>15</v>
      </c>
      <c r="C1782" s="1">
        <v>43160</v>
      </c>
      <c r="D1782" s="2">
        <f>YEAR(C1782)</f>
        <v>2018</v>
      </c>
      <c r="E1782">
        <v>275000</v>
      </c>
      <c r="F1782" t="s">
        <v>85</v>
      </c>
      <c r="G1782">
        <v>1953</v>
      </c>
      <c r="H1782">
        <v>3810</v>
      </c>
      <c r="I1782" t="s">
        <v>122</v>
      </c>
      <c r="J1782">
        <v>76</v>
      </c>
      <c r="K1782">
        <v>60076</v>
      </c>
      <c r="L1782">
        <v>1320</v>
      </c>
      <c r="M1782">
        <v>7</v>
      </c>
      <c r="N1782">
        <v>2</v>
      </c>
      <c r="O1782">
        <v>0</v>
      </c>
      <c r="P1782" t="s">
        <v>18</v>
      </c>
      <c r="Q1782">
        <v>4</v>
      </c>
      <c r="R1782">
        <v>0</v>
      </c>
      <c r="S1782" t="s">
        <v>19</v>
      </c>
      <c r="T1782">
        <v>0</v>
      </c>
      <c r="U1782">
        <v>1</v>
      </c>
    </row>
    <row r="1783" spans="1:21" x14ac:dyDescent="0.25">
      <c r="A1783">
        <v>9476549</v>
      </c>
      <c r="B1783" t="s">
        <v>15</v>
      </c>
      <c r="C1783" s="1">
        <v>42804</v>
      </c>
      <c r="D1783" s="2">
        <f>YEAR(C1783)</f>
        <v>2017</v>
      </c>
      <c r="E1783">
        <v>343000</v>
      </c>
      <c r="F1783" t="s">
        <v>85</v>
      </c>
      <c r="G1783">
        <v>1955</v>
      </c>
      <c r="H1783">
        <v>8423</v>
      </c>
      <c r="I1783" t="s">
        <v>102</v>
      </c>
      <c r="J1783">
        <v>76</v>
      </c>
      <c r="K1783">
        <v>60076</v>
      </c>
      <c r="L1783">
        <v>1685</v>
      </c>
      <c r="M1783">
        <v>8</v>
      </c>
      <c r="N1783">
        <v>1</v>
      </c>
      <c r="O1783">
        <v>1</v>
      </c>
      <c r="P1783" t="s">
        <v>18</v>
      </c>
      <c r="Q1783">
        <v>3</v>
      </c>
      <c r="R1783">
        <v>0</v>
      </c>
      <c r="S1783" t="s">
        <v>21</v>
      </c>
      <c r="T1783">
        <v>1</v>
      </c>
      <c r="U1783">
        <v>1</v>
      </c>
    </row>
    <row r="1784" spans="1:21" x14ac:dyDescent="0.25">
      <c r="A1784">
        <v>9718537</v>
      </c>
      <c r="B1784" t="s">
        <v>15</v>
      </c>
      <c r="C1784" s="1">
        <v>43011</v>
      </c>
      <c r="D1784" s="2">
        <f>YEAR(C1784)</f>
        <v>2017</v>
      </c>
      <c r="E1784">
        <v>337000</v>
      </c>
      <c r="F1784" t="s">
        <v>85</v>
      </c>
      <c r="G1784">
        <v>1955</v>
      </c>
      <c r="H1784">
        <v>9129</v>
      </c>
      <c r="I1784" t="s">
        <v>101</v>
      </c>
      <c r="J1784">
        <v>76</v>
      </c>
      <c r="K1784">
        <v>60076</v>
      </c>
      <c r="L1784">
        <v>1397</v>
      </c>
      <c r="M1784">
        <v>6</v>
      </c>
      <c r="N1784">
        <v>2</v>
      </c>
      <c r="O1784">
        <v>0</v>
      </c>
      <c r="P1784" t="s">
        <v>18</v>
      </c>
      <c r="Q1784">
        <v>3</v>
      </c>
      <c r="R1784">
        <v>0</v>
      </c>
      <c r="S1784" t="s">
        <v>21</v>
      </c>
      <c r="T1784">
        <v>1</v>
      </c>
      <c r="U1784">
        <v>1</v>
      </c>
    </row>
    <row r="1785" spans="1:21" x14ac:dyDescent="0.25">
      <c r="A1785">
        <v>9609755</v>
      </c>
      <c r="B1785" t="s">
        <v>15</v>
      </c>
      <c r="C1785" s="1">
        <v>42907</v>
      </c>
      <c r="D1785" s="2">
        <f>YEAR(C1785)</f>
        <v>2017</v>
      </c>
      <c r="E1785">
        <v>285000</v>
      </c>
      <c r="F1785" t="s">
        <v>85</v>
      </c>
      <c r="G1785">
        <v>1955</v>
      </c>
      <c r="H1785">
        <v>4844</v>
      </c>
      <c r="I1785" t="s">
        <v>203</v>
      </c>
      <c r="J1785">
        <v>76</v>
      </c>
      <c r="K1785">
        <v>60077</v>
      </c>
      <c r="L1785">
        <v>1183</v>
      </c>
      <c r="M1785">
        <v>7</v>
      </c>
      <c r="N1785">
        <v>1</v>
      </c>
      <c r="O1785">
        <v>0</v>
      </c>
      <c r="P1785" t="s">
        <v>18</v>
      </c>
      <c r="Q1785">
        <v>3</v>
      </c>
      <c r="R1785">
        <v>0</v>
      </c>
      <c r="S1785" t="s">
        <v>21</v>
      </c>
      <c r="T1785">
        <v>1</v>
      </c>
      <c r="U1785">
        <v>1</v>
      </c>
    </row>
    <row r="1786" spans="1:21" x14ac:dyDescent="0.25">
      <c r="A1786">
        <v>10068596</v>
      </c>
      <c r="B1786" t="s">
        <v>15</v>
      </c>
      <c r="C1786" s="1">
        <v>43434</v>
      </c>
      <c r="D1786" s="2">
        <f>YEAR(C1786)</f>
        <v>2018</v>
      </c>
      <c r="E1786">
        <v>318000</v>
      </c>
      <c r="F1786" t="s">
        <v>85</v>
      </c>
      <c r="G1786">
        <v>1956</v>
      </c>
      <c r="H1786">
        <v>4828</v>
      </c>
      <c r="I1786" t="s">
        <v>219</v>
      </c>
      <c r="J1786">
        <v>76</v>
      </c>
      <c r="K1786">
        <v>60077</v>
      </c>
      <c r="L1786">
        <v>1809</v>
      </c>
      <c r="M1786">
        <v>9</v>
      </c>
      <c r="N1786">
        <v>2</v>
      </c>
      <c r="O1786">
        <v>0</v>
      </c>
      <c r="P1786" t="s">
        <v>18</v>
      </c>
      <c r="Q1786">
        <v>3</v>
      </c>
      <c r="R1786">
        <v>0</v>
      </c>
      <c r="S1786" t="s">
        <v>19</v>
      </c>
      <c r="T1786">
        <v>0</v>
      </c>
      <c r="U1786">
        <v>1</v>
      </c>
    </row>
    <row r="1787" spans="1:21" x14ac:dyDescent="0.25">
      <c r="A1787">
        <v>9893713</v>
      </c>
      <c r="B1787" t="s">
        <v>15</v>
      </c>
      <c r="C1787" s="1">
        <v>43241</v>
      </c>
      <c r="D1787" s="2">
        <f>YEAR(C1787)</f>
        <v>2018</v>
      </c>
      <c r="E1787">
        <v>435000</v>
      </c>
      <c r="F1787" t="s">
        <v>85</v>
      </c>
      <c r="G1787">
        <v>1939</v>
      </c>
      <c r="H1787">
        <v>8314</v>
      </c>
      <c r="I1787" t="s">
        <v>107</v>
      </c>
      <c r="J1787">
        <v>76</v>
      </c>
      <c r="K1787">
        <v>60076</v>
      </c>
      <c r="L1787">
        <v>2440</v>
      </c>
      <c r="M1787">
        <v>9</v>
      </c>
      <c r="N1787">
        <v>2</v>
      </c>
      <c r="O1787">
        <v>0</v>
      </c>
      <c r="P1787" t="s">
        <v>79</v>
      </c>
      <c r="Q1787">
        <v>3</v>
      </c>
      <c r="R1787">
        <v>0</v>
      </c>
      <c r="S1787" t="s">
        <v>21</v>
      </c>
      <c r="T1787">
        <v>1</v>
      </c>
      <c r="U1787">
        <v>1</v>
      </c>
    </row>
    <row r="1788" spans="1:21" x14ac:dyDescent="0.25">
      <c r="A1788">
        <v>9623019</v>
      </c>
      <c r="B1788" t="s">
        <v>15</v>
      </c>
      <c r="C1788" s="1">
        <v>42906</v>
      </c>
      <c r="D1788" s="2">
        <f>YEAR(C1788)</f>
        <v>2017</v>
      </c>
      <c r="E1788">
        <v>325000</v>
      </c>
      <c r="F1788" t="s">
        <v>85</v>
      </c>
      <c r="G1788">
        <v>1946</v>
      </c>
      <c r="H1788">
        <v>7821</v>
      </c>
      <c r="I1788" t="s">
        <v>101</v>
      </c>
      <c r="J1788">
        <v>76</v>
      </c>
      <c r="K1788">
        <v>60076</v>
      </c>
      <c r="L1788">
        <v>1446</v>
      </c>
      <c r="M1788">
        <v>7</v>
      </c>
      <c r="N1788">
        <v>2</v>
      </c>
      <c r="O1788">
        <v>1</v>
      </c>
      <c r="P1788" t="s">
        <v>79</v>
      </c>
      <c r="Q1788">
        <v>3</v>
      </c>
      <c r="R1788">
        <v>1</v>
      </c>
      <c r="S1788" t="s">
        <v>19</v>
      </c>
      <c r="T1788">
        <v>0</v>
      </c>
      <c r="U1788">
        <v>1</v>
      </c>
    </row>
    <row r="1789" spans="1:21" x14ac:dyDescent="0.25">
      <c r="A1789">
        <v>9514594</v>
      </c>
      <c r="B1789" t="s">
        <v>15</v>
      </c>
      <c r="C1789" s="1">
        <v>42870</v>
      </c>
      <c r="D1789" s="2">
        <f>YEAR(C1789)</f>
        <v>2017</v>
      </c>
      <c r="E1789">
        <v>350000</v>
      </c>
      <c r="F1789" t="s">
        <v>85</v>
      </c>
      <c r="G1789">
        <v>1950</v>
      </c>
      <c r="H1789">
        <v>8303</v>
      </c>
      <c r="I1789" t="s">
        <v>98</v>
      </c>
      <c r="J1789">
        <v>76</v>
      </c>
      <c r="K1789">
        <v>60076</v>
      </c>
      <c r="L1789">
        <v>1181</v>
      </c>
      <c r="M1789">
        <v>7</v>
      </c>
      <c r="N1789">
        <v>2</v>
      </c>
      <c r="O1789">
        <v>0</v>
      </c>
      <c r="P1789" t="s">
        <v>79</v>
      </c>
      <c r="Q1789">
        <v>3</v>
      </c>
      <c r="R1789">
        <v>0</v>
      </c>
      <c r="S1789" t="s">
        <v>22</v>
      </c>
      <c r="T1789">
        <v>1</v>
      </c>
      <c r="U1789">
        <v>1</v>
      </c>
    </row>
    <row r="1790" spans="1:21" x14ac:dyDescent="0.25">
      <c r="A1790">
        <v>10014639</v>
      </c>
      <c r="B1790" t="s">
        <v>15</v>
      </c>
      <c r="C1790" s="1">
        <v>43349</v>
      </c>
      <c r="D1790" s="2">
        <f>YEAR(C1790)</f>
        <v>2018</v>
      </c>
      <c r="E1790">
        <v>271000</v>
      </c>
      <c r="F1790" t="s">
        <v>85</v>
      </c>
      <c r="G1790">
        <v>1954</v>
      </c>
      <c r="H1790">
        <v>8151</v>
      </c>
      <c r="I1790" t="s">
        <v>130</v>
      </c>
      <c r="J1790">
        <v>76</v>
      </c>
      <c r="K1790">
        <v>60076</v>
      </c>
      <c r="L1790">
        <v>1080</v>
      </c>
      <c r="M1790">
        <v>7</v>
      </c>
      <c r="N1790">
        <v>2</v>
      </c>
      <c r="O1790">
        <v>0</v>
      </c>
      <c r="P1790" t="s">
        <v>79</v>
      </c>
      <c r="Q1790">
        <v>3</v>
      </c>
      <c r="R1790">
        <v>0</v>
      </c>
      <c r="S1790" t="s">
        <v>22</v>
      </c>
      <c r="T1790">
        <v>1</v>
      </c>
      <c r="U1790">
        <v>1</v>
      </c>
    </row>
    <row r="1791" spans="1:21" x14ac:dyDescent="0.25">
      <c r="A1791">
        <v>9607204</v>
      </c>
      <c r="B1791" t="s">
        <v>15</v>
      </c>
      <c r="C1791" s="1">
        <v>42943</v>
      </c>
      <c r="D1791" s="2">
        <f>YEAR(C1791)</f>
        <v>2017</v>
      </c>
      <c r="E1791">
        <v>248000</v>
      </c>
      <c r="F1791" t="s">
        <v>85</v>
      </c>
      <c r="G1791">
        <v>1955</v>
      </c>
      <c r="H1791">
        <v>9629</v>
      </c>
      <c r="I1791" t="s">
        <v>102</v>
      </c>
      <c r="J1791">
        <v>76</v>
      </c>
      <c r="K1791">
        <v>60076</v>
      </c>
      <c r="L1791">
        <v>2469</v>
      </c>
      <c r="M1791">
        <v>10</v>
      </c>
      <c r="N1791">
        <v>1</v>
      </c>
      <c r="O1791">
        <v>1</v>
      </c>
      <c r="P1791" t="s">
        <v>79</v>
      </c>
      <c r="Q1791">
        <v>3</v>
      </c>
      <c r="R1791">
        <v>0</v>
      </c>
      <c r="S1791" t="s">
        <v>19</v>
      </c>
      <c r="T1791">
        <v>0</v>
      </c>
      <c r="U1791">
        <v>1</v>
      </c>
    </row>
    <row r="1792" spans="1:21" x14ac:dyDescent="0.25">
      <c r="A1792">
        <v>10144399</v>
      </c>
      <c r="B1792" t="s">
        <v>15</v>
      </c>
      <c r="C1792" s="1">
        <v>43469</v>
      </c>
      <c r="D1792" s="2">
        <f>YEAR(C1792)</f>
        <v>2019</v>
      </c>
      <c r="E1792">
        <v>360000</v>
      </c>
      <c r="F1792" t="s">
        <v>85</v>
      </c>
      <c r="G1792">
        <v>1955</v>
      </c>
      <c r="H1792">
        <v>3812</v>
      </c>
      <c r="I1792" t="s">
        <v>187</v>
      </c>
      <c r="J1792">
        <v>76</v>
      </c>
      <c r="K1792">
        <v>60076</v>
      </c>
      <c r="L1792">
        <v>2200</v>
      </c>
      <c r="M1792">
        <v>11</v>
      </c>
      <c r="N1792">
        <v>3</v>
      </c>
      <c r="O1792">
        <v>0</v>
      </c>
      <c r="P1792" t="s">
        <v>79</v>
      </c>
      <c r="Q1792">
        <v>4</v>
      </c>
      <c r="R1792">
        <v>1</v>
      </c>
      <c r="S1792" t="s">
        <v>22</v>
      </c>
      <c r="T1792">
        <v>2</v>
      </c>
      <c r="U1792">
        <v>1</v>
      </c>
    </row>
    <row r="1793" spans="1:21" x14ac:dyDescent="0.25">
      <c r="A1793">
        <v>10158902</v>
      </c>
      <c r="B1793" t="s">
        <v>15</v>
      </c>
      <c r="C1793" s="1">
        <v>43496</v>
      </c>
      <c r="D1793" s="2">
        <f>YEAR(C1793)</f>
        <v>2019</v>
      </c>
      <c r="E1793">
        <v>370000</v>
      </c>
      <c r="F1793" t="s">
        <v>85</v>
      </c>
      <c r="G1793">
        <v>1955</v>
      </c>
      <c r="H1793">
        <v>7140</v>
      </c>
      <c r="I1793" t="s">
        <v>214</v>
      </c>
      <c r="J1793">
        <v>76</v>
      </c>
      <c r="K1793">
        <v>60076</v>
      </c>
      <c r="L1793">
        <v>1600</v>
      </c>
      <c r="M1793">
        <v>8</v>
      </c>
      <c r="N1793">
        <v>2</v>
      </c>
      <c r="O1793">
        <v>0</v>
      </c>
      <c r="P1793" t="s">
        <v>79</v>
      </c>
      <c r="Q1793">
        <v>3</v>
      </c>
      <c r="R1793">
        <v>1</v>
      </c>
      <c r="S1793" t="s">
        <v>21</v>
      </c>
      <c r="T1793">
        <v>1</v>
      </c>
      <c r="U1793">
        <v>1</v>
      </c>
    </row>
    <row r="1794" spans="1:21" x14ac:dyDescent="0.25">
      <c r="A1794">
        <v>9920842</v>
      </c>
      <c r="B1794" t="s">
        <v>15</v>
      </c>
      <c r="C1794" s="1">
        <v>43314</v>
      </c>
      <c r="D1794" s="2">
        <f>YEAR(C1794)</f>
        <v>2018</v>
      </c>
      <c r="E1794">
        <v>372500</v>
      </c>
      <c r="F1794" t="s">
        <v>85</v>
      </c>
      <c r="G1794">
        <v>1955</v>
      </c>
      <c r="H1794">
        <v>8439</v>
      </c>
      <c r="I1794" t="s">
        <v>229</v>
      </c>
      <c r="J1794">
        <v>76</v>
      </c>
      <c r="K1794">
        <v>60076</v>
      </c>
      <c r="L1794">
        <v>1400</v>
      </c>
      <c r="M1794">
        <v>7</v>
      </c>
      <c r="N1794">
        <v>2</v>
      </c>
      <c r="O1794">
        <v>1</v>
      </c>
      <c r="P1794" t="s">
        <v>79</v>
      </c>
      <c r="Q1794">
        <v>3</v>
      </c>
      <c r="R1794">
        <v>0</v>
      </c>
      <c r="S1794" t="s">
        <v>19</v>
      </c>
      <c r="T1794">
        <v>0</v>
      </c>
      <c r="U1794">
        <v>1</v>
      </c>
    </row>
    <row r="1795" spans="1:21" x14ac:dyDescent="0.25">
      <c r="A1795">
        <v>9673470</v>
      </c>
      <c r="B1795" t="s">
        <v>15</v>
      </c>
      <c r="C1795" s="1">
        <v>42998</v>
      </c>
      <c r="D1795" s="2">
        <f>YEAR(C1795)</f>
        <v>2017</v>
      </c>
      <c r="E1795">
        <v>246000</v>
      </c>
      <c r="F1795" t="s">
        <v>85</v>
      </c>
      <c r="G1795">
        <v>1955</v>
      </c>
      <c r="H1795">
        <v>9614</v>
      </c>
      <c r="I1795" t="s">
        <v>102</v>
      </c>
      <c r="J1795">
        <v>76</v>
      </c>
      <c r="K1795">
        <v>60076</v>
      </c>
      <c r="L1795">
        <v>1301</v>
      </c>
      <c r="M1795">
        <v>7</v>
      </c>
      <c r="N1795">
        <v>2</v>
      </c>
      <c r="O1795">
        <v>0</v>
      </c>
      <c r="P1795" t="s">
        <v>79</v>
      </c>
      <c r="Q1795">
        <v>3</v>
      </c>
      <c r="R1795">
        <v>0</v>
      </c>
      <c r="S1795" t="s">
        <v>19</v>
      </c>
      <c r="T1795">
        <v>0</v>
      </c>
      <c r="U1795">
        <v>1</v>
      </c>
    </row>
    <row r="1796" spans="1:21" x14ac:dyDescent="0.25">
      <c r="A1796">
        <v>9889930</v>
      </c>
      <c r="B1796" t="s">
        <v>15</v>
      </c>
      <c r="C1796" s="1">
        <v>43213</v>
      </c>
      <c r="D1796" s="2">
        <f>YEAR(C1796)</f>
        <v>2018</v>
      </c>
      <c r="E1796">
        <v>600000</v>
      </c>
      <c r="F1796" t="s">
        <v>85</v>
      </c>
      <c r="G1796">
        <v>1956</v>
      </c>
      <c r="H1796">
        <v>8939</v>
      </c>
      <c r="I1796" t="s">
        <v>222</v>
      </c>
      <c r="J1796">
        <v>76</v>
      </c>
      <c r="K1796">
        <v>60076</v>
      </c>
      <c r="L1796">
        <v>1960</v>
      </c>
      <c r="M1796">
        <v>10</v>
      </c>
      <c r="N1796">
        <v>3</v>
      </c>
      <c r="O1796">
        <v>1</v>
      </c>
      <c r="P1796" t="s">
        <v>79</v>
      </c>
      <c r="Q1796">
        <v>4</v>
      </c>
      <c r="R1796">
        <v>0</v>
      </c>
      <c r="S1796" t="s">
        <v>21</v>
      </c>
      <c r="T1796">
        <v>1</v>
      </c>
      <c r="U1796">
        <v>1</v>
      </c>
    </row>
    <row r="1797" spans="1:21" x14ac:dyDescent="0.25">
      <c r="A1797">
        <v>9820124</v>
      </c>
      <c r="B1797" t="s">
        <v>15</v>
      </c>
      <c r="C1797" s="1">
        <v>43140</v>
      </c>
      <c r="D1797" s="2">
        <f>YEAR(C1797)</f>
        <v>2018</v>
      </c>
      <c r="E1797">
        <v>315000</v>
      </c>
      <c r="F1797" t="s">
        <v>85</v>
      </c>
      <c r="G1797">
        <v>1956</v>
      </c>
      <c r="H1797">
        <v>1918</v>
      </c>
      <c r="I1797" t="s">
        <v>469</v>
      </c>
      <c r="J1797">
        <v>62</v>
      </c>
      <c r="K1797">
        <v>60062</v>
      </c>
      <c r="L1797">
        <v>1105</v>
      </c>
      <c r="M1797">
        <v>7</v>
      </c>
      <c r="N1797">
        <v>2</v>
      </c>
      <c r="O1797">
        <v>0</v>
      </c>
      <c r="P1797" t="s">
        <v>79</v>
      </c>
      <c r="Q1797">
        <v>3</v>
      </c>
      <c r="R1797">
        <v>0</v>
      </c>
      <c r="S1797" t="s">
        <v>19</v>
      </c>
      <c r="T1797">
        <v>0</v>
      </c>
      <c r="U1797">
        <v>1</v>
      </c>
    </row>
    <row r="1798" spans="1:21" x14ac:dyDescent="0.25">
      <c r="A1798">
        <v>9639892</v>
      </c>
      <c r="B1798" t="s">
        <v>15</v>
      </c>
      <c r="C1798" s="1">
        <v>42936</v>
      </c>
      <c r="D1798" s="2">
        <f>YEAR(C1798)</f>
        <v>2017</v>
      </c>
      <c r="E1798">
        <v>285000</v>
      </c>
      <c r="F1798" t="s">
        <v>85</v>
      </c>
      <c r="G1798">
        <v>1957</v>
      </c>
      <c r="H1798">
        <v>9017</v>
      </c>
      <c r="I1798" t="s">
        <v>222</v>
      </c>
      <c r="J1798">
        <v>76</v>
      </c>
      <c r="K1798">
        <v>60076</v>
      </c>
      <c r="L1798">
        <v>7001</v>
      </c>
      <c r="M1798">
        <v>7</v>
      </c>
      <c r="N1798">
        <v>2</v>
      </c>
      <c r="O1798">
        <v>0</v>
      </c>
      <c r="P1798" t="s">
        <v>79</v>
      </c>
      <c r="Q1798">
        <v>3</v>
      </c>
      <c r="R1798">
        <v>0</v>
      </c>
      <c r="S1798" t="s">
        <v>19</v>
      </c>
      <c r="T1798">
        <v>0</v>
      </c>
      <c r="U1798">
        <v>1</v>
      </c>
    </row>
    <row r="1799" spans="1:21" x14ac:dyDescent="0.25">
      <c r="A1799">
        <v>10096146</v>
      </c>
      <c r="B1799" t="s">
        <v>15</v>
      </c>
      <c r="C1799" s="1">
        <v>43413</v>
      </c>
      <c r="D1799" s="2">
        <f>YEAR(C1799)</f>
        <v>2018</v>
      </c>
      <c r="E1799">
        <v>206000</v>
      </c>
      <c r="F1799" t="s">
        <v>85</v>
      </c>
      <c r="G1799">
        <v>1959</v>
      </c>
      <c r="H1799">
        <v>1013</v>
      </c>
      <c r="I1799" t="s">
        <v>485</v>
      </c>
      <c r="J1799">
        <v>62</v>
      </c>
      <c r="K1799">
        <v>60062</v>
      </c>
      <c r="L1799">
        <v>1100</v>
      </c>
      <c r="M1799">
        <v>7</v>
      </c>
      <c r="N1799">
        <v>1</v>
      </c>
      <c r="O1799">
        <v>1</v>
      </c>
      <c r="P1799" t="s">
        <v>79</v>
      </c>
      <c r="Q1799">
        <v>3</v>
      </c>
      <c r="R1799">
        <v>0</v>
      </c>
      <c r="S1799" t="s">
        <v>19</v>
      </c>
      <c r="T1799">
        <v>0</v>
      </c>
      <c r="U1799">
        <v>1</v>
      </c>
    </row>
    <row r="1800" spans="1:21" x14ac:dyDescent="0.25">
      <c r="A1800">
        <v>9289049</v>
      </c>
      <c r="B1800" t="s">
        <v>15</v>
      </c>
      <c r="C1800" s="1">
        <v>42825</v>
      </c>
      <c r="D1800" s="2">
        <f>YEAR(C1800)</f>
        <v>2017</v>
      </c>
      <c r="E1800">
        <v>335000</v>
      </c>
      <c r="F1800" t="s">
        <v>85</v>
      </c>
      <c r="G1800">
        <v>1962</v>
      </c>
      <c r="H1800">
        <v>8720</v>
      </c>
      <c r="I1800" t="s">
        <v>33</v>
      </c>
      <c r="J1800">
        <v>76</v>
      </c>
      <c r="K1800">
        <v>60077</v>
      </c>
      <c r="L1800">
        <v>1804</v>
      </c>
      <c r="M1800">
        <v>7</v>
      </c>
      <c r="N1800">
        <v>2</v>
      </c>
      <c r="O1800">
        <v>0</v>
      </c>
      <c r="P1800" t="s">
        <v>79</v>
      </c>
      <c r="Q1800">
        <v>3</v>
      </c>
      <c r="R1800">
        <v>0</v>
      </c>
      <c r="S1800" t="s">
        <v>19</v>
      </c>
      <c r="T1800">
        <v>0</v>
      </c>
      <c r="U1800">
        <v>1</v>
      </c>
    </row>
    <row r="1801" spans="1:21" x14ac:dyDescent="0.25">
      <c r="A1801">
        <v>9920212</v>
      </c>
      <c r="B1801" t="s">
        <v>15</v>
      </c>
      <c r="C1801" s="1">
        <v>43230</v>
      </c>
      <c r="D1801" s="2">
        <f>YEAR(C1801)</f>
        <v>2018</v>
      </c>
      <c r="E1801">
        <v>1010000</v>
      </c>
      <c r="F1801" t="s">
        <v>85</v>
      </c>
      <c r="G1801">
        <v>2008</v>
      </c>
      <c r="H1801">
        <v>2012</v>
      </c>
      <c r="I1801" t="s">
        <v>463</v>
      </c>
      <c r="J1801">
        <v>62</v>
      </c>
      <c r="K1801">
        <v>60062</v>
      </c>
      <c r="L1801">
        <v>6000</v>
      </c>
      <c r="M1801">
        <v>12</v>
      </c>
      <c r="N1801">
        <v>4</v>
      </c>
      <c r="O1801">
        <v>1</v>
      </c>
      <c r="P1801" t="s">
        <v>79</v>
      </c>
      <c r="Q1801">
        <v>4</v>
      </c>
      <c r="R1801">
        <v>0</v>
      </c>
      <c r="S1801" t="s">
        <v>21</v>
      </c>
      <c r="T1801">
        <v>2</v>
      </c>
      <c r="U1801">
        <v>1</v>
      </c>
    </row>
    <row r="1802" spans="1:21" x14ac:dyDescent="0.25">
      <c r="A1802">
        <v>9840477</v>
      </c>
      <c r="B1802" t="s">
        <v>15</v>
      </c>
      <c r="C1802" s="1">
        <v>43191</v>
      </c>
      <c r="D1802" s="2">
        <f>YEAR(C1802)</f>
        <v>2018</v>
      </c>
      <c r="E1802">
        <v>348000</v>
      </c>
      <c r="F1802" t="s">
        <v>85</v>
      </c>
      <c r="G1802">
        <v>1960</v>
      </c>
      <c r="H1802">
        <v>1685</v>
      </c>
      <c r="I1802" t="s">
        <v>96</v>
      </c>
      <c r="J1802">
        <v>62</v>
      </c>
      <c r="K1802">
        <v>60062</v>
      </c>
      <c r="L1802">
        <v>1797</v>
      </c>
      <c r="M1802">
        <v>7</v>
      </c>
      <c r="N1802">
        <v>2</v>
      </c>
      <c r="O1802">
        <v>1</v>
      </c>
      <c r="P1802" t="s">
        <v>18</v>
      </c>
      <c r="Q1802">
        <v>3</v>
      </c>
      <c r="R1802">
        <v>0</v>
      </c>
      <c r="S1802" t="s">
        <v>21</v>
      </c>
      <c r="T1802">
        <v>2</v>
      </c>
      <c r="U1802">
        <v>1</v>
      </c>
    </row>
    <row r="1803" spans="1:21" x14ac:dyDescent="0.25">
      <c r="A1803">
        <v>9696087</v>
      </c>
      <c r="B1803" t="s">
        <v>15</v>
      </c>
      <c r="C1803" s="1">
        <v>42955</v>
      </c>
      <c r="D1803" s="2">
        <f>YEAR(C1803)</f>
        <v>2017</v>
      </c>
      <c r="E1803">
        <v>195000</v>
      </c>
      <c r="F1803" t="s">
        <v>548</v>
      </c>
      <c r="G1803">
        <v>1956</v>
      </c>
      <c r="H1803">
        <v>4714</v>
      </c>
      <c r="I1803" t="s">
        <v>38</v>
      </c>
      <c r="J1803">
        <v>76</v>
      </c>
      <c r="K1803">
        <v>60076</v>
      </c>
      <c r="L1803">
        <v>1500</v>
      </c>
      <c r="M1803">
        <v>7</v>
      </c>
      <c r="N1803">
        <v>1</v>
      </c>
      <c r="O1803">
        <v>1</v>
      </c>
      <c r="P1803" t="s">
        <v>18</v>
      </c>
      <c r="Q1803">
        <v>2</v>
      </c>
      <c r="R1803">
        <v>0</v>
      </c>
      <c r="S1803" t="s">
        <v>19</v>
      </c>
      <c r="T1803">
        <v>0</v>
      </c>
      <c r="U1803">
        <v>1</v>
      </c>
    </row>
    <row r="1804" spans="1:21" x14ac:dyDescent="0.25">
      <c r="A1804">
        <v>9634964</v>
      </c>
      <c r="B1804" t="s">
        <v>15</v>
      </c>
      <c r="C1804" s="1">
        <v>42979</v>
      </c>
      <c r="D1804" s="2">
        <f>YEAR(C1804)</f>
        <v>2017</v>
      </c>
      <c r="E1804">
        <v>204000</v>
      </c>
      <c r="F1804" t="s">
        <v>548</v>
      </c>
      <c r="G1804">
        <v>1956</v>
      </c>
      <c r="H1804">
        <v>4901</v>
      </c>
      <c r="I1804" t="s">
        <v>249</v>
      </c>
      <c r="J1804">
        <v>76</v>
      </c>
      <c r="K1804">
        <v>60077</v>
      </c>
      <c r="L1804">
        <v>1295</v>
      </c>
      <c r="M1804">
        <v>6</v>
      </c>
      <c r="N1804">
        <v>1</v>
      </c>
      <c r="O1804">
        <v>1</v>
      </c>
      <c r="P1804" t="s">
        <v>18</v>
      </c>
      <c r="Q1804">
        <v>2</v>
      </c>
      <c r="R1804">
        <v>0</v>
      </c>
      <c r="S1804" t="s">
        <v>19</v>
      </c>
      <c r="T1804">
        <v>0</v>
      </c>
      <c r="U1804">
        <v>1</v>
      </c>
    </row>
    <row r="1805" spans="1:21" x14ac:dyDescent="0.25">
      <c r="A1805">
        <v>9889362</v>
      </c>
      <c r="B1805" t="s">
        <v>15</v>
      </c>
      <c r="C1805" s="1">
        <v>43306</v>
      </c>
      <c r="D1805" s="2">
        <f>YEAR(C1805)</f>
        <v>2018</v>
      </c>
      <c r="E1805">
        <v>183750</v>
      </c>
      <c r="F1805" t="s">
        <v>548</v>
      </c>
      <c r="G1805">
        <v>1956</v>
      </c>
      <c r="H1805">
        <v>4906</v>
      </c>
      <c r="I1805" t="s">
        <v>541</v>
      </c>
      <c r="J1805">
        <v>76</v>
      </c>
      <c r="K1805">
        <v>60077</v>
      </c>
      <c r="L1805">
        <v>1200</v>
      </c>
      <c r="M1805">
        <v>6</v>
      </c>
      <c r="N1805">
        <v>1</v>
      </c>
      <c r="O1805">
        <v>1</v>
      </c>
      <c r="P1805" t="s">
        <v>18</v>
      </c>
      <c r="Q1805">
        <v>2</v>
      </c>
      <c r="R1805">
        <v>0</v>
      </c>
      <c r="S1805" t="s">
        <v>19</v>
      </c>
      <c r="T1805">
        <v>0</v>
      </c>
      <c r="U1805">
        <v>1</v>
      </c>
    </row>
    <row r="1806" spans="1:21" x14ac:dyDescent="0.25">
      <c r="A1806">
        <v>9627607</v>
      </c>
      <c r="B1806" t="s">
        <v>15</v>
      </c>
      <c r="C1806" s="1">
        <v>42914</v>
      </c>
      <c r="D1806" s="2">
        <f>YEAR(C1806)</f>
        <v>2017</v>
      </c>
      <c r="E1806">
        <v>175000</v>
      </c>
      <c r="F1806" t="s">
        <v>548</v>
      </c>
      <c r="G1806">
        <v>1956</v>
      </c>
      <c r="H1806">
        <v>8712</v>
      </c>
      <c r="I1806" t="s">
        <v>46</v>
      </c>
      <c r="J1806">
        <v>76</v>
      </c>
      <c r="K1806">
        <v>60077</v>
      </c>
      <c r="L1806">
        <v>1070</v>
      </c>
      <c r="M1806">
        <v>5</v>
      </c>
      <c r="N1806">
        <v>1</v>
      </c>
      <c r="O1806">
        <v>1</v>
      </c>
      <c r="P1806" t="s">
        <v>18</v>
      </c>
      <c r="Q1806">
        <v>2</v>
      </c>
      <c r="R1806">
        <v>0</v>
      </c>
      <c r="S1806" t="s">
        <v>19</v>
      </c>
      <c r="T1806">
        <v>0</v>
      </c>
      <c r="U1806">
        <v>1</v>
      </c>
    </row>
    <row r="1807" spans="1:21" x14ac:dyDescent="0.25">
      <c r="A1807">
        <v>9472848</v>
      </c>
      <c r="B1807" t="s">
        <v>15</v>
      </c>
      <c r="C1807" s="1">
        <v>42814</v>
      </c>
      <c r="D1807" s="2">
        <f>YEAR(C1807)</f>
        <v>2017</v>
      </c>
      <c r="E1807">
        <v>184000</v>
      </c>
      <c r="F1807" t="s">
        <v>548</v>
      </c>
      <c r="G1807">
        <v>1956</v>
      </c>
      <c r="H1807">
        <v>4858</v>
      </c>
      <c r="I1807" t="s">
        <v>451</v>
      </c>
      <c r="J1807">
        <v>76</v>
      </c>
      <c r="K1807">
        <v>60077</v>
      </c>
      <c r="L1807">
        <v>1070</v>
      </c>
      <c r="M1807">
        <v>6</v>
      </c>
      <c r="N1807">
        <v>1</v>
      </c>
      <c r="O1807">
        <v>1</v>
      </c>
      <c r="P1807" t="s">
        <v>18</v>
      </c>
      <c r="Q1807">
        <v>2</v>
      </c>
      <c r="R1807">
        <v>0</v>
      </c>
      <c r="S1807" t="s">
        <v>19</v>
      </c>
      <c r="T1807">
        <v>0</v>
      </c>
      <c r="U1807">
        <v>1</v>
      </c>
    </row>
    <row r="1808" spans="1:21" x14ac:dyDescent="0.25">
      <c r="A1808">
        <v>9701312</v>
      </c>
      <c r="B1808" t="s">
        <v>15</v>
      </c>
      <c r="C1808" s="1">
        <v>43019</v>
      </c>
      <c r="D1808" s="2">
        <f>YEAR(C1808)</f>
        <v>2017</v>
      </c>
      <c r="E1808">
        <v>190000</v>
      </c>
      <c r="F1808" t="s">
        <v>548</v>
      </c>
      <c r="G1808">
        <v>1956</v>
      </c>
      <c r="H1808">
        <v>4918</v>
      </c>
      <c r="I1808" t="s">
        <v>541</v>
      </c>
      <c r="J1808">
        <v>76</v>
      </c>
      <c r="K1808">
        <v>60077</v>
      </c>
      <c r="L1808">
        <v>1070</v>
      </c>
      <c r="M1808">
        <v>6</v>
      </c>
      <c r="N1808">
        <v>1</v>
      </c>
      <c r="O1808">
        <v>1</v>
      </c>
      <c r="P1808" t="s">
        <v>18</v>
      </c>
      <c r="Q1808">
        <v>2</v>
      </c>
      <c r="R1808">
        <v>0</v>
      </c>
      <c r="S1808" t="s">
        <v>19</v>
      </c>
      <c r="T1808">
        <v>0</v>
      </c>
      <c r="U1808">
        <v>1</v>
      </c>
    </row>
    <row r="1809" spans="1:21" x14ac:dyDescent="0.25">
      <c r="A1809">
        <v>10034165</v>
      </c>
      <c r="B1809" t="s">
        <v>15</v>
      </c>
      <c r="C1809" s="1">
        <v>43376</v>
      </c>
      <c r="D1809" s="2">
        <f>YEAR(C1809)</f>
        <v>2018</v>
      </c>
      <c r="E1809">
        <v>201000</v>
      </c>
      <c r="F1809" t="s">
        <v>548</v>
      </c>
      <c r="G1809">
        <v>1956</v>
      </c>
      <c r="H1809">
        <v>4866</v>
      </c>
      <c r="I1809" t="s">
        <v>541</v>
      </c>
      <c r="J1809">
        <v>76</v>
      </c>
      <c r="K1809">
        <v>60077</v>
      </c>
      <c r="L1809">
        <v>1070</v>
      </c>
      <c r="M1809">
        <v>5</v>
      </c>
      <c r="N1809">
        <v>1</v>
      </c>
      <c r="O1809">
        <v>1</v>
      </c>
      <c r="P1809" t="s">
        <v>18</v>
      </c>
      <c r="Q1809">
        <v>2</v>
      </c>
      <c r="R1809">
        <v>0</v>
      </c>
      <c r="S1809" t="s">
        <v>19</v>
      </c>
      <c r="T1809">
        <v>0</v>
      </c>
      <c r="U1809">
        <v>1</v>
      </c>
    </row>
    <row r="1810" spans="1:21" x14ac:dyDescent="0.25">
      <c r="A1810">
        <v>9619047</v>
      </c>
      <c r="B1810" t="s">
        <v>15</v>
      </c>
      <c r="C1810" s="1">
        <v>42906</v>
      </c>
      <c r="D1810" s="2">
        <f>YEAR(C1810)</f>
        <v>2017</v>
      </c>
      <c r="E1810">
        <v>192500</v>
      </c>
      <c r="F1810" t="s">
        <v>548</v>
      </c>
      <c r="G1810">
        <v>1957</v>
      </c>
      <c r="H1810">
        <v>8318</v>
      </c>
      <c r="I1810" t="s">
        <v>549</v>
      </c>
      <c r="J1810">
        <v>76</v>
      </c>
      <c r="K1810">
        <v>60076</v>
      </c>
      <c r="L1810">
        <v>1092</v>
      </c>
      <c r="M1810">
        <v>6</v>
      </c>
      <c r="N1810">
        <v>1</v>
      </c>
      <c r="O1810">
        <v>1</v>
      </c>
      <c r="P1810" t="s">
        <v>18</v>
      </c>
      <c r="Q1810">
        <v>2</v>
      </c>
      <c r="R1810">
        <v>0</v>
      </c>
      <c r="S1810" t="s">
        <v>19</v>
      </c>
      <c r="T1810">
        <v>0</v>
      </c>
      <c r="U1810">
        <v>1</v>
      </c>
    </row>
    <row r="1811" spans="1:21" x14ac:dyDescent="0.25">
      <c r="A1811">
        <v>9915550</v>
      </c>
      <c r="B1811" t="s">
        <v>15</v>
      </c>
      <c r="C1811" s="1">
        <v>43224</v>
      </c>
      <c r="D1811" s="2">
        <f>YEAR(C1811)</f>
        <v>2018</v>
      </c>
      <c r="E1811">
        <v>135000</v>
      </c>
      <c r="F1811" t="s">
        <v>548</v>
      </c>
      <c r="G1811">
        <v>1957</v>
      </c>
      <c r="H1811">
        <v>4836</v>
      </c>
      <c r="I1811" t="s">
        <v>25</v>
      </c>
      <c r="J1811">
        <v>76</v>
      </c>
      <c r="K1811">
        <v>60077</v>
      </c>
      <c r="L1811">
        <v>1069</v>
      </c>
      <c r="M1811">
        <v>6</v>
      </c>
      <c r="N1811">
        <v>1</v>
      </c>
      <c r="O1811">
        <v>1</v>
      </c>
      <c r="P1811" t="s">
        <v>18</v>
      </c>
      <c r="Q1811">
        <v>2</v>
      </c>
      <c r="R1811">
        <v>0</v>
      </c>
      <c r="S1811" t="s">
        <v>19</v>
      </c>
      <c r="T1811">
        <v>0</v>
      </c>
      <c r="U1811">
        <v>1</v>
      </c>
    </row>
    <row r="1812" spans="1:21" x14ac:dyDescent="0.25">
      <c r="A1812">
        <v>9990649</v>
      </c>
      <c r="B1812" t="s">
        <v>15</v>
      </c>
      <c r="C1812" s="1">
        <v>43364</v>
      </c>
      <c r="D1812" s="2">
        <f>YEAR(C1812)</f>
        <v>2018</v>
      </c>
      <c r="E1812">
        <v>180000</v>
      </c>
      <c r="F1812" t="s">
        <v>548</v>
      </c>
      <c r="G1812">
        <v>1957</v>
      </c>
      <c r="H1812">
        <v>4824</v>
      </c>
      <c r="I1812" t="s">
        <v>100</v>
      </c>
      <c r="J1812">
        <v>76</v>
      </c>
      <c r="K1812">
        <v>60077</v>
      </c>
      <c r="L1812">
        <v>1069</v>
      </c>
      <c r="M1812">
        <v>5</v>
      </c>
      <c r="N1812">
        <v>1</v>
      </c>
      <c r="O1812">
        <v>1</v>
      </c>
      <c r="P1812" t="s">
        <v>18</v>
      </c>
      <c r="Q1812">
        <v>2</v>
      </c>
      <c r="R1812">
        <v>0</v>
      </c>
      <c r="S1812" t="s">
        <v>19</v>
      </c>
      <c r="T1812">
        <v>0</v>
      </c>
      <c r="U1812">
        <v>1</v>
      </c>
    </row>
    <row r="1813" spans="1:21" x14ac:dyDescent="0.25">
      <c r="A1813">
        <v>10085130</v>
      </c>
      <c r="B1813" t="s">
        <v>15</v>
      </c>
      <c r="C1813" s="1">
        <v>43431</v>
      </c>
      <c r="D1813" s="2">
        <f>YEAR(C1813)</f>
        <v>2018</v>
      </c>
      <c r="E1813">
        <v>217000</v>
      </c>
      <c r="F1813" t="s">
        <v>548</v>
      </c>
      <c r="G1813">
        <v>1957</v>
      </c>
      <c r="H1813">
        <v>4836</v>
      </c>
      <c r="I1813" t="s">
        <v>25</v>
      </c>
      <c r="J1813">
        <v>76</v>
      </c>
      <c r="K1813">
        <v>60077</v>
      </c>
      <c r="L1813">
        <v>1069</v>
      </c>
      <c r="M1813">
        <v>6</v>
      </c>
      <c r="N1813">
        <v>1</v>
      </c>
      <c r="O1813">
        <v>1</v>
      </c>
      <c r="P1813" t="s">
        <v>18</v>
      </c>
      <c r="Q1813">
        <v>2</v>
      </c>
      <c r="R1813">
        <v>0</v>
      </c>
      <c r="S1813" t="s">
        <v>19</v>
      </c>
      <c r="T1813">
        <v>0</v>
      </c>
      <c r="U1813">
        <v>1</v>
      </c>
    </row>
    <row r="1814" spans="1:21" x14ac:dyDescent="0.25">
      <c r="A1814">
        <v>9818826</v>
      </c>
      <c r="B1814" t="s">
        <v>15</v>
      </c>
      <c r="C1814" s="1">
        <v>43159</v>
      </c>
      <c r="D1814" s="2">
        <f>YEAR(C1814)</f>
        <v>2018</v>
      </c>
      <c r="E1814">
        <v>207000</v>
      </c>
      <c r="F1814" t="s">
        <v>548</v>
      </c>
      <c r="G1814">
        <v>1958</v>
      </c>
      <c r="H1814">
        <v>8318</v>
      </c>
      <c r="I1814" t="s">
        <v>28</v>
      </c>
      <c r="J1814">
        <v>76</v>
      </c>
      <c r="K1814">
        <v>60076</v>
      </c>
      <c r="L1814">
        <v>1300</v>
      </c>
      <c r="M1814">
        <v>5</v>
      </c>
      <c r="N1814">
        <v>1</v>
      </c>
      <c r="O1814">
        <v>1</v>
      </c>
      <c r="P1814" t="s">
        <v>18</v>
      </c>
      <c r="Q1814">
        <v>2</v>
      </c>
      <c r="R1814">
        <v>0</v>
      </c>
      <c r="S1814" t="s">
        <v>19</v>
      </c>
      <c r="T1814">
        <v>0</v>
      </c>
      <c r="U1814">
        <v>1</v>
      </c>
    </row>
    <row r="1815" spans="1:21" x14ac:dyDescent="0.25">
      <c r="A1815">
        <v>9563709</v>
      </c>
      <c r="B1815" t="s">
        <v>15</v>
      </c>
      <c r="C1815" s="1">
        <v>42853</v>
      </c>
      <c r="D1815" s="2">
        <f>YEAR(C1815)</f>
        <v>2017</v>
      </c>
      <c r="E1815">
        <v>185150</v>
      </c>
      <c r="F1815" t="s">
        <v>548</v>
      </c>
      <c r="G1815">
        <v>1958</v>
      </c>
      <c r="H1815">
        <v>8922</v>
      </c>
      <c r="I1815" t="s">
        <v>550</v>
      </c>
      <c r="J1815">
        <v>76</v>
      </c>
      <c r="K1815">
        <v>60076</v>
      </c>
      <c r="L1815">
        <v>1183</v>
      </c>
      <c r="M1815">
        <v>6</v>
      </c>
      <c r="N1815">
        <v>1</v>
      </c>
      <c r="O1815">
        <v>1</v>
      </c>
      <c r="P1815" t="s">
        <v>18</v>
      </c>
      <c r="Q1815">
        <v>3</v>
      </c>
      <c r="R1815">
        <v>0</v>
      </c>
      <c r="S1815" t="s">
        <v>19</v>
      </c>
      <c r="T1815">
        <v>0</v>
      </c>
      <c r="U1815">
        <v>1</v>
      </c>
    </row>
    <row r="1816" spans="1:21" x14ac:dyDescent="0.25">
      <c r="A1816">
        <v>9940793</v>
      </c>
      <c r="B1816" t="s">
        <v>15</v>
      </c>
      <c r="C1816" s="1">
        <v>43279</v>
      </c>
      <c r="D1816" s="2">
        <f>YEAR(C1816)</f>
        <v>2018</v>
      </c>
      <c r="E1816">
        <v>185000</v>
      </c>
      <c r="F1816" t="s">
        <v>548</v>
      </c>
      <c r="G1816">
        <v>1958</v>
      </c>
      <c r="H1816">
        <v>8922</v>
      </c>
      <c r="I1816" t="s">
        <v>29</v>
      </c>
      <c r="J1816">
        <v>76</v>
      </c>
      <c r="K1816">
        <v>60077</v>
      </c>
      <c r="L1816">
        <v>1183</v>
      </c>
      <c r="M1816">
        <v>7</v>
      </c>
      <c r="N1816">
        <v>1</v>
      </c>
      <c r="O1816">
        <v>1</v>
      </c>
      <c r="P1816" t="s">
        <v>18</v>
      </c>
      <c r="Q1816">
        <v>3</v>
      </c>
      <c r="R1816">
        <v>0</v>
      </c>
      <c r="S1816" t="s">
        <v>19</v>
      </c>
      <c r="T1816">
        <v>0</v>
      </c>
      <c r="U1816">
        <v>1</v>
      </c>
    </row>
    <row r="1817" spans="1:21" x14ac:dyDescent="0.25">
      <c r="A1817">
        <v>9968960</v>
      </c>
      <c r="B1817" t="s">
        <v>15</v>
      </c>
      <c r="C1817" s="1">
        <v>43314</v>
      </c>
      <c r="D1817" s="2">
        <f>YEAR(C1817)</f>
        <v>2018</v>
      </c>
      <c r="E1817">
        <v>137000</v>
      </c>
      <c r="F1817" t="s">
        <v>548</v>
      </c>
      <c r="G1817">
        <v>1958</v>
      </c>
      <c r="H1817">
        <v>4853</v>
      </c>
      <c r="I1817" t="s">
        <v>67</v>
      </c>
      <c r="J1817">
        <v>76</v>
      </c>
      <c r="K1817">
        <v>60077</v>
      </c>
      <c r="L1817">
        <v>1134</v>
      </c>
      <c r="M1817">
        <v>6</v>
      </c>
      <c r="N1817">
        <v>1</v>
      </c>
      <c r="O1817">
        <v>1</v>
      </c>
      <c r="P1817" t="s">
        <v>18</v>
      </c>
      <c r="Q1817">
        <v>2</v>
      </c>
      <c r="R1817">
        <v>0</v>
      </c>
      <c r="S1817" t="s">
        <v>19</v>
      </c>
      <c r="T1817">
        <v>0</v>
      </c>
      <c r="U1817">
        <v>1</v>
      </c>
    </row>
    <row r="1818" spans="1:21" x14ac:dyDescent="0.25">
      <c r="A1818">
        <v>9617965</v>
      </c>
      <c r="B1818" t="s">
        <v>15</v>
      </c>
      <c r="C1818" s="1">
        <v>42965</v>
      </c>
      <c r="D1818" s="2">
        <f>YEAR(C1818)</f>
        <v>2017</v>
      </c>
      <c r="E1818">
        <v>215000</v>
      </c>
      <c r="F1818" t="s">
        <v>548</v>
      </c>
      <c r="G1818">
        <v>1958</v>
      </c>
      <c r="H1818">
        <v>5025</v>
      </c>
      <c r="I1818" t="s">
        <v>151</v>
      </c>
      <c r="J1818">
        <v>76</v>
      </c>
      <c r="K1818">
        <v>60077</v>
      </c>
      <c r="L1818">
        <v>1116</v>
      </c>
      <c r="M1818">
        <v>5</v>
      </c>
      <c r="N1818">
        <v>1</v>
      </c>
      <c r="O1818">
        <v>1</v>
      </c>
      <c r="P1818" t="s">
        <v>18</v>
      </c>
      <c r="Q1818">
        <v>3</v>
      </c>
      <c r="R1818">
        <v>0</v>
      </c>
      <c r="S1818" t="s">
        <v>19</v>
      </c>
      <c r="T1818">
        <v>0</v>
      </c>
      <c r="U1818">
        <v>1</v>
      </c>
    </row>
    <row r="1819" spans="1:21" x14ac:dyDescent="0.25">
      <c r="A1819">
        <v>9510094</v>
      </c>
      <c r="B1819" t="s">
        <v>15</v>
      </c>
      <c r="C1819" s="1">
        <v>42843</v>
      </c>
      <c r="D1819" s="2">
        <f>YEAR(C1819)</f>
        <v>2017</v>
      </c>
      <c r="E1819">
        <v>186000</v>
      </c>
      <c r="F1819" t="s">
        <v>548</v>
      </c>
      <c r="G1819">
        <v>1958</v>
      </c>
      <c r="H1819">
        <v>8352</v>
      </c>
      <c r="I1819" t="s">
        <v>30</v>
      </c>
      <c r="J1819">
        <v>76</v>
      </c>
      <c r="K1819">
        <v>60076</v>
      </c>
      <c r="L1819">
        <v>1073</v>
      </c>
      <c r="M1819">
        <v>6</v>
      </c>
      <c r="N1819">
        <v>1</v>
      </c>
      <c r="O1819">
        <v>1</v>
      </c>
      <c r="P1819" t="s">
        <v>18</v>
      </c>
      <c r="Q1819">
        <v>2</v>
      </c>
      <c r="R1819">
        <v>0</v>
      </c>
      <c r="S1819" t="s">
        <v>19</v>
      </c>
      <c r="T1819">
        <v>0</v>
      </c>
      <c r="U1819">
        <v>1</v>
      </c>
    </row>
    <row r="1820" spans="1:21" x14ac:dyDescent="0.25">
      <c r="A1820">
        <v>9398688</v>
      </c>
      <c r="B1820" t="s">
        <v>15</v>
      </c>
      <c r="C1820" s="1">
        <v>42849</v>
      </c>
      <c r="D1820" s="2">
        <f>YEAR(C1820)</f>
        <v>2017</v>
      </c>
      <c r="E1820">
        <v>175000</v>
      </c>
      <c r="F1820" t="s">
        <v>548</v>
      </c>
      <c r="G1820">
        <v>1958</v>
      </c>
      <c r="H1820">
        <v>9119</v>
      </c>
      <c r="I1820" t="s">
        <v>17</v>
      </c>
      <c r="J1820">
        <v>76</v>
      </c>
      <c r="K1820">
        <v>60077</v>
      </c>
      <c r="L1820">
        <v>1067</v>
      </c>
      <c r="M1820">
        <v>6</v>
      </c>
      <c r="N1820">
        <v>1</v>
      </c>
      <c r="O1820">
        <v>1</v>
      </c>
      <c r="P1820" t="s">
        <v>18</v>
      </c>
      <c r="Q1820">
        <v>3</v>
      </c>
      <c r="R1820">
        <v>0</v>
      </c>
      <c r="S1820" t="s">
        <v>19</v>
      </c>
      <c r="T1820">
        <v>0</v>
      </c>
      <c r="U1820">
        <v>1</v>
      </c>
    </row>
    <row r="1821" spans="1:21" x14ac:dyDescent="0.25">
      <c r="A1821">
        <v>10013106</v>
      </c>
      <c r="B1821" t="s">
        <v>15</v>
      </c>
      <c r="C1821" s="1">
        <v>43312</v>
      </c>
      <c r="D1821" s="2">
        <f>YEAR(C1821)</f>
        <v>2018</v>
      </c>
      <c r="E1821">
        <v>145000</v>
      </c>
      <c r="F1821" t="s">
        <v>548</v>
      </c>
      <c r="G1821">
        <v>1958</v>
      </c>
      <c r="H1821">
        <v>9026</v>
      </c>
      <c r="I1821" t="s">
        <v>46</v>
      </c>
      <c r="J1821">
        <v>76</v>
      </c>
      <c r="K1821">
        <v>60076</v>
      </c>
      <c r="L1821">
        <v>1064</v>
      </c>
      <c r="M1821">
        <v>6</v>
      </c>
      <c r="N1821">
        <v>1</v>
      </c>
      <c r="O1821">
        <v>1</v>
      </c>
      <c r="P1821" t="s">
        <v>18</v>
      </c>
      <c r="Q1821">
        <v>2</v>
      </c>
      <c r="R1821">
        <v>0</v>
      </c>
      <c r="S1821" t="s">
        <v>19</v>
      </c>
      <c r="T1821">
        <v>0</v>
      </c>
      <c r="U1821">
        <v>1</v>
      </c>
    </row>
    <row r="1822" spans="1:21" x14ac:dyDescent="0.25">
      <c r="A1822">
        <v>9990211</v>
      </c>
      <c r="B1822" t="s">
        <v>15</v>
      </c>
      <c r="C1822" s="1">
        <v>43311</v>
      </c>
      <c r="D1822" s="2">
        <f>YEAR(C1822)</f>
        <v>2018</v>
      </c>
      <c r="E1822">
        <v>200000</v>
      </c>
      <c r="F1822" t="s">
        <v>548</v>
      </c>
      <c r="G1822">
        <v>1958</v>
      </c>
      <c r="H1822">
        <v>9048</v>
      </c>
      <c r="I1822" t="s">
        <v>58</v>
      </c>
      <c r="J1822">
        <v>76</v>
      </c>
      <c r="K1822">
        <v>60076</v>
      </c>
      <c r="L1822">
        <v>1064</v>
      </c>
      <c r="M1822">
        <v>6</v>
      </c>
      <c r="N1822">
        <v>1</v>
      </c>
      <c r="O1822">
        <v>1</v>
      </c>
      <c r="P1822" t="s">
        <v>18</v>
      </c>
      <c r="Q1822">
        <v>2</v>
      </c>
      <c r="R1822">
        <v>0</v>
      </c>
      <c r="S1822" t="s">
        <v>19</v>
      </c>
      <c r="T1822">
        <v>0</v>
      </c>
      <c r="U1822">
        <v>1</v>
      </c>
    </row>
    <row r="1823" spans="1:21" x14ac:dyDescent="0.25">
      <c r="A1823">
        <v>9690832</v>
      </c>
      <c r="B1823" t="s">
        <v>15</v>
      </c>
      <c r="C1823" s="1">
        <v>43026</v>
      </c>
      <c r="D1823" s="2">
        <f>YEAR(C1823)</f>
        <v>2017</v>
      </c>
      <c r="E1823">
        <v>209756</v>
      </c>
      <c r="F1823" t="s">
        <v>548</v>
      </c>
      <c r="G1823">
        <v>1958</v>
      </c>
      <c r="H1823">
        <v>9525</v>
      </c>
      <c r="I1823" t="s">
        <v>62</v>
      </c>
      <c r="J1823">
        <v>76</v>
      </c>
      <c r="K1823">
        <v>60076</v>
      </c>
      <c r="L1823">
        <v>1064</v>
      </c>
      <c r="M1823">
        <v>5</v>
      </c>
      <c r="N1823">
        <v>1</v>
      </c>
      <c r="O1823">
        <v>1</v>
      </c>
      <c r="P1823" t="s">
        <v>18</v>
      </c>
      <c r="Q1823">
        <v>2</v>
      </c>
      <c r="R1823">
        <v>0</v>
      </c>
      <c r="S1823" t="s">
        <v>19</v>
      </c>
      <c r="T1823">
        <v>0</v>
      </c>
      <c r="U1823">
        <v>1</v>
      </c>
    </row>
    <row r="1824" spans="1:21" x14ac:dyDescent="0.25">
      <c r="A1824">
        <v>9949171</v>
      </c>
      <c r="B1824" t="s">
        <v>15</v>
      </c>
      <c r="C1824" s="1">
        <v>43265</v>
      </c>
      <c r="D1824" s="2">
        <f>YEAR(C1824)</f>
        <v>2018</v>
      </c>
      <c r="E1824">
        <v>197000</v>
      </c>
      <c r="F1824" t="s">
        <v>548</v>
      </c>
      <c r="G1824">
        <v>1958</v>
      </c>
      <c r="H1824">
        <v>4857</v>
      </c>
      <c r="I1824" t="s">
        <v>67</v>
      </c>
      <c r="J1824">
        <v>76</v>
      </c>
      <c r="K1824">
        <v>60077</v>
      </c>
      <c r="L1824">
        <v>1063</v>
      </c>
      <c r="M1824">
        <v>6</v>
      </c>
      <c r="N1824">
        <v>1</v>
      </c>
      <c r="O1824">
        <v>1</v>
      </c>
      <c r="P1824" t="s">
        <v>18</v>
      </c>
      <c r="Q1824">
        <v>2</v>
      </c>
      <c r="R1824">
        <v>0</v>
      </c>
      <c r="S1824" t="s">
        <v>19</v>
      </c>
      <c r="T1824">
        <v>0</v>
      </c>
      <c r="U1824">
        <v>1</v>
      </c>
    </row>
    <row r="1825" spans="1:21" x14ac:dyDescent="0.25">
      <c r="A1825">
        <v>9855559</v>
      </c>
      <c r="B1825" t="s">
        <v>15</v>
      </c>
      <c r="C1825" s="1">
        <v>43250</v>
      </c>
      <c r="D1825" s="2">
        <f>YEAR(C1825)</f>
        <v>2018</v>
      </c>
      <c r="E1825">
        <v>192000</v>
      </c>
      <c r="F1825" t="s">
        <v>548</v>
      </c>
      <c r="G1825">
        <v>1958</v>
      </c>
      <c r="H1825">
        <v>4603</v>
      </c>
      <c r="I1825" t="s">
        <v>38</v>
      </c>
      <c r="J1825">
        <v>76</v>
      </c>
      <c r="K1825">
        <v>60076</v>
      </c>
      <c r="L1825">
        <v>1056</v>
      </c>
      <c r="M1825">
        <v>6</v>
      </c>
      <c r="N1825">
        <v>1</v>
      </c>
      <c r="O1825">
        <v>1</v>
      </c>
      <c r="P1825" t="s">
        <v>18</v>
      </c>
      <c r="Q1825">
        <v>2</v>
      </c>
      <c r="R1825">
        <v>0</v>
      </c>
      <c r="S1825" t="s">
        <v>19</v>
      </c>
      <c r="T1825">
        <v>0</v>
      </c>
      <c r="U1825">
        <v>1</v>
      </c>
    </row>
    <row r="1826" spans="1:21" x14ac:dyDescent="0.25">
      <c r="A1826">
        <v>9563546</v>
      </c>
      <c r="B1826" t="s">
        <v>15</v>
      </c>
      <c r="C1826" s="1">
        <v>42857</v>
      </c>
      <c r="D1826" s="2">
        <f>YEAR(C1826)</f>
        <v>2017</v>
      </c>
      <c r="E1826">
        <v>180786</v>
      </c>
      <c r="F1826" t="s">
        <v>548</v>
      </c>
      <c r="G1826">
        <v>1958</v>
      </c>
      <c r="H1826">
        <v>5020</v>
      </c>
      <c r="I1826" t="s">
        <v>151</v>
      </c>
      <c r="J1826">
        <v>76</v>
      </c>
      <c r="K1826">
        <v>60077</v>
      </c>
      <c r="L1826">
        <v>1056</v>
      </c>
      <c r="M1826">
        <v>5</v>
      </c>
      <c r="N1826">
        <v>1</v>
      </c>
      <c r="O1826">
        <v>1</v>
      </c>
      <c r="P1826" t="s">
        <v>18</v>
      </c>
      <c r="Q1826">
        <v>2</v>
      </c>
      <c r="R1826">
        <v>0</v>
      </c>
      <c r="S1826" t="s">
        <v>19</v>
      </c>
      <c r="T1826">
        <v>0</v>
      </c>
      <c r="U1826">
        <v>1</v>
      </c>
    </row>
    <row r="1827" spans="1:21" x14ac:dyDescent="0.25">
      <c r="A1827">
        <v>9623875</v>
      </c>
      <c r="B1827" t="s">
        <v>15</v>
      </c>
      <c r="C1827" s="1">
        <v>42901</v>
      </c>
      <c r="D1827" s="2">
        <f>YEAR(C1827)</f>
        <v>2017</v>
      </c>
      <c r="E1827">
        <v>170000</v>
      </c>
      <c r="F1827" t="s">
        <v>548</v>
      </c>
      <c r="G1827">
        <v>1958</v>
      </c>
      <c r="H1827">
        <v>9519</v>
      </c>
      <c r="I1827" t="s">
        <v>62</v>
      </c>
      <c r="J1827">
        <v>76</v>
      </c>
      <c r="K1827">
        <v>60076</v>
      </c>
      <c r="L1827">
        <v>1040</v>
      </c>
      <c r="M1827">
        <v>5</v>
      </c>
      <c r="N1827">
        <v>1</v>
      </c>
      <c r="O1827">
        <v>1</v>
      </c>
      <c r="P1827" t="s">
        <v>18</v>
      </c>
      <c r="Q1827">
        <v>2</v>
      </c>
      <c r="R1827">
        <v>0</v>
      </c>
      <c r="S1827" t="s">
        <v>19</v>
      </c>
      <c r="T1827">
        <v>0</v>
      </c>
      <c r="U1827">
        <v>1</v>
      </c>
    </row>
    <row r="1828" spans="1:21" x14ac:dyDescent="0.25">
      <c r="A1828">
        <v>9617337</v>
      </c>
      <c r="B1828" t="s">
        <v>15</v>
      </c>
      <c r="C1828" s="1">
        <v>42902</v>
      </c>
      <c r="D1828" s="2">
        <f>YEAR(C1828)</f>
        <v>2017</v>
      </c>
      <c r="E1828">
        <v>168000</v>
      </c>
      <c r="F1828" t="s">
        <v>548</v>
      </c>
      <c r="G1828">
        <v>1958</v>
      </c>
      <c r="H1828">
        <v>9028</v>
      </c>
      <c r="I1828" t="s">
        <v>54</v>
      </c>
      <c r="J1828">
        <v>76</v>
      </c>
      <c r="K1828">
        <v>60077</v>
      </c>
      <c r="L1828">
        <v>1036</v>
      </c>
      <c r="M1828">
        <v>5</v>
      </c>
      <c r="N1828">
        <v>1</v>
      </c>
      <c r="O1828">
        <v>1</v>
      </c>
      <c r="P1828" t="s">
        <v>18</v>
      </c>
      <c r="Q1828">
        <v>2</v>
      </c>
      <c r="R1828">
        <v>0</v>
      </c>
      <c r="S1828" t="s">
        <v>19</v>
      </c>
      <c r="T1828">
        <v>0</v>
      </c>
      <c r="U1828">
        <v>1</v>
      </c>
    </row>
    <row r="1829" spans="1:21" x14ac:dyDescent="0.25">
      <c r="A1829">
        <v>9839853</v>
      </c>
      <c r="B1829" t="s">
        <v>15</v>
      </c>
      <c r="C1829" s="1">
        <v>43174</v>
      </c>
      <c r="D1829" s="2">
        <f>YEAR(C1829)</f>
        <v>2018</v>
      </c>
      <c r="E1829">
        <v>175000</v>
      </c>
      <c r="F1829" t="s">
        <v>548</v>
      </c>
      <c r="G1829">
        <v>1958</v>
      </c>
      <c r="H1829">
        <v>9024</v>
      </c>
      <c r="I1829" t="s">
        <v>54</v>
      </c>
      <c r="J1829">
        <v>76</v>
      </c>
      <c r="K1829">
        <v>60077</v>
      </c>
      <c r="L1829">
        <v>1036</v>
      </c>
      <c r="M1829">
        <v>5</v>
      </c>
      <c r="N1829">
        <v>1</v>
      </c>
      <c r="O1829">
        <v>1</v>
      </c>
      <c r="P1829" t="s">
        <v>18</v>
      </c>
      <c r="Q1829">
        <v>2</v>
      </c>
      <c r="R1829">
        <v>0</v>
      </c>
      <c r="S1829" t="s">
        <v>19</v>
      </c>
      <c r="T1829">
        <v>0</v>
      </c>
      <c r="U1829">
        <v>1</v>
      </c>
    </row>
    <row r="1830" spans="1:21" x14ac:dyDescent="0.25">
      <c r="A1830">
        <v>9701517</v>
      </c>
      <c r="B1830" t="s">
        <v>15</v>
      </c>
      <c r="C1830" s="1">
        <v>42957</v>
      </c>
      <c r="D1830" s="2">
        <f>YEAR(C1830)</f>
        <v>2017</v>
      </c>
      <c r="E1830">
        <v>208500</v>
      </c>
      <c r="F1830" t="s">
        <v>548</v>
      </c>
      <c r="G1830">
        <v>1958</v>
      </c>
      <c r="H1830">
        <v>4803</v>
      </c>
      <c r="I1830" t="s">
        <v>154</v>
      </c>
      <c r="J1830">
        <v>76</v>
      </c>
      <c r="K1830">
        <v>60077</v>
      </c>
      <c r="L1830">
        <v>1025</v>
      </c>
      <c r="M1830">
        <v>6</v>
      </c>
      <c r="N1830">
        <v>1</v>
      </c>
      <c r="O1830">
        <v>1</v>
      </c>
      <c r="P1830" t="s">
        <v>18</v>
      </c>
      <c r="Q1830">
        <v>3</v>
      </c>
      <c r="R1830">
        <v>0</v>
      </c>
      <c r="S1830" t="s">
        <v>19</v>
      </c>
      <c r="T1830">
        <v>0</v>
      </c>
      <c r="U1830">
        <v>1</v>
      </c>
    </row>
    <row r="1831" spans="1:21" x14ac:dyDescent="0.25">
      <c r="A1831">
        <v>9379142</v>
      </c>
      <c r="B1831" t="s">
        <v>15</v>
      </c>
      <c r="C1831" s="1">
        <v>42909</v>
      </c>
      <c r="D1831" s="2">
        <f>YEAR(C1831)</f>
        <v>2017</v>
      </c>
      <c r="E1831">
        <v>210000</v>
      </c>
      <c r="F1831" t="s">
        <v>548</v>
      </c>
      <c r="G1831">
        <v>1959</v>
      </c>
      <c r="H1831">
        <v>4719</v>
      </c>
      <c r="I1831" t="s">
        <v>551</v>
      </c>
      <c r="J1831">
        <v>76</v>
      </c>
      <c r="K1831">
        <v>60076</v>
      </c>
      <c r="L1831">
        <v>1300</v>
      </c>
      <c r="M1831">
        <v>6</v>
      </c>
      <c r="N1831">
        <v>1</v>
      </c>
      <c r="O1831">
        <v>1</v>
      </c>
      <c r="P1831" t="s">
        <v>18</v>
      </c>
      <c r="Q1831">
        <v>3</v>
      </c>
      <c r="R1831">
        <v>0</v>
      </c>
      <c r="S1831" t="s">
        <v>19</v>
      </c>
      <c r="T1831">
        <v>0</v>
      </c>
      <c r="U1831">
        <v>1</v>
      </c>
    </row>
    <row r="1832" spans="1:21" x14ac:dyDescent="0.25">
      <c r="A1832">
        <v>10136572</v>
      </c>
      <c r="B1832" t="s">
        <v>15</v>
      </c>
      <c r="C1832" s="1">
        <v>43472</v>
      </c>
      <c r="D1832" s="2">
        <f>YEAR(C1832)</f>
        <v>2019</v>
      </c>
      <c r="E1832">
        <v>185000</v>
      </c>
      <c r="F1832" t="s">
        <v>548</v>
      </c>
      <c r="G1832">
        <v>1959</v>
      </c>
      <c r="H1832">
        <v>4718</v>
      </c>
      <c r="I1832" t="s">
        <v>134</v>
      </c>
      <c r="J1832">
        <v>76</v>
      </c>
      <c r="K1832">
        <v>60076</v>
      </c>
      <c r="L1832">
        <v>1159</v>
      </c>
      <c r="M1832">
        <v>7</v>
      </c>
      <c r="N1832">
        <v>1</v>
      </c>
      <c r="O1832">
        <v>1</v>
      </c>
      <c r="P1832" t="s">
        <v>18</v>
      </c>
      <c r="Q1832">
        <v>3</v>
      </c>
      <c r="R1832">
        <v>0</v>
      </c>
      <c r="S1832" t="s">
        <v>19</v>
      </c>
      <c r="T1832">
        <v>0</v>
      </c>
      <c r="U1832">
        <v>1</v>
      </c>
    </row>
    <row r="1833" spans="1:21" x14ac:dyDescent="0.25">
      <c r="A1833">
        <v>9860917</v>
      </c>
      <c r="B1833" t="s">
        <v>15</v>
      </c>
      <c r="C1833" s="1">
        <v>43196</v>
      </c>
      <c r="D1833" s="2">
        <f>YEAR(C1833)</f>
        <v>2018</v>
      </c>
      <c r="E1833">
        <v>201000</v>
      </c>
      <c r="F1833" t="s">
        <v>548</v>
      </c>
      <c r="G1833">
        <v>1959</v>
      </c>
      <c r="H1833">
        <v>4833</v>
      </c>
      <c r="I1833" t="s">
        <v>220</v>
      </c>
      <c r="J1833">
        <v>76</v>
      </c>
      <c r="K1833">
        <v>60077</v>
      </c>
      <c r="L1833">
        <v>1148</v>
      </c>
      <c r="M1833">
        <v>6</v>
      </c>
      <c r="N1833">
        <v>1</v>
      </c>
      <c r="O1833">
        <v>1</v>
      </c>
      <c r="P1833" t="s">
        <v>18</v>
      </c>
      <c r="Q1833">
        <v>3</v>
      </c>
      <c r="R1833">
        <v>0</v>
      </c>
      <c r="S1833" t="s">
        <v>19</v>
      </c>
      <c r="T1833">
        <v>0</v>
      </c>
      <c r="U1833">
        <v>1</v>
      </c>
    </row>
    <row r="1834" spans="1:21" x14ac:dyDescent="0.25">
      <c r="A1834">
        <v>9631957</v>
      </c>
      <c r="B1834" t="s">
        <v>15</v>
      </c>
      <c r="C1834" s="1">
        <v>42962</v>
      </c>
      <c r="D1834" s="2">
        <f>YEAR(C1834)</f>
        <v>2017</v>
      </c>
      <c r="E1834">
        <v>180100</v>
      </c>
      <c r="F1834" t="s">
        <v>548</v>
      </c>
      <c r="G1834">
        <v>1959</v>
      </c>
      <c r="H1834">
        <v>4725</v>
      </c>
      <c r="I1834" t="s">
        <v>55</v>
      </c>
      <c r="J1834">
        <v>76</v>
      </c>
      <c r="K1834">
        <v>60076</v>
      </c>
      <c r="L1834">
        <v>1034</v>
      </c>
      <c r="M1834">
        <v>5</v>
      </c>
      <c r="N1834">
        <v>1</v>
      </c>
      <c r="O1834">
        <v>1</v>
      </c>
      <c r="P1834" t="s">
        <v>79</v>
      </c>
      <c r="Q1834">
        <v>2</v>
      </c>
      <c r="R1834">
        <v>1</v>
      </c>
      <c r="S1834" t="s">
        <v>19</v>
      </c>
      <c r="T1834">
        <v>0</v>
      </c>
      <c r="U1834">
        <v>1</v>
      </c>
    </row>
    <row r="1835" spans="1:21" x14ac:dyDescent="0.25">
      <c r="A1835">
        <v>9697176</v>
      </c>
      <c r="B1835" t="s">
        <v>15</v>
      </c>
      <c r="C1835" s="1">
        <v>42984</v>
      </c>
      <c r="D1835" s="2">
        <f>YEAR(C1835)</f>
        <v>2017</v>
      </c>
      <c r="E1835">
        <v>185000</v>
      </c>
      <c r="F1835" t="s">
        <v>548</v>
      </c>
      <c r="G1835">
        <v>1959</v>
      </c>
      <c r="H1835">
        <v>9157</v>
      </c>
      <c r="I1835" t="s">
        <v>28</v>
      </c>
      <c r="J1835">
        <v>76</v>
      </c>
      <c r="K1835">
        <v>60076</v>
      </c>
      <c r="L1835">
        <v>900</v>
      </c>
      <c r="M1835">
        <v>4</v>
      </c>
      <c r="N1835">
        <v>1</v>
      </c>
      <c r="O1835">
        <v>1</v>
      </c>
      <c r="P1835" t="s">
        <v>18</v>
      </c>
      <c r="Q1835">
        <v>2</v>
      </c>
      <c r="R1835">
        <v>0</v>
      </c>
      <c r="S1835" t="s">
        <v>19</v>
      </c>
      <c r="T1835">
        <v>0</v>
      </c>
      <c r="U1835">
        <v>1</v>
      </c>
    </row>
    <row r="1836" spans="1:21" x14ac:dyDescent="0.25">
      <c r="A1836">
        <v>9903226</v>
      </c>
      <c r="B1836" t="s">
        <v>15</v>
      </c>
      <c r="C1836" s="1">
        <v>43265</v>
      </c>
      <c r="D1836" s="2">
        <f>YEAR(C1836)</f>
        <v>2018</v>
      </c>
      <c r="E1836">
        <v>240000</v>
      </c>
      <c r="F1836" t="s">
        <v>548</v>
      </c>
      <c r="G1836">
        <v>1960</v>
      </c>
      <c r="H1836">
        <v>9126</v>
      </c>
      <c r="I1836" t="s">
        <v>46</v>
      </c>
      <c r="J1836">
        <v>76</v>
      </c>
      <c r="K1836">
        <v>60076</v>
      </c>
      <c r="L1836">
        <v>1779</v>
      </c>
      <c r="M1836">
        <v>6</v>
      </c>
      <c r="N1836">
        <v>1</v>
      </c>
      <c r="O1836">
        <v>1</v>
      </c>
      <c r="P1836" t="s">
        <v>18</v>
      </c>
      <c r="Q1836">
        <v>3</v>
      </c>
      <c r="R1836">
        <v>0</v>
      </c>
      <c r="S1836" t="s">
        <v>19</v>
      </c>
      <c r="T1836">
        <v>0</v>
      </c>
      <c r="U1836">
        <v>1</v>
      </c>
    </row>
    <row r="1837" spans="1:21" x14ac:dyDescent="0.25">
      <c r="A1837">
        <v>9935295</v>
      </c>
      <c r="B1837" t="s">
        <v>15</v>
      </c>
      <c r="C1837" s="1">
        <v>43321</v>
      </c>
      <c r="D1837" s="2">
        <f>YEAR(C1837)</f>
        <v>2018</v>
      </c>
      <c r="E1837">
        <v>205000</v>
      </c>
      <c r="F1837" t="s">
        <v>548</v>
      </c>
      <c r="G1837">
        <v>1960</v>
      </c>
      <c r="H1837">
        <v>4863</v>
      </c>
      <c r="I1837" t="s">
        <v>249</v>
      </c>
      <c r="J1837">
        <v>76</v>
      </c>
      <c r="K1837">
        <v>60077</v>
      </c>
      <c r="L1837">
        <v>1070</v>
      </c>
      <c r="M1837">
        <v>5</v>
      </c>
      <c r="N1837">
        <v>1</v>
      </c>
      <c r="O1837">
        <v>1</v>
      </c>
      <c r="P1837" t="s">
        <v>18</v>
      </c>
      <c r="Q1837">
        <v>2</v>
      </c>
      <c r="R1837">
        <v>0</v>
      </c>
      <c r="S1837" t="s">
        <v>19</v>
      </c>
      <c r="T1837">
        <v>0</v>
      </c>
      <c r="U1837">
        <v>1</v>
      </c>
    </row>
    <row r="1838" spans="1:21" x14ac:dyDescent="0.25">
      <c r="A1838">
        <v>9522803</v>
      </c>
      <c r="B1838" t="s">
        <v>15</v>
      </c>
      <c r="C1838" s="1">
        <v>42866</v>
      </c>
      <c r="D1838" s="2">
        <f>YEAR(C1838)</f>
        <v>2017</v>
      </c>
      <c r="E1838">
        <v>169000</v>
      </c>
      <c r="F1838" t="s">
        <v>548</v>
      </c>
      <c r="G1838">
        <v>1960</v>
      </c>
      <c r="H1838">
        <v>9463</v>
      </c>
      <c r="I1838" t="s">
        <v>46</v>
      </c>
      <c r="J1838">
        <v>76</v>
      </c>
      <c r="K1838">
        <v>60076</v>
      </c>
      <c r="L1838">
        <v>1051</v>
      </c>
      <c r="M1838">
        <v>6</v>
      </c>
      <c r="N1838">
        <v>1</v>
      </c>
      <c r="O1838">
        <v>1</v>
      </c>
      <c r="P1838" t="s">
        <v>18</v>
      </c>
      <c r="Q1838">
        <v>3</v>
      </c>
      <c r="R1838">
        <v>0</v>
      </c>
      <c r="S1838" t="s">
        <v>19</v>
      </c>
      <c r="T1838">
        <v>0</v>
      </c>
      <c r="U1838">
        <v>1</v>
      </c>
    </row>
    <row r="1839" spans="1:21" x14ac:dyDescent="0.25">
      <c r="A1839">
        <v>9719356</v>
      </c>
      <c r="B1839" t="s">
        <v>15</v>
      </c>
      <c r="C1839" s="1">
        <v>43014</v>
      </c>
      <c r="D1839" s="2">
        <f>YEAR(C1839)</f>
        <v>2017</v>
      </c>
      <c r="E1839">
        <v>225000</v>
      </c>
      <c r="F1839" t="s">
        <v>548</v>
      </c>
      <c r="G1839">
        <v>1960</v>
      </c>
      <c r="H1839">
        <v>9463</v>
      </c>
      <c r="I1839" t="s">
        <v>46</v>
      </c>
      <c r="J1839">
        <v>76</v>
      </c>
      <c r="K1839">
        <v>60076</v>
      </c>
      <c r="L1839">
        <v>1051</v>
      </c>
      <c r="M1839">
        <v>6</v>
      </c>
      <c r="N1839">
        <v>1</v>
      </c>
      <c r="O1839">
        <v>1</v>
      </c>
      <c r="P1839" t="s">
        <v>18</v>
      </c>
      <c r="Q1839">
        <v>3</v>
      </c>
      <c r="R1839">
        <v>0</v>
      </c>
      <c r="S1839" t="s">
        <v>19</v>
      </c>
      <c r="T1839">
        <v>0</v>
      </c>
      <c r="U1839">
        <v>1</v>
      </c>
    </row>
    <row r="1840" spans="1:21" x14ac:dyDescent="0.25">
      <c r="A1840">
        <v>9478098</v>
      </c>
      <c r="B1840" t="s">
        <v>15</v>
      </c>
      <c r="C1840" s="1">
        <v>42810</v>
      </c>
      <c r="D1840" s="2">
        <f>YEAR(C1840)</f>
        <v>2017</v>
      </c>
      <c r="E1840">
        <v>210000</v>
      </c>
      <c r="F1840" t="s">
        <v>548</v>
      </c>
      <c r="G1840">
        <v>1965</v>
      </c>
      <c r="H1840">
        <v>8458</v>
      </c>
      <c r="I1840" t="s">
        <v>47</v>
      </c>
      <c r="J1840">
        <v>76</v>
      </c>
      <c r="K1840">
        <v>60077</v>
      </c>
      <c r="L1840">
        <v>1312</v>
      </c>
      <c r="M1840">
        <v>6</v>
      </c>
      <c r="N1840">
        <v>1</v>
      </c>
      <c r="O1840">
        <v>1</v>
      </c>
      <c r="P1840" t="s">
        <v>18</v>
      </c>
      <c r="Q1840">
        <v>3</v>
      </c>
      <c r="R1840">
        <v>0</v>
      </c>
      <c r="S1840" t="s">
        <v>19</v>
      </c>
      <c r="T1840">
        <v>0</v>
      </c>
      <c r="U1840">
        <v>1</v>
      </c>
    </row>
    <row r="1841" spans="1:21" x14ac:dyDescent="0.25">
      <c r="A1841">
        <v>10065621</v>
      </c>
      <c r="B1841" t="s">
        <v>15</v>
      </c>
      <c r="C1841" s="1">
        <v>43387</v>
      </c>
      <c r="D1841" s="2">
        <f>YEAR(C1841)</f>
        <v>2018</v>
      </c>
      <c r="E1841">
        <v>235000</v>
      </c>
      <c r="F1841" t="s">
        <v>548</v>
      </c>
      <c r="G1841">
        <v>1965</v>
      </c>
      <c r="H1841">
        <v>8465</v>
      </c>
      <c r="I1841" t="s">
        <v>47</v>
      </c>
      <c r="J1841">
        <v>76</v>
      </c>
      <c r="K1841">
        <v>60077</v>
      </c>
      <c r="L1841">
        <v>1312</v>
      </c>
      <c r="M1841">
        <v>7</v>
      </c>
      <c r="N1841">
        <v>1</v>
      </c>
      <c r="O1841">
        <v>1</v>
      </c>
      <c r="P1841" t="s">
        <v>18</v>
      </c>
      <c r="Q1841">
        <v>3</v>
      </c>
      <c r="R1841">
        <v>0</v>
      </c>
      <c r="S1841" t="s">
        <v>19</v>
      </c>
      <c r="T1841">
        <v>0</v>
      </c>
      <c r="U1841">
        <v>1</v>
      </c>
    </row>
    <row r="1842" spans="1:21" x14ac:dyDescent="0.25">
      <c r="A1842">
        <v>9493679</v>
      </c>
      <c r="B1842" t="s">
        <v>15</v>
      </c>
      <c r="C1842" s="1">
        <v>42870</v>
      </c>
      <c r="D1842" s="2">
        <f>YEAR(C1842)</f>
        <v>2017</v>
      </c>
      <c r="E1842">
        <v>205000</v>
      </c>
      <c r="F1842" t="s">
        <v>548</v>
      </c>
      <c r="G1842">
        <v>1966</v>
      </c>
      <c r="H1842">
        <v>9160</v>
      </c>
      <c r="I1842" t="s">
        <v>30</v>
      </c>
      <c r="J1842">
        <v>76</v>
      </c>
      <c r="K1842">
        <v>60076</v>
      </c>
      <c r="L1842">
        <v>1874</v>
      </c>
      <c r="M1842">
        <v>6</v>
      </c>
      <c r="N1842">
        <v>1</v>
      </c>
      <c r="O1842">
        <v>1</v>
      </c>
      <c r="P1842" t="s">
        <v>18</v>
      </c>
      <c r="Q1842">
        <v>3</v>
      </c>
      <c r="R1842">
        <v>0</v>
      </c>
      <c r="S1842" t="s">
        <v>19</v>
      </c>
      <c r="T1842">
        <v>0</v>
      </c>
      <c r="U1842">
        <v>1</v>
      </c>
    </row>
    <row r="1843" spans="1:21" x14ac:dyDescent="0.25">
      <c r="A1843">
        <v>9741173</v>
      </c>
      <c r="B1843" t="s">
        <v>15</v>
      </c>
      <c r="C1843" s="1">
        <v>43040</v>
      </c>
      <c r="D1843" s="2">
        <f>YEAR(C1843)</f>
        <v>2017</v>
      </c>
      <c r="E1843">
        <v>182000</v>
      </c>
      <c r="F1843" t="s">
        <v>548</v>
      </c>
      <c r="G1843">
        <v>1956</v>
      </c>
      <c r="H1843">
        <v>4926</v>
      </c>
      <c r="I1843" t="s">
        <v>541</v>
      </c>
      <c r="J1843">
        <v>76</v>
      </c>
      <c r="K1843">
        <v>60077</v>
      </c>
      <c r="L1843">
        <v>1100</v>
      </c>
      <c r="M1843">
        <v>6</v>
      </c>
      <c r="N1843">
        <v>2</v>
      </c>
      <c r="O1843">
        <v>1</v>
      </c>
      <c r="P1843" t="s">
        <v>79</v>
      </c>
      <c r="Q1843">
        <v>2</v>
      </c>
      <c r="R1843">
        <v>0</v>
      </c>
      <c r="S1843" t="s">
        <v>19</v>
      </c>
      <c r="T1843">
        <v>0</v>
      </c>
      <c r="U1843">
        <v>1</v>
      </c>
    </row>
    <row r="1844" spans="1:21" x14ac:dyDescent="0.25">
      <c r="A1844">
        <v>10106347</v>
      </c>
      <c r="B1844" t="s">
        <v>15</v>
      </c>
      <c r="C1844" s="1">
        <v>43420</v>
      </c>
      <c r="D1844" s="2">
        <f>YEAR(C1844)</f>
        <v>2018</v>
      </c>
      <c r="E1844">
        <v>180000</v>
      </c>
      <c r="F1844" t="s">
        <v>548</v>
      </c>
      <c r="G1844">
        <v>1958</v>
      </c>
      <c r="H1844">
        <v>4843</v>
      </c>
      <c r="I1844" t="s">
        <v>39</v>
      </c>
      <c r="J1844">
        <v>76</v>
      </c>
      <c r="K1844">
        <v>60076</v>
      </c>
      <c r="L1844">
        <v>1086</v>
      </c>
      <c r="M1844">
        <v>6</v>
      </c>
      <c r="N1844">
        <v>1</v>
      </c>
      <c r="O1844">
        <v>1</v>
      </c>
      <c r="P1844" t="s">
        <v>79</v>
      </c>
      <c r="Q1844">
        <v>3</v>
      </c>
      <c r="R1844">
        <v>0</v>
      </c>
      <c r="S1844" t="s">
        <v>19</v>
      </c>
      <c r="T1844">
        <v>0</v>
      </c>
      <c r="U1844">
        <v>1</v>
      </c>
    </row>
    <row r="1845" spans="1:21" x14ac:dyDescent="0.25">
      <c r="A1845">
        <v>9903968</v>
      </c>
      <c r="B1845" t="s">
        <v>15</v>
      </c>
      <c r="C1845" s="1">
        <v>43255</v>
      </c>
      <c r="D1845" s="2">
        <f>YEAR(C1845)</f>
        <v>2018</v>
      </c>
      <c r="E1845">
        <v>210000</v>
      </c>
      <c r="F1845" t="s">
        <v>548</v>
      </c>
      <c r="G1845">
        <v>1959</v>
      </c>
      <c r="H1845">
        <v>4738</v>
      </c>
      <c r="I1845" t="s">
        <v>38</v>
      </c>
      <c r="J1845">
        <v>76</v>
      </c>
      <c r="K1845">
        <v>60076</v>
      </c>
      <c r="L1845">
        <v>1500</v>
      </c>
      <c r="M1845">
        <v>6</v>
      </c>
      <c r="N1845">
        <v>2</v>
      </c>
      <c r="O1845">
        <v>1</v>
      </c>
      <c r="P1845" t="s">
        <v>79</v>
      </c>
      <c r="Q1845">
        <v>2</v>
      </c>
      <c r="R1845">
        <v>0</v>
      </c>
      <c r="S1845" t="s">
        <v>19</v>
      </c>
      <c r="T1845">
        <v>0</v>
      </c>
      <c r="U1845">
        <v>1</v>
      </c>
    </row>
    <row r="1846" spans="1:21" x14ac:dyDescent="0.25">
      <c r="A1846" t="s">
        <v>599</v>
      </c>
      <c r="B1846" t="s">
        <v>15</v>
      </c>
      <c r="C1846" s="1">
        <v>44042</v>
      </c>
      <c r="D1846" s="2">
        <f>YEAR(C1846)</f>
        <v>2020</v>
      </c>
      <c r="E1846">
        <v>95500</v>
      </c>
      <c r="F1846" t="s">
        <v>16</v>
      </c>
      <c r="G1846">
        <v>1979</v>
      </c>
      <c r="H1846">
        <v>39870</v>
      </c>
      <c r="I1846" t="s">
        <v>63</v>
      </c>
      <c r="J1846" t="s">
        <v>600</v>
      </c>
      <c r="K1846">
        <v>60002</v>
      </c>
      <c r="L1846">
        <v>1008</v>
      </c>
      <c r="M1846">
        <v>5</v>
      </c>
      <c r="N1846">
        <v>1</v>
      </c>
      <c r="O1846">
        <v>0</v>
      </c>
      <c r="P1846" t="s">
        <v>18</v>
      </c>
      <c r="Q1846">
        <v>2</v>
      </c>
      <c r="R1846">
        <v>0</v>
      </c>
      <c r="S1846" t="s">
        <v>21</v>
      </c>
      <c r="T1846">
        <v>1</v>
      </c>
      <c r="U1846">
        <v>1</v>
      </c>
    </row>
    <row r="1847" spans="1:21" x14ac:dyDescent="0.25">
      <c r="A1847" t="s">
        <v>601</v>
      </c>
      <c r="B1847" t="s">
        <v>15</v>
      </c>
      <c r="C1847" s="1">
        <v>44141</v>
      </c>
      <c r="D1847" s="2">
        <f>YEAR(C1847)</f>
        <v>2020</v>
      </c>
      <c r="E1847">
        <v>97515</v>
      </c>
      <c r="F1847" t="s">
        <v>16</v>
      </c>
      <c r="G1847">
        <v>1979</v>
      </c>
      <c r="H1847">
        <v>39870</v>
      </c>
      <c r="I1847" t="s">
        <v>63</v>
      </c>
      <c r="J1847" t="s">
        <v>600</v>
      </c>
      <c r="K1847">
        <v>60002</v>
      </c>
      <c r="L1847">
        <v>1008</v>
      </c>
      <c r="M1847">
        <v>5</v>
      </c>
      <c r="N1847">
        <v>1</v>
      </c>
      <c r="O1847">
        <v>0</v>
      </c>
      <c r="P1847" t="s">
        <v>18</v>
      </c>
      <c r="Q1847">
        <v>2</v>
      </c>
      <c r="R1847">
        <v>0</v>
      </c>
      <c r="S1847" t="s">
        <v>21</v>
      </c>
      <c r="T1847">
        <v>1</v>
      </c>
      <c r="U1847">
        <v>1</v>
      </c>
    </row>
    <row r="1848" spans="1:21" x14ac:dyDescent="0.25">
      <c r="A1848" t="s">
        <v>602</v>
      </c>
      <c r="B1848" t="s">
        <v>15</v>
      </c>
      <c r="C1848" s="1">
        <v>43649</v>
      </c>
      <c r="D1848" s="2">
        <f>YEAR(C1848)</f>
        <v>2019</v>
      </c>
      <c r="E1848">
        <v>92500</v>
      </c>
      <c r="F1848" t="s">
        <v>16</v>
      </c>
      <c r="G1848">
        <v>1980</v>
      </c>
      <c r="H1848">
        <v>39870</v>
      </c>
      <c r="I1848" t="s">
        <v>63</v>
      </c>
      <c r="J1848" t="s">
        <v>600</v>
      </c>
      <c r="K1848">
        <v>60002</v>
      </c>
      <c r="L1848">
        <v>1008</v>
      </c>
      <c r="M1848">
        <v>5</v>
      </c>
      <c r="N1848">
        <v>1</v>
      </c>
      <c r="O1848">
        <v>0</v>
      </c>
      <c r="P1848" t="s">
        <v>18</v>
      </c>
      <c r="Q1848">
        <v>2</v>
      </c>
      <c r="R1848">
        <v>0</v>
      </c>
      <c r="S1848" t="s">
        <v>21</v>
      </c>
      <c r="T1848">
        <v>1</v>
      </c>
      <c r="U1848">
        <v>1</v>
      </c>
    </row>
    <row r="1849" spans="1:21" x14ac:dyDescent="0.25">
      <c r="A1849" t="s">
        <v>609</v>
      </c>
      <c r="B1849" t="s">
        <v>15</v>
      </c>
      <c r="C1849" s="1">
        <v>43634</v>
      </c>
      <c r="D1849" s="2">
        <f>YEAR(C1849)</f>
        <v>2019</v>
      </c>
      <c r="E1849">
        <v>106000</v>
      </c>
      <c r="F1849" t="s">
        <v>548</v>
      </c>
      <c r="G1849">
        <v>2008</v>
      </c>
      <c r="H1849">
        <v>369</v>
      </c>
      <c r="I1849" t="s">
        <v>608</v>
      </c>
      <c r="J1849" t="s">
        <v>600</v>
      </c>
      <c r="K1849">
        <v>60002</v>
      </c>
      <c r="L1849">
        <v>1066</v>
      </c>
      <c r="M1849">
        <v>4</v>
      </c>
      <c r="N1849">
        <v>1</v>
      </c>
      <c r="O1849">
        <v>1</v>
      </c>
      <c r="P1849" t="s">
        <v>18</v>
      </c>
      <c r="Q1849">
        <v>2</v>
      </c>
      <c r="R1849">
        <v>0</v>
      </c>
      <c r="S1849" t="s">
        <v>21</v>
      </c>
      <c r="T1849">
        <v>1</v>
      </c>
      <c r="U1849">
        <v>1</v>
      </c>
    </row>
    <row r="1850" spans="1:21" x14ac:dyDescent="0.25">
      <c r="A1850" t="s">
        <v>629</v>
      </c>
      <c r="B1850" t="s">
        <v>15</v>
      </c>
      <c r="C1850" s="1">
        <v>44169</v>
      </c>
      <c r="D1850" s="2">
        <f>YEAR(C1850)</f>
        <v>2020</v>
      </c>
      <c r="E1850">
        <v>134000</v>
      </c>
      <c r="F1850" t="s">
        <v>16</v>
      </c>
      <c r="G1850">
        <v>1998</v>
      </c>
      <c r="H1850">
        <v>39963</v>
      </c>
      <c r="I1850" t="s">
        <v>628</v>
      </c>
      <c r="J1850" t="s">
        <v>600</v>
      </c>
      <c r="K1850">
        <v>60002</v>
      </c>
      <c r="L1850">
        <v>1186</v>
      </c>
      <c r="M1850">
        <v>7</v>
      </c>
      <c r="N1850">
        <v>1</v>
      </c>
      <c r="O1850">
        <v>1</v>
      </c>
      <c r="P1850" t="s">
        <v>18</v>
      </c>
      <c r="Q1850">
        <v>2</v>
      </c>
      <c r="R1850">
        <v>0</v>
      </c>
      <c r="S1850" t="s">
        <v>21</v>
      </c>
      <c r="T1850">
        <v>1</v>
      </c>
      <c r="U1850">
        <v>1</v>
      </c>
    </row>
    <row r="1851" spans="1:21" x14ac:dyDescent="0.25">
      <c r="A1851" t="str">
        <f>"10507818"</f>
        <v>10507818</v>
      </c>
      <c r="B1851" t="s">
        <v>15</v>
      </c>
      <c r="C1851" s="1">
        <v>43761</v>
      </c>
      <c r="D1851" s="2">
        <f>YEAR(C1851)</f>
        <v>2019</v>
      </c>
      <c r="E1851">
        <v>165000</v>
      </c>
      <c r="F1851" t="s">
        <v>85</v>
      </c>
      <c r="G1851">
        <v>1960</v>
      </c>
      <c r="H1851">
        <v>830</v>
      </c>
      <c r="I1851" t="s">
        <v>649</v>
      </c>
      <c r="J1851" t="str">
        <f>"2"</f>
        <v>2</v>
      </c>
      <c r="K1851">
        <v>60002</v>
      </c>
      <c r="L1851">
        <v>1268</v>
      </c>
      <c r="M1851">
        <v>7</v>
      </c>
      <c r="N1851">
        <v>1</v>
      </c>
      <c r="O1851">
        <v>1</v>
      </c>
      <c r="P1851" t="s">
        <v>18</v>
      </c>
      <c r="Q1851">
        <v>3</v>
      </c>
      <c r="R1851">
        <v>0</v>
      </c>
      <c r="S1851" t="s">
        <v>22</v>
      </c>
      <c r="T1851">
        <v>1.5</v>
      </c>
      <c r="U1851">
        <v>1</v>
      </c>
    </row>
    <row r="1852" spans="1:21" x14ac:dyDescent="0.25">
      <c r="A1852" t="str">
        <f>"09938451"</f>
        <v>09938451</v>
      </c>
      <c r="B1852" t="s">
        <v>15</v>
      </c>
      <c r="C1852" s="1">
        <v>43633</v>
      </c>
      <c r="D1852" s="2">
        <f>YEAR(C1852)</f>
        <v>2019</v>
      </c>
      <c r="E1852">
        <v>210000</v>
      </c>
      <c r="F1852" t="s">
        <v>85</v>
      </c>
      <c r="G1852">
        <v>1968</v>
      </c>
      <c r="H1852">
        <v>144</v>
      </c>
      <c r="I1852" t="s">
        <v>663</v>
      </c>
      <c r="J1852" t="str">
        <f>"2"</f>
        <v>2</v>
      </c>
      <c r="K1852">
        <v>60002</v>
      </c>
      <c r="L1852">
        <v>2456</v>
      </c>
      <c r="M1852">
        <v>6</v>
      </c>
      <c r="N1852">
        <v>2</v>
      </c>
      <c r="O1852">
        <v>2</v>
      </c>
      <c r="P1852" t="s">
        <v>79</v>
      </c>
      <c r="Q1852">
        <v>3</v>
      </c>
      <c r="R1852">
        <v>0</v>
      </c>
      <c r="S1852" t="s">
        <v>21</v>
      </c>
      <c r="T1852">
        <v>2</v>
      </c>
      <c r="U1852">
        <v>1</v>
      </c>
    </row>
    <row r="1853" spans="1:21" x14ac:dyDescent="0.25">
      <c r="A1853">
        <v>9910480</v>
      </c>
      <c r="B1853" t="s">
        <v>15</v>
      </c>
      <c r="C1853" s="1">
        <v>43262</v>
      </c>
      <c r="D1853" s="2">
        <f>YEAR(C1853)</f>
        <v>2018</v>
      </c>
      <c r="E1853">
        <v>142500</v>
      </c>
      <c r="F1853" t="s">
        <v>16</v>
      </c>
      <c r="G1853">
        <v>1963</v>
      </c>
      <c r="H1853">
        <v>4734</v>
      </c>
      <c r="I1853" t="s">
        <v>41</v>
      </c>
      <c r="J1853">
        <v>76</v>
      </c>
      <c r="K1853">
        <v>60076</v>
      </c>
      <c r="L1853">
        <v>1300</v>
      </c>
      <c r="M1853">
        <v>5</v>
      </c>
      <c r="N1853">
        <v>2</v>
      </c>
      <c r="O1853">
        <v>0</v>
      </c>
      <c r="P1853" t="s">
        <v>18</v>
      </c>
      <c r="Q1853">
        <v>2</v>
      </c>
      <c r="R1853">
        <v>0</v>
      </c>
      <c r="S1853" t="s">
        <v>19</v>
      </c>
      <c r="T1853">
        <v>0</v>
      </c>
      <c r="U1853">
        <v>2</v>
      </c>
    </row>
    <row r="1854" spans="1:21" x14ac:dyDescent="0.25">
      <c r="A1854">
        <v>9715452</v>
      </c>
      <c r="B1854" t="s">
        <v>15</v>
      </c>
      <c r="C1854" s="1">
        <v>43012</v>
      </c>
      <c r="D1854" s="2">
        <f>YEAR(C1854)</f>
        <v>2017</v>
      </c>
      <c r="E1854">
        <v>170000</v>
      </c>
      <c r="F1854" t="s">
        <v>16</v>
      </c>
      <c r="G1854">
        <v>1968</v>
      </c>
      <c r="H1854">
        <v>5200</v>
      </c>
      <c r="I1854" t="s">
        <v>37</v>
      </c>
      <c r="J1854">
        <v>76</v>
      </c>
      <c r="K1854">
        <v>60076</v>
      </c>
      <c r="L1854">
        <v>1200</v>
      </c>
      <c r="M1854">
        <v>6</v>
      </c>
      <c r="N1854">
        <v>2</v>
      </c>
      <c r="O1854">
        <v>0</v>
      </c>
      <c r="P1854" t="s">
        <v>18</v>
      </c>
      <c r="Q1854">
        <v>3</v>
      </c>
      <c r="R1854">
        <v>0</v>
      </c>
      <c r="S1854" t="s">
        <v>19</v>
      </c>
      <c r="T1854">
        <v>0</v>
      </c>
      <c r="U1854">
        <v>2</v>
      </c>
    </row>
    <row r="1855" spans="1:21" x14ac:dyDescent="0.25">
      <c r="A1855">
        <v>9705516</v>
      </c>
      <c r="B1855" t="s">
        <v>15</v>
      </c>
      <c r="C1855" s="1">
        <v>43005</v>
      </c>
      <c r="D1855" s="2">
        <f>YEAR(C1855)</f>
        <v>2017</v>
      </c>
      <c r="E1855">
        <v>215000</v>
      </c>
      <c r="F1855" t="s">
        <v>16</v>
      </c>
      <c r="G1855">
        <v>1972</v>
      </c>
      <c r="H1855">
        <v>8225</v>
      </c>
      <c r="I1855" t="s">
        <v>46</v>
      </c>
      <c r="J1855">
        <v>76</v>
      </c>
      <c r="K1855">
        <v>60077</v>
      </c>
      <c r="L1855">
        <v>1600</v>
      </c>
      <c r="M1855">
        <v>6</v>
      </c>
      <c r="N1855">
        <v>2</v>
      </c>
      <c r="O1855">
        <v>0</v>
      </c>
      <c r="P1855" t="s">
        <v>18</v>
      </c>
      <c r="Q1855">
        <v>3</v>
      </c>
      <c r="R1855">
        <v>0</v>
      </c>
      <c r="S1855" t="s">
        <v>21</v>
      </c>
      <c r="T1855">
        <v>1</v>
      </c>
      <c r="U1855">
        <v>2</v>
      </c>
    </row>
    <row r="1856" spans="1:21" x14ac:dyDescent="0.25">
      <c r="A1856">
        <v>9691593</v>
      </c>
      <c r="B1856" t="s">
        <v>15</v>
      </c>
      <c r="C1856" s="1">
        <v>42977</v>
      </c>
      <c r="D1856" s="2">
        <f>YEAR(C1856)</f>
        <v>2017</v>
      </c>
      <c r="E1856">
        <v>171502</v>
      </c>
      <c r="F1856" t="s">
        <v>16</v>
      </c>
      <c r="G1856">
        <v>1973</v>
      </c>
      <c r="H1856">
        <v>9445</v>
      </c>
      <c r="I1856" t="s">
        <v>60</v>
      </c>
      <c r="J1856">
        <v>76</v>
      </c>
      <c r="K1856">
        <v>60076</v>
      </c>
      <c r="L1856">
        <v>1242</v>
      </c>
      <c r="M1856">
        <v>5</v>
      </c>
      <c r="N1856">
        <v>2</v>
      </c>
      <c r="O1856">
        <v>0</v>
      </c>
      <c r="P1856" t="s">
        <v>18</v>
      </c>
      <c r="Q1856">
        <v>2</v>
      </c>
      <c r="R1856">
        <v>0</v>
      </c>
      <c r="S1856" t="s">
        <v>19</v>
      </c>
      <c r="T1856">
        <v>0</v>
      </c>
      <c r="U1856">
        <v>2</v>
      </c>
    </row>
    <row r="1857" spans="1:21" x14ac:dyDescent="0.25">
      <c r="A1857">
        <v>9495359</v>
      </c>
      <c r="B1857" t="s">
        <v>15</v>
      </c>
      <c r="C1857" s="1">
        <v>42831</v>
      </c>
      <c r="D1857" s="2">
        <f>YEAR(C1857)</f>
        <v>2017</v>
      </c>
      <c r="E1857">
        <v>161000</v>
      </c>
      <c r="F1857" t="s">
        <v>16</v>
      </c>
      <c r="G1857">
        <v>1974</v>
      </c>
      <c r="H1857">
        <v>4664</v>
      </c>
      <c r="I1857" t="s">
        <v>64</v>
      </c>
      <c r="J1857">
        <v>76</v>
      </c>
      <c r="K1857">
        <v>60076</v>
      </c>
      <c r="L1857">
        <v>1800</v>
      </c>
      <c r="M1857">
        <v>6</v>
      </c>
      <c r="N1857">
        <v>2</v>
      </c>
      <c r="O1857">
        <v>0</v>
      </c>
      <c r="P1857" t="s">
        <v>18</v>
      </c>
      <c r="Q1857">
        <v>3</v>
      </c>
      <c r="R1857">
        <v>0</v>
      </c>
      <c r="S1857" t="s">
        <v>19</v>
      </c>
      <c r="T1857">
        <v>0</v>
      </c>
      <c r="U1857">
        <v>2</v>
      </c>
    </row>
    <row r="1858" spans="1:21" x14ac:dyDescent="0.25">
      <c r="A1858">
        <v>10170002</v>
      </c>
      <c r="B1858" t="s">
        <v>15</v>
      </c>
      <c r="C1858" s="1">
        <v>43521</v>
      </c>
      <c r="D1858" s="2">
        <f>YEAR(C1858)</f>
        <v>2019</v>
      </c>
      <c r="E1858">
        <v>130000</v>
      </c>
      <c r="F1858" t="s">
        <v>16</v>
      </c>
      <c r="G1858">
        <v>1975</v>
      </c>
      <c r="H1858">
        <v>4901</v>
      </c>
      <c r="I1858" t="s">
        <v>63</v>
      </c>
      <c r="J1858">
        <v>76</v>
      </c>
      <c r="K1858">
        <v>60077</v>
      </c>
      <c r="L1858">
        <v>1000</v>
      </c>
      <c r="M1858">
        <v>4</v>
      </c>
      <c r="N1858">
        <v>1</v>
      </c>
      <c r="O1858">
        <v>0</v>
      </c>
      <c r="P1858" t="s">
        <v>18</v>
      </c>
      <c r="Q1858">
        <v>1</v>
      </c>
      <c r="R1858">
        <v>0</v>
      </c>
      <c r="S1858" t="s">
        <v>19</v>
      </c>
      <c r="T1858">
        <v>0</v>
      </c>
      <c r="U1858">
        <v>2</v>
      </c>
    </row>
    <row r="1859" spans="1:21" x14ac:dyDescent="0.25">
      <c r="A1859">
        <v>9961212</v>
      </c>
      <c r="B1859" t="s">
        <v>15</v>
      </c>
      <c r="C1859" s="1">
        <v>43279</v>
      </c>
      <c r="D1859" s="2">
        <f>YEAR(C1859)</f>
        <v>2018</v>
      </c>
      <c r="E1859">
        <v>215000</v>
      </c>
      <c r="F1859" t="s">
        <v>16</v>
      </c>
      <c r="G1859">
        <v>1979</v>
      </c>
      <c r="H1859">
        <v>9560</v>
      </c>
      <c r="I1859" t="s">
        <v>62</v>
      </c>
      <c r="J1859">
        <v>76</v>
      </c>
      <c r="K1859">
        <v>60076</v>
      </c>
      <c r="L1859">
        <v>1720</v>
      </c>
      <c r="M1859">
        <v>5</v>
      </c>
      <c r="N1859">
        <v>2</v>
      </c>
      <c r="O1859">
        <v>0</v>
      </c>
      <c r="P1859" t="s">
        <v>18</v>
      </c>
      <c r="Q1859">
        <v>2</v>
      </c>
      <c r="R1859">
        <v>0</v>
      </c>
      <c r="S1859" t="s">
        <v>21</v>
      </c>
      <c r="T1859">
        <v>2</v>
      </c>
      <c r="U1859">
        <v>2</v>
      </c>
    </row>
    <row r="1860" spans="1:21" x14ac:dyDescent="0.25">
      <c r="A1860">
        <v>9410376</v>
      </c>
      <c r="B1860" t="s">
        <v>15</v>
      </c>
      <c r="C1860" s="1">
        <v>42845</v>
      </c>
      <c r="D1860" s="2">
        <f>YEAR(C1860)</f>
        <v>2017</v>
      </c>
      <c r="E1860">
        <v>183000</v>
      </c>
      <c r="F1860" t="s">
        <v>16</v>
      </c>
      <c r="G1860">
        <v>1968</v>
      </c>
      <c r="H1860">
        <v>5251</v>
      </c>
      <c r="I1860" t="s">
        <v>37</v>
      </c>
      <c r="J1860">
        <v>76</v>
      </c>
      <c r="K1860">
        <v>60077</v>
      </c>
      <c r="L1860">
        <v>1700</v>
      </c>
      <c r="M1860">
        <v>6</v>
      </c>
      <c r="N1860">
        <v>2</v>
      </c>
      <c r="O1860">
        <v>0</v>
      </c>
      <c r="P1860" t="s">
        <v>18</v>
      </c>
      <c r="Q1860">
        <v>3</v>
      </c>
      <c r="R1860">
        <v>0</v>
      </c>
      <c r="S1860" t="s">
        <v>19</v>
      </c>
      <c r="T1860">
        <v>0</v>
      </c>
      <c r="U1860">
        <v>2</v>
      </c>
    </row>
    <row r="1861" spans="1:21" x14ac:dyDescent="0.25">
      <c r="A1861">
        <v>10154719</v>
      </c>
      <c r="B1861" t="s">
        <v>15</v>
      </c>
      <c r="C1861" s="1">
        <v>43504</v>
      </c>
      <c r="D1861" s="2">
        <f>YEAR(C1861)</f>
        <v>2019</v>
      </c>
      <c r="E1861">
        <v>190000</v>
      </c>
      <c r="F1861" t="s">
        <v>81</v>
      </c>
      <c r="G1861">
        <v>1962</v>
      </c>
      <c r="H1861">
        <v>8324</v>
      </c>
      <c r="I1861" t="s">
        <v>83</v>
      </c>
      <c r="J1861">
        <v>76</v>
      </c>
      <c r="K1861">
        <v>60076</v>
      </c>
      <c r="L1861">
        <v>1312</v>
      </c>
      <c r="M1861">
        <v>7</v>
      </c>
      <c r="N1861">
        <v>1</v>
      </c>
      <c r="O1861">
        <v>1</v>
      </c>
      <c r="P1861" t="s">
        <v>18</v>
      </c>
      <c r="Q1861">
        <v>3</v>
      </c>
      <c r="R1861">
        <v>0</v>
      </c>
      <c r="S1861" t="s">
        <v>19</v>
      </c>
      <c r="T1861">
        <v>0</v>
      </c>
      <c r="U1861">
        <v>2</v>
      </c>
    </row>
    <row r="1862" spans="1:21" x14ac:dyDescent="0.25">
      <c r="A1862">
        <v>9799020</v>
      </c>
      <c r="B1862" t="s">
        <v>15</v>
      </c>
      <c r="C1862" s="1">
        <v>43080</v>
      </c>
      <c r="D1862" s="2">
        <f>YEAR(C1862)</f>
        <v>2017</v>
      </c>
      <c r="E1862">
        <v>153000</v>
      </c>
      <c r="F1862" t="s">
        <v>85</v>
      </c>
      <c r="G1862">
        <v>1940</v>
      </c>
      <c r="H1862">
        <v>7718</v>
      </c>
      <c r="I1862" t="s">
        <v>97</v>
      </c>
      <c r="J1862">
        <v>76</v>
      </c>
      <c r="K1862">
        <v>60076</v>
      </c>
      <c r="L1862">
        <v>1200</v>
      </c>
      <c r="M1862">
        <v>6</v>
      </c>
      <c r="N1862">
        <v>1</v>
      </c>
      <c r="O1862">
        <v>0</v>
      </c>
      <c r="P1862" t="s">
        <v>18</v>
      </c>
      <c r="Q1862">
        <v>2</v>
      </c>
      <c r="R1862">
        <v>0</v>
      </c>
      <c r="S1862" t="s">
        <v>19</v>
      </c>
      <c r="T1862">
        <v>0</v>
      </c>
      <c r="U1862">
        <v>2</v>
      </c>
    </row>
    <row r="1863" spans="1:21" x14ac:dyDescent="0.25">
      <c r="A1863">
        <v>9961837</v>
      </c>
      <c r="B1863" t="s">
        <v>15</v>
      </c>
      <c r="C1863" s="1">
        <v>43290</v>
      </c>
      <c r="D1863" s="2">
        <f>YEAR(C1863)</f>
        <v>2018</v>
      </c>
      <c r="E1863">
        <v>316000</v>
      </c>
      <c r="F1863" t="s">
        <v>85</v>
      </c>
      <c r="G1863">
        <v>1941</v>
      </c>
      <c r="H1863">
        <v>5254</v>
      </c>
      <c r="I1863" t="s">
        <v>109</v>
      </c>
      <c r="J1863">
        <v>76</v>
      </c>
      <c r="K1863">
        <v>60077</v>
      </c>
      <c r="L1863">
        <v>1136</v>
      </c>
      <c r="M1863">
        <v>5</v>
      </c>
      <c r="N1863">
        <v>1</v>
      </c>
      <c r="O1863">
        <v>0</v>
      </c>
      <c r="P1863" t="s">
        <v>18</v>
      </c>
      <c r="Q1863">
        <v>2</v>
      </c>
      <c r="R1863">
        <v>0</v>
      </c>
      <c r="S1863" t="s">
        <v>22</v>
      </c>
      <c r="T1863">
        <v>2</v>
      </c>
      <c r="U1863">
        <v>2</v>
      </c>
    </row>
    <row r="1864" spans="1:21" x14ac:dyDescent="0.25">
      <c r="A1864">
        <v>9988015</v>
      </c>
      <c r="B1864" t="s">
        <v>15</v>
      </c>
      <c r="C1864" s="1">
        <v>43342</v>
      </c>
      <c r="D1864" s="2">
        <f>YEAR(C1864)</f>
        <v>2018</v>
      </c>
      <c r="E1864">
        <v>260000</v>
      </c>
      <c r="F1864" t="s">
        <v>85</v>
      </c>
      <c r="G1864">
        <v>1942</v>
      </c>
      <c r="H1864">
        <v>4937</v>
      </c>
      <c r="I1864" t="s">
        <v>113</v>
      </c>
      <c r="J1864">
        <v>76</v>
      </c>
      <c r="K1864">
        <v>60077</v>
      </c>
      <c r="L1864">
        <v>2089</v>
      </c>
      <c r="M1864">
        <v>7</v>
      </c>
      <c r="N1864">
        <v>1</v>
      </c>
      <c r="O1864">
        <v>1</v>
      </c>
      <c r="P1864" t="s">
        <v>18</v>
      </c>
      <c r="Q1864">
        <v>3</v>
      </c>
      <c r="R1864">
        <v>0</v>
      </c>
      <c r="S1864" t="s">
        <v>19</v>
      </c>
      <c r="T1864">
        <v>0</v>
      </c>
      <c r="U1864">
        <v>2</v>
      </c>
    </row>
    <row r="1865" spans="1:21" x14ac:dyDescent="0.25">
      <c r="A1865">
        <v>9689981</v>
      </c>
      <c r="B1865" t="s">
        <v>15</v>
      </c>
      <c r="C1865" s="1">
        <v>42998</v>
      </c>
      <c r="D1865" s="2">
        <f>YEAR(C1865)</f>
        <v>2017</v>
      </c>
      <c r="E1865">
        <v>405000</v>
      </c>
      <c r="F1865" t="s">
        <v>85</v>
      </c>
      <c r="G1865">
        <v>1942</v>
      </c>
      <c r="H1865">
        <v>8023</v>
      </c>
      <c r="I1865" t="s">
        <v>104</v>
      </c>
      <c r="J1865">
        <v>76</v>
      </c>
      <c r="K1865">
        <v>60077</v>
      </c>
      <c r="L1865">
        <v>1845</v>
      </c>
      <c r="M1865">
        <v>8</v>
      </c>
      <c r="N1865">
        <v>1</v>
      </c>
      <c r="O1865">
        <v>1</v>
      </c>
      <c r="P1865" t="s">
        <v>18</v>
      </c>
      <c r="Q1865">
        <v>3</v>
      </c>
      <c r="R1865">
        <v>0</v>
      </c>
      <c r="S1865" t="s">
        <v>21</v>
      </c>
      <c r="T1865">
        <v>1</v>
      </c>
      <c r="U1865">
        <v>2</v>
      </c>
    </row>
    <row r="1866" spans="1:21" x14ac:dyDescent="0.25">
      <c r="A1866">
        <v>9925922</v>
      </c>
      <c r="B1866" t="s">
        <v>15</v>
      </c>
      <c r="C1866" s="1">
        <v>43259</v>
      </c>
      <c r="D1866" s="2">
        <f>YEAR(C1866)</f>
        <v>2018</v>
      </c>
      <c r="E1866">
        <v>375000</v>
      </c>
      <c r="F1866" t="s">
        <v>85</v>
      </c>
      <c r="G1866">
        <v>1950</v>
      </c>
      <c r="H1866">
        <v>7932</v>
      </c>
      <c r="I1866" t="s">
        <v>125</v>
      </c>
      <c r="J1866">
        <v>76</v>
      </c>
      <c r="K1866">
        <v>60076</v>
      </c>
      <c r="L1866">
        <v>1659</v>
      </c>
      <c r="M1866">
        <v>9</v>
      </c>
      <c r="N1866">
        <v>2</v>
      </c>
      <c r="O1866">
        <v>0</v>
      </c>
      <c r="P1866" t="s">
        <v>18</v>
      </c>
      <c r="Q1866">
        <v>4</v>
      </c>
      <c r="R1866">
        <v>0</v>
      </c>
      <c r="S1866" t="s">
        <v>22</v>
      </c>
      <c r="T1866">
        <v>2.5</v>
      </c>
      <c r="U1866">
        <v>2</v>
      </c>
    </row>
    <row r="1867" spans="1:21" x14ac:dyDescent="0.25">
      <c r="A1867">
        <v>9308318</v>
      </c>
      <c r="B1867" t="s">
        <v>15</v>
      </c>
      <c r="C1867" s="1">
        <v>42870</v>
      </c>
      <c r="D1867" s="2">
        <f>YEAR(C1867)</f>
        <v>2017</v>
      </c>
      <c r="E1867">
        <v>345000</v>
      </c>
      <c r="F1867" t="s">
        <v>85</v>
      </c>
      <c r="G1867">
        <v>1951</v>
      </c>
      <c r="H1867">
        <v>8133</v>
      </c>
      <c r="I1867" t="s">
        <v>125</v>
      </c>
      <c r="J1867">
        <v>76</v>
      </c>
      <c r="K1867">
        <v>60076</v>
      </c>
      <c r="L1867">
        <v>1700</v>
      </c>
      <c r="M1867">
        <v>10</v>
      </c>
      <c r="N1867">
        <v>2</v>
      </c>
      <c r="O1867">
        <v>0</v>
      </c>
      <c r="P1867" t="s">
        <v>18</v>
      </c>
      <c r="Q1867">
        <v>4</v>
      </c>
      <c r="R1867">
        <v>1</v>
      </c>
      <c r="S1867" t="s">
        <v>19</v>
      </c>
      <c r="T1867">
        <v>0</v>
      </c>
      <c r="U1867">
        <v>2</v>
      </c>
    </row>
    <row r="1868" spans="1:21" x14ac:dyDescent="0.25">
      <c r="A1868">
        <v>9608885</v>
      </c>
      <c r="B1868" t="s">
        <v>15</v>
      </c>
      <c r="C1868" s="1">
        <v>42899</v>
      </c>
      <c r="D1868" s="2">
        <f>YEAR(C1868)</f>
        <v>2017</v>
      </c>
      <c r="E1868">
        <v>225000</v>
      </c>
      <c r="F1868" t="s">
        <v>85</v>
      </c>
      <c r="G1868">
        <v>1952</v>
      </c>
      <c r="H1868">
        <v>334</v>
      </c>
      <c r="I1868" t="s">
        <v>167</v>
      </c>
      <c r="J1868">
        <v>62</v>
      </c>
      <c r="K1868">
        <v>60062</v>
      </c>
      <c r="L1868">
        <v>1409</v>
      </c>
      <c r="M1868">
        <v>7</v>
      </c>
      <c r="N1868">
        <v>1</v>
      </c>
      <c r="O1868">
        <v>0</v>
      </c>
      <c r="P1868" t="s">
        <v>18</v>
      </c>
      <c r="Q1868">
        <v>3</v>
      </c>
      <c r="R1868">
        <v>0</v>
      </c>
      <c r="S1868" t="s">
        <v>19</v>
      </c>
      <c r="T1868">
        <v>0</v>
      </c>
      <c r="U1868">
        <v>2</v>
      </c>
    </row>
    <row r="1869" spans="1:21" x14ac:dyDescent="0.25">
      <c r="A1869">
        <v>9931646</v>
      </c>
      <c r="B1869" t="s">
        <v>15</v>
      </c>
      <c r="C1869" s="1">
        <v>43371</v>
      </c>
      <c r="D1869" s="2">
        <f>YEAR(C1869)</f>
        <v>2018</v>
      </c>
      <c r="E1869">
        <v>302000</v>
      </c>
      <c r="F1869" t="s">
        <v>85</v>
      </c>
      <c r="G1869">
        <v>1954</v>
      </c>
      <c r="H1869">
        <v>9427</v>
      </c>
      <c r="I1869" t="s">
        <v>98</v>
      </c>
      <c r="J1869">
        <v>76</v>
      </c>
      <c r="K1869">
        <v>60076</v>
      </c>
      <c r="L1869">
        <v>1800</v>
      </c>
      <c r="M1869">
        <v>7</v>
      </c>
      <c r="N1869">
        <v>1</v>
      </c>
      <c r="O1869">
        <v>1</v>
      </c>
      <c r="P1869" t="s">
        <v>18</v>
      </c>
      <c r="Q1869">
        <v>3</v>
      </c>
      <c r="R1869">
        <v>0</v>
      </c>
      <c r="S1869" t="s">
        <v>19</v>
      </c>
      <c r="T1869">
        <v>0</v>
      </c>
      <c r="U1869">
        <v>2</v>
      </c>
    </row>
    <row r="1870" spans="1:21" x14ac:dyDescent="0.25">
      <c r="A1870">
        <v>10081861</v>
      </c>
      <c r="B1870" t="s">
        <v>15</v>
      </c>
      <c r="C1870" s="1">
        <v>43462</v>
      </c>
      <c r="D1870" s="2">
        <f>YEAR(C1870)</f>
        <v>2018</v>
      </c>
      <c r="E1870">
        <v>335000</v>
      </c>
      <c r="F1870" t="s">
        <v>85</v>
      </c>
      <c r="G1870">
        <v>1954</v>
      </c>
      <c r="H1870">
        <v>5035</v>
      </c>
      <c r="I1870" t="s">
        <v>186</v>
      </c>
      <c r="J1870">
        <v>76</v>
      </c>
      <c r="K1870">
        <v>60077</v>
      </c>
      <c r="L1870">
        <v>1600</v>
      </c>
      <c r="M1870">
        <v>8</v>
      </c>
      <c r="N1870">
        <v>2</v>
      </c>
      <c r="O1870">
        <v>0</v>
      </c>
      <c r="P1870" t="s">
        <v>18</v>
      </c>
      <c r="Q1870">
        <v>4</v>
      </c>
      <c r="R1870">
        <v>0</v>
      </c>
      <c r="S1870" t="s">
        <v>22</v>
      </c>
      <c r="T1870">
        <v>2</v>
      </c>
      <c r="U1870">
        <v>2</v>
      </c>
    </row>
    <row r="1871" spans="1:21" x14ac:dyDescent="0.25">
      <c r="A1871">
        <v>10121819</v>
      </c>
      <c r="B1871" t="s">
        <v>15</v>
      </c>
      <c r="C1871" s="1">
        <v>43510</v>
      </c>
      <c r="D1871" s="2">
        <f>YEAR(C1871)</f>
        <v>2019</v>
      </c>
      <c r="E1871">
        <v>270000</v>
      </c>
      <c r="F1871" t="s">
        <v>85</v>
      </c>
      <c r="G1871">
        <v>1954</v>
      </c>
      <c r="H1871">
        <v>8640</v>
      </c>
      <c r="I1871" t="s">
        <v>130</v>
      </c>
      <c r="J1871">
        <v>76</v>
      </c>
      <c r="K1871">
        <v>60076</v>
      </c>
      <c r="L1871">
        <v>1119</v>
      </c>
      <c r="M1871">
        <v>7</v>
      </c>
      <c r="N1871">
        <v>1</v>
      </c>
      <c r="O1871">
        <v>0</v>
      </c>
      <c r="P1871" t="s">
        <v>18</v>
      </c>
      <c r="Q1871">
        <v>3</v>
      </c>
      <c r="R1871">
        <v>0</v>
      </c>
      <c r="S1871" t="s">
        <v>19</v>
      </c>
      <c r="T1871">
        <v>0</v>
      </c>
      <c r="U1871">
        <v>2</v>
      </c>
    </row>
    <row r="1872" spans="1:21" x14ac:dyDescent="0.25">
      <c r="A1872">
        <v>10028991</v>
      </c>
      <c r="B1872" t="s">
        <v>15</v>
      </c>
      <c r="C1872" s="1">
        <v>43357</v>
      </c>
      <c r="D1872" s="2">
        <f>YEAR(C1872)</f>
        <v>2018</v>
      </c>
      <c r="E1872">
        <v>610000</v>
      </c>
      <c r="F1872" t="s">
        <v>85</v>
      </c>
      <c r="G1872">
        <v>1955</v>
      </c>
      <c r="H1872">
        <v>9101</v>
      </c>
      <c r="I1872" t="s">
        <v>23</v>
      </c>
      <c r="J1872">
        <v>76</v>
      </c>
      <c r="K1872">
        <v>60076</v>
      </c>
      <c r="L1872">
        <v>4378</v>
      </c>
      <c r="M1872">
        <v>14</v>
      </c>
      <c r="N1872">
        <v>4</v>
      </c>
      <c r="O1872">
        <v>0</v>
      </c>
      <c r="P1872" t="s">
        <v>18</v>
      </c>
      <c r="Q1872">
        <v>7</v>
      </c>
      <c r="R1872">
        <v>0</v>
      </c>
      <c r="S1872" t="s">
        <v>21</v>
      </c>
      <c r="T1872">
        <v>2</v>
      </c>
      <c r="U1872">
        <v>2</v>
      </c>
    </row>
    <row r="1873" spans="1:21" x14ac:dyDescent="0.25">
      <c r="A1873">
        <v>9380449</v>
      </c>
      <c r="B1873" t="s">
        <v>15</v>
      </c>
      <c r="C1873" s="1">
        <v>42837</v>
      </c>
      <c r="D1873" s="2">
        <f>YEAR(C1873)</f>
        <v>2017</v>
      </c>
      <c r="E1873">
        <v>236500</v>
      </c>
      <c r="F1873" t="s">
        <v>85</v>
      </c>
      <c r="G1873">
        <v>1955</v>
      </c>
      <c r="H1873">
        <v>9330</v>
      </c>
      <c r="I1873" t="s">
        <v>97</v>
      </c>
      <c r="J1873">
        <v>76</v>
      </c>
      <c r="K1873">
        <v>60076</v>
      </c>
      <c r="L1873">
        <v>2008</v>
      </c>
      <c r="M1873">
        <v>8</v>
      </c>
      <c r="N1873">
        <v>2</v>
      </c>
      <c r="O1873">
        <v>0</v>
      </c>
      <c r="P1873" t="s">
        <v>18</v>
      </c>
      <c r="Q1873">
        <v>4</v>
      </c>
      <c r="R1873">
        <v>0</v>
      </c>
      <c r="S1873" t="s">
        <v>19</v>
      </c>
      <c r="T1873">
        <v>0</v>
      </c>
      <c r="U1873">
        <v>2</v>
      </c>
    </row>
    <row r="1874" spans="1:21" x14ac:dyDescent="0.25">
      <c r="A1874">
        <v>9501440</v>
      </c>
      <c r="B1874" t="s">
        <v>15</v>
      </c>
      <c r="C1874" s="1">
        <v>42888</v>
      </c>
      <c r="D1874" s="2">
        <f>YEAR(C1874)</f>
        <v>2017</v>
      </c>
      <c r="E1874">
        <v>243500</v>
      </c>
      <c r="F1874" t="s">
        <v>85</v>
      </c>
      <c r="G1874">
        <v>1955</v>
      </c>
      <c r="H1874">
        <v>4751</v>
      </c>
      <c r="I1874" t="s">
        <v>134</v>
      </c>
      <c r="J1874">
        <v>76</v>
      </c>
      <c r="K1874">
        <v>60076</v>
      </c>
      <c r="L1874">
        <v>1140</v>
      </c>
      <c r="M1874">
        <v>7</v>
      </c>
      <c r="N1874">
        <v>2</v>
      </c>
      <c r="O1874">
        <v>0</v>
      </c>
      <c r="P1874" t="s">
        <v>18</v>
      </c>
      <c r="Q1874">
        <v>3</v>
      </c>
      <c r="R1874">
        <v>0</v>
      </c>
      <c r="S1874" t="s">
        <v>19</v>
      </c>
      <c r="T1874">
        <v>0</v>
      </c>
      <c r="U1874">
        <v>2</v>
      </c>
    </row>
    <row r="1875" spans="1:21" x14ac:dyDescent="0.25">
      <c r="A1875">
        <v>9779391</v>
      </c>
      <c r="B1875" t="s">
        <v>15</v>
      </c>
      <c r="C1875" s="1">
        <v>43186</v>
      </c>
      <c r="D1875" s="2">
        <f>YEAR(C1875)</f>
        <v>2018</v>
      </c>
      <c r="E1875">
        <v>304000</v>
      </c>
      <c r="F1875" t="s">
        <v>85</v>
      </c>
      <c r="G1875">
        <v>1955</v>
      </c>
      <c r="H1875">
        <v>1008</v>
      </c>
      <c r="I1875" t="s">
        <v>204</v>
      </c>
      <c r="J1875">
        <v>62</v>
      </c>
      <c r="K1875">
        <v>60062</v>
      </c>
      <c r="L1875">
        <v>1139</v>
      </c>
      <c r="M1875">
        <v>8</v>
      </c>
      <c r="N1875">
        <v>2</v>
      </c>
      <c r="O1875">
        <v>0</v>
      </c>
      <c r="P1875" t="s">
        <v>18</v>
      </c>
      <c r="Q1875">
        <v>4</v>
      </c>
      <c r="R1875">
        <v>0</v>
      </c>
      <c r="S1875" t="s">
        <v>19</v>
      </c>
      <c r="T1875">
        <v>0</v>
      </c>
      <c r="U1875">
        <v>2</v>
      </c>
    </row>
    <row r="1876" spans="1:21" x14ac:dyDescent="0.25">
      <c r="A1876">
        <v>10085921</v>
      </c>
      <c r="B1876" t="s">
        <v>15</v>
      </c>
      <c r="C1876" s="1">
        <v>43447</v>
      </c>
      <c r="D1876" s="2">
        <f>YEAR(C1876)</f>
        <v>2018</v>
      </c>
      <c r="E1876">
        <v>270000</v>
      </c>
      <c r="F1876" t="s">
        <v>85</v>
      </c>
      <c r="G1876">
        <v>1956</v>
      </c>
      <c r="H1876">
        <v>8222</v>
      </c>
      <c r="I1876" t="s">
        <v>137</v>
      </c>
      <c r="J1876">
        <v>76</v>
      </c>
      <c r="K1876">
        <v>60077</v>
      </c>
      <c r="L1876">
        <v>1500</v>
      </c>
      <c r="M1876">
        <v>7</v>
      </c>
      <c r="N1876">
        <v>1</v>
      </c>
      <c r="O1876">
        <v>1</v>
      </c>
      <c r="P1876" t="s">
        <v>18</v>
      </c>
      <c r="Q1876">
        <v>3</v>
      </c>
      <c r="R1876">
        <v>0</v>
      </c>
      <c r="S1876" t="s">
        <v>22</v>
      </c>
      <c r="T1876">
        <v>2.5</v>
      </c>
      <c r="U1876">
        <v>2</v>
      </c>
    </row>
    <row r="1877" spans="1:21" x14ac:dyDescent="0.25">
      <c r="A1877">
        <v>9684574</v>
      </c>
      <c r="B1877" t="s">
        <v>15</v>
      </c>
      <c r="C1877" s="1">
        <v>43039</v>
      </c>
      <c r="D1877" s="2">
        <f>YEAR(C1877)</f>
        <v>2017</v>
      </c>
      <c r="E1877">
        <v>270000</v>
      </c>
      <c r="F1877" t="s">
        <v>85</v>
      </c>
      <c r="G1877">
        <v>1956</v>
      </c>
      <c r="H1877">
        <v>4621</v>
      </c>
      <c r="I1877" t="s">
        <v>147</v>
      </c>
      <c r="J1877">
        <v>76</v>
      </c>
      <c r="K1877">
        <v>60076</v>
      </c>
      <c r="L1877">
        <v>1215</v>
      </c>
      <c r="M1877">
        <v>6</v>
      </c>
      <c r="N1877">
        <v>1</v>
      </c>
      <c r="O1877">
        <v>1</v>
      </c>
      <c r="P1877" t="s">
        <v>18</v>
      </c>
      <c r="Q1877">
        <v>3</v>
      </c>
      <c r="R1877">
        <v>0</v>
      </c>
      <c r="S1877" t="s">
        <v>19</v>
      </c>
      <c r="T1877">
        <v>0</v>
      </c>
      <c r="U1877">
        <v>2</v>
      </c>
    </row>
    <row r="1878" spans="1:21" x14ac:dyDescent="0.25">
      <c r="A1878">
        <v>9396772</v>
      </c>
      <c r="B1878" t="s">
        <v>15</v>
      </c>
      <c r="C1878" s="1">
        <v>42863</v>
      </c>
      <c r="D1878" s="2">
        <f>YEAR(C1878)</f>
        <v>2017</v>
      </c>
      <c r="E1878">
        <v>278500</v>
      </c>
      <c r="F1878" t="s">
        <v>85</v>
      </c>
      <c r="G1878">
        <v>1957</v>
      </c>
      <c r="H1878">
        <v>7606</v>
      </c>
      <c r="I1878" t="s">
        <v>232</v>
      </c>
      <c r="J1878">
        <v>76</v>
      </c>
      <c r="K1878">
        <v>60076</v>
      </c>
      <c r="L1878">
        <v>1271</v>
      </c>
      <c r="M1878">
        <v>8</v>
      </c>
      <c r="N1878">
        <v>1</v>
      </c>
      <c r="O1878">
        <v>1</v>
      </c>
      <c r="P1878" t="s">
        <v>18</v>
      </c>
      <c r="Q1878">
        <v>3</v>
      </c>
      <c r="R1878">
        <v>0</v>
      </c>
      <c r="S1878" t="s">
        <v>21</v>
      </c>
      <c r="T1878">
        <v>2</v>
      </c>
      <c r="U1878">
        <v>2</v>
      </c>
    </row>
    <row r="1879" spans="1:21" x14ac:dyDescent="0.25">
      <c r="A1879">
        <v>9770855</v>
      </c>
      <c r="B1879" t="s">
        <v>15</v>
      </c>
      <c r="C1879" s="1">
        <v>43084</v>
      </c>
      <c r="D1879" s="2">
        <f>YEAR(C1879)</f>
        <v>2017</v>
      </c>
      <c r="E1879">
        <v>245000</v>
      </c>
      <c r="F1879" t="s">
        <v>85</v>
      </c>
      <c r="G1879">
        <v>1958</v>
      </c>
      <c r="H1879">
        <v>5141</v>
      </c>
      <c r="I1879" t="s">
        <v>240</v>
      </c>
      <c r="J1879">
        <v>76</v>
      </c>
      <c r="K1879">
        <v>60077</v>
      </c>
      <c r="L1879">
        <v>1379</v>
      </c>
      <c r="M1879">
        <v>7</v>
      </c>
      <c r="N1879">
        <v>2</v>
      </c>
      <c r="O1879">
        <v>0</v>
      </c>
      <c r="P1879" t="s">
        <v>18</v>
      </c>
      <c r="Q1879">
        <v>3</v>
      </c>
      <c r="R1879">
        <v>0</v>
      </c>
      <c r="S1879" t="s">
        <v>19</v>
      </c>
      <c r="T1879">
        <v>0</v>
      </c>
      <c r="U1879">
        <v>2</v>
      </c>
    </row>
    <row r="1880" spans="1:21" x14ac:dyDescent="0.25">
      <c r="A1880">
        <v>9998359</v>
      </c>
      <c r="B1880" t="s">
        <v>15</v>
      </c>
      <c r="C1880" s="1">
        <v>43389</v>
      </c>
      <c r="D1880" s="2">
        <f>YEAR(C1880)</f>
        <v>2018</v>
      </c>
      <c r="E1880">
        <v>341000</v>
      </c>
      <c r="F1880" t="s">
        <v>85</v>
      </c>
      <c r="G1880">
        <v>1959</v>
      </c>
      <c r="H1880">
        <v>9334</v>
      </c>
      <c r="I1880" t="s">
        <v>89</v>
      </c>
      <c r="J1880">
        <v>76</v>
      </c>
      <c r="K1880">
        <v>60076</v>
      </c>
      <c r="L1880">
        <v>1360</v>
      </c>
      <c r="M1880">
        <v>7</v>
      </c>
      <c r="N1880">
        <v>2</v>
      </c>
      <c r="O1880">
        <v>0</v>
      </c>
      <c r="P1880" t="s">
        <v>18</v>
      </c>
      <c r="Q1880">
        <v>3</v>
      </c>
      <c r="R1880">
        <v>0</v>
      </c>
      <c r="S1880" t="s">
        <v>19</v>
      </c>
      <c r="T1880">
        <v>0</v>
      </c>
      <c r="U1880">
        <v>2</v>
      </c>
    </row>
    <row r="1881" spans="1:21" x14ac:dyDescent="0.25">
      <c r="A1881">
        <v>9724166</v>
      </c>
      <c r="B1881" t="s">
        <v>15</v>
      </c>
      <c r="C1881" s="1">
        <v>43039</v>
      </c>
      <c r="D1881" s="2">
        <f>YEAR(C1881)</f>
        <v>2017</v>
      </c>
      <c r="E1881">
        <v>300000</v>
      </c>
      <c r="F1881" t="s">
        <v>85</v>
      </c>
      <c r="G1881">
        <v>1959</v>
      </c>
      <c r="H1881">
        <v>4440</v>
      </c>
      <c r="I1881" t="s">
        <v>134</v>
      </c>
      <c r="J1881">
        <v>76</v>
      </c>
      <c r="K1881">
        <v>60076</v>
      </c>
      <c r="L1881">
        <v>1288</v>
      </c>
      <c r="M1881">
        <v>7</v>
      </c>
      <c r="N1881">
        <v>2</v>
      </c>
      <c r="O1881">
        <v>0</v>
      </c>
      <c r="P1881" t="s">
        <v>18</v>
      </c>
      <c r="Q1881">
        <v>3</v>
      </c>
      <c r="R1881">
        <v>0</v>
      </c>
      <c r="S1881" t="s">
        <v>19</v>
      </c>
      <c r="T1881">
        <v>0</v>
      </c>
      <c r="U1881">
        <v>2</v>
      </c>
    </row>
    <row r="1882" spans="1:21" x14ac:dyDescent="0.25">
      <c r="A1882">
        <v>9519824</v>
      </c>
      <c r="B1882" t="s">
        <v>15</v>
      </c>
      <c r="C1882" s="1">
        <v>42810</v>
      </c>
      <c r="D1882" s="2">
        <f>YEAR(C1882)</f>
        <v>2017</v>
      </c>
      <c r="E1882">
        <v>220000</v>
      </c>
      <c r="F1882" t="s">
        <v>85</v>
      </c>
      <c r="G1882">
        <v>1959</v>
      </c>
      <c r="H1882">
        <v>10036</v>
      </c>
      <c r="I1882" t="s">
        <v>54</v>
      </c>
      <c r="J1882">
        <v>76</v>
      </c>
      <c r="K1882">
        <v>60077</v>
      </c>
      <c r="L1882">
        <v>1025</v>
      </c>
      <c r="M1882">
        <v>5</v>
      </c>
      <c r="N1882">
        <v>1</v>
      </c>
      <c r="O1882">
        <v>0</v>
      </c>
      <c r="P1882" t="s">
        <v>18</v>
      </c>
      <c r="Q1882">
        <v>2</v>
      </c>
      <c r="R1882">
        <v>0</v>
      </c>
      <c r="S1882" t="s">
        <v>19</v>
      </c>
      <c r="T1882">
        <v>0</v>
      </c>
      <c r="U1882">
        <v>2</v>
      </c>
    </row>
    <row r="1883" spans="1:21" x14ac:dyDescent="0.25">
      <c r="A1883">
        <v>9824357</v>
      </c>
      <c r="B1883" t="s">
        <v>15</v>
      </c>
      <c r="C1883" s="1">
        <v>43342</v>
      </c>
      <c r="D1883" s="2">
        <f>YEAR(C1883)</f>
        <v>2018</v>
      </c>
      <c r="E1883">
        <v>380000</v>
      </c>
      <c r="F1883" t="s">
        <v>85</v>
      </c>
      <c r="G1883">
        <v>1960</v>
      </c>
      <c r="H1883">
        <v>4909</v>
      </c>
      <c r="I1883" t="s">
        <v>253</v>
      </c>
      <c r="J1883">
        <v>76</v>
      </c>
      <c r="K1883">
        <v>60077</v>
      </c>
      <c r="L1883">
        <v>1724</v>
      </c>
      <c r="M1883">
        <v>8</v>
      </c>
      <c r="N1883">
        <v>2</v>
      </c>
      <c r="O1883">
        <v>0</v>
      </c>
      <c r="P1883" t="s">
        <v>18</v>
      </c>
      <c r="Q1883">
        <v>4</v>
      </c>
      <c r="R1883">
        <v>0</v>
      </c>
      <c r="S1883" t="s">
        <v>19</v>
      </c>
      <c r="T1883">
        <v>0</v>
      </c>
      <c r="U1883">
        <v>2</v>
      </c>
    </row>
    <row r="1884" spans="1:21" x14ac:dyDescent="0.25">
      <c r="A1884">
        <v>9682470</v>
      </c>
      <c r="B1884" t="s">
        <v>15</v>
      </c>
      <c r="C1884" s="1">
        <v>42983</v>
      </c>
      <c r="D1884" s="2">
        <f>YEAR(C1884)</f>
        <v>2017</v>
      </c>
      <c r="E1884">
        <v>340000</v>
      </c>
      <c r="F1884" t="s">
        <v>85</v>
      </c>
      <c r="G1884">
        <v>1960</v>
      </c>
      <c r="H1884">
        <v>4909</v>
      </c>
      <c r="I1884" t="s">
        <v>253</v>
      </c>
      <c r="J1884">
        <v>76</v>
      </c>
      <c r="K1884">
        <v>60077</v>
      </c>
      <c r="L1884">
        <v>1325</v>
      </c>
      <c r="M1884">
        <v>8</v>
      </c>
      <c r="N1884">
        <v>2</v>
      </c>
      <c r="O1884">
        <v>0</v>
      </c>
      <c r="P1884" t="s">
        <v>18</v>
      </c>
      <c r="Q1884">
        <v>4</v>
      </c>
      <c r="R1884">
        <v>0</v>
      </c>
      <c r="S1884" t="s">
        <v>19</v>
      </c>
      <c r="T1884">
        <v>0</v>
      </c>
      <c r="U1884">
        <v>2</v>
      </c>
    </row>
    <row r="1885" spans="1:21" x14ac:dyDescent="0.25">
      <c r="A1885">
        <v>9913780</v>
      </c>
      <c r="B1885" t="s">
        <v>15</v>
      </c>
      <c r="C1885" s="1">
        <v>43252</v>
      </c>
      <c r="D1885" s="2">
        <f>YEAR(C1885)</f>
        <v>2018</v>
      </c>
      <c r="E1885">
        <v>637000</v>
      </c>
      <c r="F1885" t="s">
        <v>85</v>
      </c>
      <c r="G1885">
        <v>1962</v>
      </c>
      <c r="H1885">
        <v>2790</v>
      </c>
      <c r="I1885" t="s">
        <v>190</v>
      </c>
      <c r="J1885">
        <v>62</v>
      </c>
      <c r="K1885">
        <v>60062</v>
      </c>
      <c r="L1885">
        <v>2105</v>
      </c>
      <c r="M1885">
        <v>10</v>
      </c>
      <c r="N1885">
        <v>2</v>
      </c>
      <c r="O1885">
        <v>1</v>
      </c>
      <c r="P1885" t="s">
        <v>18</v>
      </c>
      <c r="Q1885">
        <v>4</v>
      </c>
      <c r="R1885">
        <v>0</v>
      </c>
      <c r="S1885" t="s">
        <v>21</v>
      </c>
      <c r="T1885">
        <v>2</v>
      </c>
      <c r="U1885">
        <v>2</v>
      </c>
    </row>
    <row r="1886" spans="1:21" x14ac:dyDescent="0.25">
      <c r="A1886">
        <v>9952151</v>
      </c>
      <c r="B1886" t="s">
        <v>15</v>
      </c>
      <c r="C1886" s="1">
        <v>43311</v>
      </c>
      <c r="D1886" s="2">
        <f>YEAR(C1886)</f>
        <v>2018</v>
      </c>
      <c r="E1886">
        <v>376000</v>
      </c>
      <c r="F1886" t="s">
        <v>85</v>
      </c>
      <c r="G1886">
        <v>1963</v>
      </c>
      <c r="H1886">
        <v>3636</v>
      </c>
      <c r="I1886" t="s">
        <v>67</v>
      </c>
      <c r="J1886">
        <v>76</v>
      </c>
      <c r="K1886">
        <v>60076</v>
      </c>
      <c r="L1886">
        <v>2036</v>
      </c>
      <c r="M1886">
        <v>7</v>
      </c>
      <c r="N1886">
        <v>2</v>
      </c>
      <c r="O1886">
        <v>1</v>
      </c>
      <c r="P1886" t="s">
        <v>18</v>
      </c>
      <c r="Q1886">
        <v>3</v>
      </c>
      <c r="R1886">
        <v>0</v>
      </c>
      <c r="S1886" t="s">
        <v>19</v>
      </c>
      <c r="T1886">
        <v>0</v>
      </c>
      <c r="U1886">
        <v>2</v>
      </c>
    </row>
    <row r="1887" spans="1:21" x14ac:dyDescent="0.25">
      <c r="A1887">
        <v>9477363</v>
      </c>
      <c r="B1887" t="s">
        <v>15</v>
      </c>
      <c r="C1887" s="1">
        <v>43074</v>
      </c>
      <c r="D1887" s="2">
        <f>YEAR(C1887)</f>
        <v>2017</v>
      </c>
      <c r="E1887">
        <v>700000</v>
      </c>
      <c r="F1887" t="s">
        <v>85</v>
      </c>
      <c r="G1887">
        <v>1964</v>
      </c>
      <c r="H1887">
        <v>906</v>
      </c>
      <c r="I1887" t="s">
        <v>235</v>
      </c>
      <c r="J1887">
        <v>62</v>
      </c>
      <c r="K1887">
        <v>60062</v>
      </c>
      <c r="L1887">
        <v>2938</v>
      </c>
      <c r="M1887">
        <v>8</v>
      </c>
      <c r="N1887">
        <v>2</v>
      </c>
      <c r="O1887">
        <v>1</v>
      </c>
      <c r="P1887" t="s">
        <v>18</v>
      </c>
      <c r="Q1887">
        <v>4</v>
      </c>
      <c r="R1887">
        <v>0</v>
      </c>
      <c r="S1887" t="s">
        <v>21</v>
      </c>
      <c r="T1887">
        <v>2</v>
      </c>
      <c r="U1887">
        <v>2</v>
      </c>
    </row>
    <row r="1888" spans="1:21" x14ac:dyDescent="0.25">
      <c r="A1888">
        <v>9635568</v>
      </c>
      <c r="B1888" t="s">
        <v>15</v>
      </c>
      <c r="C1888" s="1">
        <v>42914</v>
      </c>
      <c r="D1888" s="2">
        <f>YEAR(C1888)</f>
        <v>2017</v>
      </c>
      <c r="E1888">
        <v>439900</v>
      </c>
      <c r="F1888" t="s">
        <v>85</v>
      </c>
      <c r="G1888">
        <v>1966</v>
      </c>
      <c r="H1888">
        <v>8323</v>
      </c>
      <c r="I1888" t="s">
        <v>112</v>
      </c>
      <c r="J1888">
        <v>76</v>
      </c>
      <c r="K1888">
        <v>60076</v>
      </c>
      <c r="L1888">
        <v>1958</v>
      </c>
      <c r="M1888">
        <v>9</v>
      </c>
      <c r="N1888">
        <v>3</v>
      </c>
      <c r="O1888">
        <v>0</v>
      </c>
      <c r="P1888" t="s">
        <v>18</v>
      </c>
      <c r="Q1888">
        <v>4</v>
      </c>
      <c r="R1888">
        <v>0</v>
      </c>
      <c r="S1888" t="s">
        <v>19</v>
      </c>
      <c r="T1888">
        <v>0</v>
      </c>
      <c r="U1888">
        <v>2</v>
      </c>
    </row>
    <row r="1889" spans="1:21" x14ac:dyDescent="0.25">
      <c r="A1889">
        <v>9573510</v>
      </c>
      <c r="B1889" t="s">
        <v>15</v>
      </c>
      <c r="C1889" s="1">
        <v>42846</v>
      </c>
      <c r="D1889" s="2">
        <f>YEAR(C1889)</f>
        <v>2017</v>
      </c>
      <c r="E1889">
        <v>310000</v>
      </c>
      <c r="F1889" t="s">
        <v>85</v>
      </c>
      <c r="G1889">
        <v>1970</v>
      </c>
      <c r="H1889">
        <v>1829</v>
      </c>
      <c r="I1889" t="s">
        <v>235</v>
      </c>
      <c r="J1889">
        <v>62</v>
      </c>
      <c r="K1889">
        <v>60062</v>
      </c>
      <c r="L1889">
        <v>1978</v>
      </c>
      <c r="M1889">
        <v>8</v>
      </c>
      <c r="N1889">
        <v>2</v>
      </c>
      <c r="O1889">
        <v>1</v>
      </c>
      <c r="P1889" t="s">
        <v>18</v>
      </c>
      <c r="Q1889">
        <v>4</v>
      </c>
      <c r="R1889">
        <v>0</v>
      </c>
      <c r="S1889" t="s">
        <v>21</v>
      </c>
      <c r="T1889">
        <v>2</v>
      </c>
      <c r="U1889">
        <v>2</v>
      </c>
    </row>
    <row r="1890" spans="1:21" x14ac:dyDescent="0.25">
      <c r="A1890">
        <v>9481464</v>
      </c>
      <c r="B1890" t="s">
        <v>15</v>
      </c>
      <c r="C1890" s="1">
        <v>42846</v>
      </c>
      <c r="D1890" s="2">
        <f>YEAR(C1890)</f>
        <v>2017</v>
      </c>
      <c r="E1890">
        <v>326000</v>
      </c>
      <c r="F1890" t="s">
        <v>85</v>
      </c>
      <c r="G1890">
        <v>1977</v>
      </c>
      <c r="H1890">
        <v>2605</v>
      </c>
      <c r="I1890" t="s">
        <v>376</v>
      </c>
      <c r="J1890">
        <v>62</v>
      </c>
      <c r="K1890">
        <v>60062</v>
      </c>
      <c r="L1890">
        <v>1987</v>
      </c>
      <c r="M1890">
        <v>8</v>
      </c>
      <c r="N1890">
        <v>2</v>
      </c>
      <c r="O1890">
        <v>1</v>
      </c>
      <c r="P1890" t="s">
        <v>18</v>
      </c>
      <c r="Q1890">
        <v>4</v>
      </c>
      <c r="R1890">
        <v>0</v>
      </c>
      <c r="S1890" t="s">
        <v>21</v>
      </c>
      <c r="T1890">
        <v>2</v>
      </c>
      <c r="U1890">
        <v>2</v>
      </c>
    </row>
    <row r="1891" spans="1:21" x14ac:dyDescent="0.25">
      <c r="A1891">
        <v>9921469</v>
      </c>
      <c r="B1891" t="s">
        <v>15</v>
      </c>
      <c r="C1891" s="1">
        <v>43321</v>
      </c>
      <c r="D1891" s="2">
        <f>YEAR(C1891)</f>
        <v>2018</v>
      </c>
      <c r="E1891">
        <v>590000</v>
      </c>
      <c r="F1891" t="s">
        <v>85</v>
      </c>
      <c r="G1891">
        <v>1983</v>
      </c>
      <c r="H1891">
        <v>4120</v>
      </c>
      <c r="I1891" t="s">
        <v>409</v>
      </c>
      <c r="J1891">
        <v>62</v>
      </c>
      <c r="K1891">
        <v>60062</v>
      </c>
      <c r="L1891">
        <v>2530</v>
      </c>
      <c r="M1891">
        <v>8</v>
      </c>
      <c r="N1891">
        <v>2</v>
      </c>
      <c r="O1891">
        <v>1</v>
      </c>
      <c r="P1891" t="s">
        <v>18</v>
      </c>
      <c r="Q1891">
        <v>4</v>
      </c>
      <c r="R1891">
        <v>0</v>
      </c>
      <c r="S1891" t="s">
        <v>21</v>
      </c>
      <c r="T1891">
        <v>2</v>
      </c>
      <c r="U1891">
        <v>2</v>
      </c>
    </row>
    <row r="1892" spans="1:21" x14ac:dyDescent="0.25">
      <c r="A1892">
        <v>9314222</v>
      </c>
      <c r="B1892" t="s">
        <v>15</v>
      </c>
      <c r="C1892" s="1">
        <v>43507</v>
      </c>
      <c r="D1892" s="2">
        <f>YEAR(C1892)</f>
        <v>2019</v>
      </c>
      <c r="E1892">
        <v>1000000</v>
      </c>
      <c r="F1892" t="s">
        <v>85</v>
      </c>
      <c r="G1892">
        <v>1985</v>
      </c>
      <c r="H1892">
        <v>3625</v>
      </c>
      <c r="I1892" t="s">
        <v>413</v>
      </c>
      <c r="J1892">
        <v>62</v>
      </c>
      <c r="K1892">
        <v>60062</v>
      </c>
      <c r="L1892">
        <v>5400</v>
      </c>
      <c r="M1892">
        <v>12</v>
      </c>
      <c r="N1892">
        <v>4</v>
      </c>
      <c r="O1892">
        <v>1</v>
      </c>
      <c r="P1892" t="s">
        <v>18</v>
      </c>
      <c r="Q1892">
        <v>5</v>
      </c>
      <c r="R1892">
        <v>0</v>
      </c>
      <c r="S1892" t="s">
        <v>21</v>
      </c>
      <c r="T1892">
        <v>3</v>
      </c>
      <c r="U1892">
        <v>2</v>
      </c>
    </row>
    <row r="1893" spans="1:21" x14ac:dyDescent="0.25">
      <c r="A1893">
        <v>9560295</v>
      </c>
      <c r="B1893" t="s">
        <v>15</v>
      </c>
      <c r="C1893" s="1">
        <v>42934</v>
      </c>
      <c r="D1893" s="2">
        <f>YEAR(C1893)</f>
        <v>2017</v>
      </c>
      <c r="E1893">
        <v>565000</v>
      </c>
      <c r="F1893" t="s">
        <v>85</v>
      </c>
      <c r="G1893">
        <v>1990</v>
      </c>
      <c r="H1893">
        <v>717</v>
      </c>
      <c r="I1893" t="s">
        <v>417</v>
      </c>
      <c r="J1893">
        <v>62</v>
      </c>
      <c r="K1893">
        <v>60062</v>
      </c>
      <c r="L1893">
        <v>2400</v>
      </c>
      <c r="M1893">
        <v>8</v>
      </c>
      <c r="N1893">
        <v>2</v>
      </c>
      <c r="O1893">
        <v>1</v>
      </c>
      <c r="P1893" t="s">
        <v>18</v>
      </c>
      <c r="Q1893">
        <v>3</v>
      </c>
      <c r="R1893">
        <v>0</v>
      </c>
      <c r="S1893" t="s">
        <v>21</v>
      </c>
      <c r="T1893">
        <v>2</v>
      </c>
      <c r="U1893">
        <v>2</v>
      </c>
    </row>
    <row r="1894" spans="1:21" x14ac:dyDescent="0.25">
      <c r="A1894">
        <v>9749578</v>
      </c>
      <c r="B1894" t="s">
        <v>15</v>
      </c>
      <c r="C1894" s="1">
        <v>43244</v>
      </c>
      <c r="D1894" s="2">
        <f>YEAR(C1894)</f>
        <v>2018</v>
      </c>
      <c r="E1894">
        <v>750000</v>
      </c>
      <c r="F1894" t="s">
        <v>85</v>
      </c>
      <c r="G1894">
        <v>1995</v>
      </c>
      <c r="H1894">
        <v>2584</v>
      </c>
      <c r="I1894" t="s">
        <v>420</v>
      </c>
      <c r="J1894">
        <v>62</v>
      </c>
      <c r="K1894">
        <v>60062</v>
      </c>
      <c r="L1894">
        <v>3727</v>
      </c>
      <c r="M1894">
        <v>8</v>
      </c>
      <c r="N1894">
        <v>2</v>
      </c>
      <c r="O1894">
        <v>1</v>
      </c>
      <c r="P1894" t="s">
        <v>18</v>
      </c>
      <c r="Q1894">
        <v>3</v>
      </c>
      <c r="R1894">
        <v>0</v>
      </c>
      <c r="S1894" t="s">
        <v>21</v>
      </c>
      <c r="T1894">
        <v>2</v>
      </c>
      <c r="U1894">
        <v>2</v>
      </c>
    </row>
    <row r="1895" spans="1:21" x14ac:dyDescent="0.25">
      <c r="A1895">
        <v>9573564</v>
      </c>
      <c r="B1895" t="s">
        <v>15</v>
      </c>
      <c r="C1895" s="1">
        <v>42915</v>
      </c>
      <c r="D1895" s="2">
        <f>YEAR(C1895)</f>
        <v>2017</v>
      </c>
      <c r="E1895">
        <v>722500</v>
      </c>
      <c r="F1895" t="s">
        <v>85</v>
      </c>
      <c r="G1895">
        <v>1995</v>
      </c>
      <c r="H1895">
        <v>2573</v>
      </c>
      <c r="I1895" t="s">
        <v>421</v>
      </c>
      <c r="J1895">
        <v>62</v>
      </c>
      <c r="K1895">
        <v>60062</v>
      </c>
      <c r="L1895">
        <v>3511</v>
      </c>
      <c r="M1895">
        <v>7</v>
      </c>
      <c r="N1895">
        <v>3</v>
      </c>
      <c r="O1895">
        <v>0</v>
      </c>
      <c r="P1895" t="s">
        <v>18</v>
      </c>
      <c r="Q1895">
        <v>3</v>
      </c>
      <c r="R1895">
        <v>0</v>
      </c>
      <c r="S1895" t="s">
        <v>21</v>
      </c>
      <c r="T1895">
        <v>2</v>
      </c>
      <c r="U1895">
        <v>2</v>
      </c>
    </row>
    <row r="1896" spans="1:21" x14ac:dyDescent="0.25">
      <c r="A1896">
        <v>9778200</v>
      </c>
      <c r="B1896" t="s">
        <v>15</v>
      </c>
      <c r="C1896" s="1">
        <v>43151</v>
      </c>
      <c r="D1896" s="2">
        <f>YEAR(C1896)</f>
        <v>2018</v>
      </c>
      <c r="E1896">
        <v>860000</v>
      </c>
      <c r="F1896" t="s">
        <v>85</v>
      </c>
      <c r="G1896">
        <v>2017</v>
      </c>
      <c r="H1896">
        <v>5142</v>
      </c>
      <c r="I1896" t="s">
        <v>111</v>
      </c>
      <c r="J1896">
        <v>76</v>
      </c>
      <c r="K1896">
        <v>60077</v>
      </c>
      <c r="L1896">
        <v>3800</v>
      </c>
      <c r="M1896">
        <v>8</v>
      </c>
      <c r="N1896">
        <v>4</v>
      </c>
      <c r="O1896">
        <v>1</v>
      </c>
      <c r="P1896" t="s">
        <v>18</v>
      </c>
      <c r="Q1896">
        <v>4</v>
      </c>
      <c r="R1896">
        <v>0</v>
      </c>
      <c r="S1896" t="s">
        <v>21</v>
      </c>
      <c r="T1896">
        <v>2</v>
      </c>
      <c r="U1896">
        <v>2</v>
      </c>
    </row>
    <row r="1897" spans="1:21" x14ac:dyDescent="0.25">
      <c r="A1897">
        <v>9634233</v>
      </c>
      <c r="B1897" t="s">
        <v>15</v>
      </c>
      <c r="C1897" s="1">
        <v>42962</v>
      </c>
      <c r="D1897" s="2">
        <f>YEAR(C1897)</f>
        <v>2017</v>
      </c>
      <c r="E1897">
        <v>343100</v>
      </c>
      <c r="F1897" t="s">
        <v>85</v>
      </c>
      <c r="G1897">
        <v>1927</v>
      </c>
      <c r="H1897">
        <v>7927</v>
      </c>
      <c r="I1897" t="s">
        <v>23</v>
      </c>
      <c r="J1897">
        <v>76</v>
      </c>
      <c r="K1897">
        <v>60076</v>
      </c>
      <c r="L1897">
        <v>1431</v>
      </c>
      <c r="M1897">
        <v>8</v>
      </c>
      <c r="N1897">
        <v>2</v>
      </c>
      <c r="O1897">
        <v>0</v>
      </c>
      <c r="P1897" t="s">
        <v>79</v>
      </c>
      <c r="Q1897">
        <v>2</v>
      </c>
      <c r="R1897">
        <v>1</v>
      </c>
      <c r="S1897" t="s">
        <v>19</v>
      </c>
      <c r="T1897">
        <v>0</v>
      </c>
      <c r="U1897">
        <v>2</v>
      </c>
    </row>
    <row r="1898" spans="1:21" x14ac:dyDescent="0.25">
      <c r="A1898">
        <v>9699093</v>
      </c>
      <c r="B1898" t="s">
        <v>15</v>
      </c>
      <c r="C1898" s="1">
        <v>42991</v>
      </c>
      <c r="D1898" s="2">
        <f>YEAR(C1898)</f>
        <v>2017</v>
      </c>
      <c r="E1898">
        <v>420000</v>
      </c>
      <c r="F1898" t="s">
        <v>85</v>
      </c>
      <c r="G1898">
        <v>1937</v>
      </c>
      <c r="H1898">
        <v>7412</v>
      </c>
      <c r="I1898" t="s">
        <v>118</v>
      </c>
      <c r="J1898">
        <v>76</v>
      </c>
      <c r="K1898">
        <v>60076</v>
      </c>
      <c r="L1898">
        <v>2540</v>
      </c>
      <c r="M1898">
        <v>10</v>
      </c>
      <c r="N1898">
        <v>4</v>
      </c>
      <c r="O1898">
        <v>0</v>
      </c>
      <c r="P1898" t="s">
        <v>79</v>
      </c>
      <c r="Q1898">
        <v>4</v>
      </c>
      <c r="R1898">
        <v>0</v>
      </c>
      <c r="S1898" t="s">
        <v>22</v>
      </c>
      <c r="T1898">
        <v>2</v>
      </c>
      <c r="U1898">
        <v>2</v>
      </c>
    </row>
    <row r="1899" spans="1:21" x14ac:dyDescent="0.25">
      <c r="A1899">
        <v>9970525</v>
      </c>
      <c r="B1899" t="s">
        <v>15</v>
      </c>
      <c r="C1899" s="1">
        <v>43284</v>
      </c>
      <c r="D1899" s="2">
        <f>YEAR(C1899)</f>
        <v>2018</v>
      </c>
      <c r="E1899">
        <v>299900</v>
      </c>
      <c r="F1899" t="s">
        <v>85</v>
      </c>
      <c r="G1899">
        <v>1940</v>
      </c>
      <c r="H1899">
        <v>7718</v>
      </c>
      <c r="I1899" t="s">
        <v>97</v>
      </c>
      <c r="J1899">
        <v>76</v>
      </c>
      <c r="K1899">
        <v>60076</v>
      </c>
      <c r="L1899">
        <v>1803</v>
      </c>
      <c r="M1899">
        <v>6</v>
      </c>
      <c r="N1899">
        <v>2</v>
      </c>
      <c r="O1899">
        <v>0</v>
      </c>
      <c r="P1899" t="s">
        <v>79</v>
      </c>
      <c r="Q1899">
        <v>2</v>
      </c>
      <c r="R1899">
        <v>0</v>
      </c>
      <c r="S1899" t="s">
        <v>19</v>
      </c>
      <c r="T1899">
        <v>0</v>
      </c>
      <c r="U1899">
        <v>2</v>
      </c>
    </row>
    <row r="1900" spans="1:21" x14ac:dyDescent="0.25">
      <c r="A1900">
        <v>9579490</v>
      </c>
      <c r="B1900" t="s">
        <v>15</v>
      </c>
      <c r="C1900" s="1">
        <v>42886</v>
      </c>
      <c r="D1900" s="2">
        <f>YEAR(C1900)</f>
        <v>2017</v>
      </c>
      <c r="E1900">
        <v>415000</v>
      </c>
      <c r="F1900" t="s">
        <v>85</v>
      </c>
      <c r="G1900">
        <v>1941</v>
      </c>
      <c r="H1900">
        <v>8141</v>
      </c>
      <c r="I1900" t="s">
        <v>104</v>
      </c>
      <c r="J1900">
        <v>76</v>
      </c>
      <c r="K1900">
        <v>60077</v>
      </c>
      <c r="L1900">
        <v>1700</v>
      </c>
      <c r="M1900">
        <v>9</v>
      </c>
      <c r="N1900">
        <v>2</v>
      </c>
      <c r="O1900">
        <v>1</v>
      </c>
      <c r="P1900" t="s">
        <v>79</v>
      </c>
      <c r="Q1900">
        <v>3</v>
      </c>
      <c r="R1900">
        <v>0</v>
      </c>
      <c r="S1900" t="s">
        <v>22</v>
      </c>
      <c r="T1900">
        <v>2</v>
      </c>
      <c r="U1900">
        <v>2</v>
      </c>
    </row>
    <row r="1901" spans="1:21" x14ac:dyDescent="0.25">
      <c r="A1901">
        <v>9590788</v>
      </c>
      <c r="B1901" t="s">
        <v>15</v>
      </c>
      <c r="C1901" s="1">
        <v>42888</v>
      </c>
      <c r="D1901" s="2">
        <f>YEAR(C1901)</f>
        <v>2017</v>
      </c>
      <c r="E1901">
        <v>310000</v>
      </c>
      <c r="F1901" t="s">
        <v>85</v>
      </c>
      <c r="G1901">
        <v>1950</v>
      </c>
      <c r="H1901">
        <v>2049</v>
      </c>
      <c r="I1901" t="s">
        <v>157</v>
      </c>
      <c r="J1901">
        <v>62</v>
      </c>
      <c r="K1901">
        <v>60062</v>
      </c>
      <c r="L1901">
        <v>994</v>
      </c>
      <c r="M1901">
        <v>5</v>
      </c>
      <c r="N1901">
        <v>1</v>
      </c>
      <c r="O1901">
        <v>0</v>
      </c>
      <c r="P1901" t="s">
        <v>79</v>
      </c>
      <c r="Q1901">
        <v>2</v>
      </c>
      <c r="R1901">
        <v>0</v>
      </c>
      <c r="S1901" t="s">
        <v>21</v>
      </c>
      <c r="T1901">
        <v>2</v>
      </c>
      <c r="U1901">
        <v>2</v>
      </c>
    </row>
    <row r="1902" spans="1:21" x14ac:dyDescent="0.25">
      <c r="A1902">
        <v>10083624</v>
      </c>
      <c r="B1902" t="s">
        <v>15</v>
      </c>
      <c r="C1902" s="1">
        <v>43454</v>
      </c>
      <c r="D1902" s="2">
        <f>YEAR(C1902)</f>
        <v>2018</v>
      </c>
      <c r="E1902">
        <v>299000</v>
      </c>
      <c r="F1902" t="s">
        <v>85</v>
      </c>
      <c r="G1902">
        <v>1952</v>
      </c>
      <c r="H1902">
        <v>334</v>
      </c>
      <c r="I1902" t="s">
        <v>167</v>
      </c>
      <c r="J1902">
        <v>62</v>
      </c>
      <c r="K1902">
        <v>60062</v>
      </c>
      <c r="L1902">
        <v>1409</v>
      </c>
      <c r="M1902">
        <v>8</v>
      </c>
      <c r="N1902">
        <v>2</v>
      </c>
      <c r="O1902">
        <v>0</v>
      </c>
      <c r="P1902" t="s">
        <v>79</v>
      </c>
      <c r="Q1902">
        <v>3</v>
      </c>
      <c r="R1902">
        <v>0</v>
      </c>
      <c r="S1902" t="s">
        <v>19</v>
      </c>
      <c r="T1902">
        <v>0</v>
      </c>
      <c r="U1902">
        <v>2</v>
      </c>
    </row>
    <row r="1903" spans="1:21" x14ac:dyDescent="0.25">
      <c r="A1903">
        <v>9650926</v>
      </c>
      <c r="B1903" t="s">
        <v>15</v>
      </c>
      <c r="C1903" s="1">
        <v>42993</v>
      </c>
      <c r="D1903" s="2">
        <f>YEAR(C1903)</f>
        <v>2017</v>
      </c>
      <c r="E1903">
        <v>327500</v>
      </c>
      <c r="F1903" t="s">
        <v>85</v>
      </c>
      <c r="G1903">
        <v>1954</v>
      </c>
      <c r="H1903">
        <v>5446</v>
      </c>
      <c r="I1903" t="s">
        <v>267</v>
      </c>
      <c r="J1903">
        <v>76</v>
      </c>
      <c r="K1903">
        <v>60077</v>
      </c>
      <c r="L1903">
        <v>1174</v>
      </c>
      <c r="M1903">
        <v>7</v>
      </c>
      <c r="N1903">
        <v>2</v>
      </c>
      <c r="O1903">
        <v>0</v>
      </c>
      <c r="P1903" t="s">
        <v>79</v>
      </c>
      <c r="Q1903">
        <v>3</v>
      </c>
      <c r="R1903">
        <v>1</v>
      </c>
      <c r="S1903" t="s">
        <v>22</v>
      </c>
      <c r="T1903">
        <v>2</v>
      </c>
      <c r="U1903">
        <v>2</v>
      </c>
    </row>
    <row r="1904" spans="1:21" x14ac:dyDescent="0.25">
      <c r="A1904">
        <v>10008875</v>
      </c>
      <c r="B1904" t="s">
        <v>15</v>
      </c>
      <c r="C1904" s="1">
        <v>43339</v>
      </c>
      <c r="D1904" s="2">
        <f>YEAR(C1904)</f>
        <v>2018</v>
      </c>
      <c r="E1904">
        <v>327000</v>
      </c>
      <c r="F1904" t="s">
        <v>85</v>
      </c>
      <c r="G1904">
        <v>1955</v>
      </c>
      <c r="H1904">
        <v>9707</v>
      </c>
      <c r="I1904" t="s">
        <v>98</v>
      </c>
      <c r="J1904">
        <v>76</v>
      </c>
      <c r="K1904">
        <v>60076</v>
      </c>
      <c r="L1904">
        <v>2048</v>
      </c>
      <c r="M1904">
        <v>7</v>
      </c>
      <c r="N1904">
        <v>2</v>
      </c>
      <c r="O1904">
        <v>0</v>
      </c>
      <c r="P1904" t="s">
        <v>79</v>
      </c>
      <c r="Q1904">
        <v>3</v>
      </c>
      <c r="R1904">
        <v>0</v>
      </c>
      <c r="S1904" t="s">
        <v>19</v>
      </c>
      <c r="T1904">
        <v>0</v>
      </c>
      <c r="U1904">
        <v>2</v>
      </c>
    </row>
    <row r="1905" spans="1:21" x14ac:dyDescent="0.25">
      <c r="A1905">
        <v>9672474</v>
      </c>
      <c r="B1905" t="s">
        <v>15</v>
      </c>
      <c r="C1905" s="1">
        <v>42999</v>
      </c>
      <c r="D1905" s="2">
        <f>YEAR(C1905)</f>
        <v>2017</v>
      </c>
      <c r="E1905">
        <v>315000</v>
      </c>
      <c r="F1905" t="s">
        <v>85</v>
      </c>
      <c r="G1905">
        <v>1955</v>
      </c>
      <c r="H1905">
        <v>1008</v>
      </c>
      <c r="I1905" t="s">
        <v>208</v>
      </c>
      <c r="J1905">
        <v>62</v>
      </c>
      <c r="K1905">
        <v>60062</v>
      </c>
      <c r="L1905">
        <v>1068</v>
      </c>
      <c r="M1905">
        <v>7</v>
      </c>
      <c r="N1905">
        <v>1</v>
      </c>
      <c r="O1905">
        <v>1</v>
      </c>
      <c r="P1905" t="s">
        <v>79</v>
      </c>
      <c r="Q1905">
        <v>3</v>
      </c>
      <c r="R1905">
        <v>0</v>
      </c>
      <c r="S1905" t="s">
        <v>19</v>
      </c>
      <c r="T1905">
        <v>0</v>
      </c>
      <c r="U1905">
        <v>2</v>
      </c>
    </row>
    <row r="1906" spans="1:21" x14ac:dyDescent="0.25">
      <c r="A1906">
        <v>9701189</v>
      </c>
      <c r="B1906" t="s">
        <v>15</v>
      </c>
      <c r="C1906" s="1">
        <v>42991</v>
      </c>
      <c r="D1906" s="2">
        <f>YEAR(C1906)</f>
        <v>2017</v>
      </c>
      <c r="E1906">
        <v>277500</v>
      </c>
      <c r="F1906" t="s">
        <v>85</v>
      </c>
      <c r="G1906">
        <v>1955</v>
      </c>
      <c r="H1906">
        <v>3860</v>
      </c>
      <c r="I1906" t="s">
        <v>203</v>
      </c>
      <c r="J1906">
        <v>76</v>
      </c>
      <c r="K1906">
        <v>60076</v>
      </c>
      <c r="L1906">
        <v>1040</v>
      </c>
      <c r="M1906">
        <v>7</v>
      </c>
      <c r="N1906">
        <v>2</v>
      </c>
      <c r="O1906">
        <v>0</v>
      </c>
      <c r="P1906" t="s">
        <v>79</v>
      </c>
      <c r="Q1906">
        <v>3</v>
      </c>
      <c r="R1906">
        <v>0</v>
      </c>
      <c r="S1906" t="s">
        <v>19</v>
      </c>
      <c r="T1906">
        <v>0</v>
      </c>
      <c r="U1906">
        <v>2</v>
      </c>
    </row>
    <row r="1907" spans="1:21" x14ac:dyDescent="0.25">
      <c r="A1907">
        <v>9930534</v>
      </c>
      <c r="B1907" t="s">
        <v>15</v>
      </c>
      <c r="C1907" s="1">
        <v>43265</v>
      </c>
      <c r="D1907" s="2">
        <f>YEAR(C1907)</f>
        <v>2018</v>
      </c>
      <c r="E1907">
        <v>251000</v>
      </c>
      <c r="F1907" t="s">
        <v>85</v>
      </c>
      <c r="G1907">
        <v>1955</v>
      </c>
      <c r="H1907">
        <v>3822</v>
      </c>
      <c r="I1907" t="s">
        <v>219</v>
      </c>
      <c r="J1907">
        <v>76</v>
      </c>
      <c r="K1907">
        <v>60076</v>
      </c>
      <c r="L1907">
        <v>937</v>
      </c>
      <c r="M1907">
        <v>6</v>
      </c>
      <c r="N1907">
        <v>1</v>
      </c>
      <c r="O1907">
        <v>1</v>
      </c>
      <c r="P1907" t="s">
        <v>79</v>
      </c>
      <c r="Q1907">
        <v>2</v>
      </c>
      <c r="R1907">
        <v>0</v>
      </c>
      <c r="S1907" t="s">
        <v>19</v>
      </c>
      <c r="T1907">
        <v>0</v>
      </c>
      <c r="U1907">
        <v>2</v>
      </c>
    </row>
    <row r="1908" spans="1:21" x14ac:dyDescent="0.25">
      <c r="A1908">
        <v>9757968</v>
      </c>
      <c r="B1908" t="s">
        <v>15</v>
      </c>
      <c r="C1908" s="1">
        <v>43082</v>
      </c>
      <c r="D1908" s="2">
        <f>YEAR(C1908)</f>
        <v>2017</v>
      </c>
      <c r="E1908">
        <v>344000</v>
      </c>
      <c r="F1908" t="s">
        <v>85</v>
      </c>
      <c r="G1908">
        <v>1956</v>
      </c>
      <c r="H1908">
        <v>8921</v>
      </c>
      <c r="I1908" t="s">
        <v>470</v>
      </c>
      <c r="J1908">
        <v>76</v>
      </c>
      <c r="K1908">
        <v>60076</v>
      </c>
      <c r="L1908">
        <v>1684</v>
      </c>
      <c r="M1908">
        <v>8</v>
      </c>
      <c r="N1908">
        <v>2</v>
      </c>
      <c r="O1908">
        <v>1</v>
      </c>
      <c r="P1908" t="s">
        <v>79</v>
      </c>
      <c r="Q1908">
        <v>3</v>
      </c>
      <c r="R1908">
        <v>0</v>
      </c>
      <c r="S1908" t="s">
        <v>19</v>
      </c>
      <c r="T1908">
        <v>0</v>
      </c>
      <c r="U1908">
        <v>2</v>
      </c>
    </row>
    <row r="1909" spans="1:21" x14ac:dyDescent="0.25">
      <c r="A1909">
        <v>9641356</v>
      </c>
      <c r="B1909" t="s">
        <v>15</v>
      </c>
      <c r="C1909" s="1">
        <v>43280</v>
      </c>
      <c r="D1909" s="2">
        <f>YEAR(C1909)</f>
        <v>2018</v>
      </c>
      <c r="E1909">
        <v>338000</v>
      </c>
      <c r="F1909" t="s">
        <v>85</v>
      </c>
      <c r="G1909">
        <v>1956</v>
      </c>
      <c r="H1909">
        <v>7422</v>
      </c>
      <c r="I1909" t="s">
        <v>102</v>
      </c>
      <c r="J1909">
        <v>76</v>
      </c>
      <c r="K1909">
        <v>60076</v>
      </c>
      <c r="L1909">
        <v>1500</v>
      </c>
      <c r="M1909">
        <v>9</v>
      </c>
      <c r="N1909">
        <v>3</v>
      </c>
      <c r="O1909">
        <v>0</v>
      </c>
      <c r="P1909" t="s">
        <v>79</v>
      </c>
      <c r="Q1909">
        <v>4</v>
      </c>
      <c r="R1909">
        <v>1</v>
      </c>
      <c r="S1909" t="s">
        <v>19</v>
      </c>
      <c r="T1909">
        <v>0</v>
      </c>
      <c r="U1909">
        <v>2</v>
      </c>
    </row>
    <row r="1910" spans="1:21" x14ac:dyDescent="0.25">
      <c r="A1910">
        <v>10098795</v>
      </c>
      <c r="B1910" t="s">
        <v>15</v>
      </c>
      <c r="C1910" s="1">
        <v>43412</v>
      </c>
      <c r="D1910" s="2">
        <f>YEAR(C1910)</f>
        <v>2018</v>
      </c>
      <c r="E1910">
        <v>299900</v>
      </c>
      <c r="F1910" t="s">
        <v>85</v>
      </c>
      <c r="G1910">
        <v>1956</v>
      </c>
      <c r="H1910">
        <v>9715</v>
      </c>
      <c r="I1910" t="s">
        <v>98</v>
      </c>
      <c r="J1910">
        <v>76</v>
      </c>
      <c r="K1910">
        <v>60076</v>
      </c>
      <c r="L1910">
        <v>1400</v>
      </c>
      <c r="M1910">
        <v>10</v>
      </c>
      <c r="N1910">
        <v>3</v>
      </c>
      <c r="O1910">
        <v>0</v>
      </c>
      <c r="P1910" t="s">
        <v>79</v>
      </c>
      <c r="Q1910">
        <v>3</v>
      </c>
      <c r="R1910">
        <v>0</v>
      </c>
      <c r="S1910" t="s">
        <v>19</v>
      </c>
      <c r="T1910">
        <v>0</v>
      </c>
      <c r="U1910">
        <v>2</v>
      </c>
    </row>
    <row r="1911" spans="1:21" x14ac:dyDescent="0.25">
      <c r="A1911">
        <v>9760033</v>
      </c>
      <c r="B1911" t="s">
        <v>15</v>
      </c>
      <c r="C1911" s="1">
        <v>43117</v>
      </c>
      <c r="D1911" s="2">
        <f>YEAR(C1911)</f>
        <v>2018</v>
      </c>
      <c r="E1911">
        <v>375000</v>
      </c>
      <c r="F1911" t="s">
        <v>85</v>
      </c>
      <c r="G1911">
        <v>1956</v>
      </c>
      <c r="H1911">
        <v>9415</v>
      </c>
      <c r="I1911" t="s">
        <v>47</v>
      </c>
      <c r="J1911">
        <v>76</v>
      </c>
      <c r="K1911">
        <v>60077</v>
      </c>
      <c r="L1911">
        <v>1334</v>
      </c>
      <c r="M1911">
        <v>8</v>
      </c>
      <c r="N1911">
        <v>2</v>
      </c>
      <c r="O1911">
        <v>2</v>
      </c>
      <c r="P1911" t="s">
        <v>79</v>
      </c>
      <c r="Q1911">
        <v>4</v>
      </c>
      <c r="R1911">
        <v>0</v>
      </c>
      <c r="S1911" t="s">
        <v>19</v>
      </c>
      <c r="T1911">
        <v>0</v>
      </c>
      <c r="U1911">
        <v>2</v>
      </c>
    </row>
    <row r="1912" spans="1:21" x14ac:dyDescent="0.25">
      <c r="A1912">
        <v>9749493</v>
      </c>
      <c r="B1912" t="s">
        <v>15</v>
      </c>
      <c r="C1912" s="1">
        <v>43028</v>
      </c>
      <c r="D1912" s="2">
        <f>YEAR(C1912)</f>
        <v>2017</v>
      </c>
      <c r="E1912">
        <v>420000</v>
      </c>
      <c r="F1912" t="s">
        <v>85</v>
      </c>
      <c r="G1912">
        <v>1957</v>
      </c>
      <c r="H1912">
        <v>9017</v>
      </c>
      <c r="I1912" t="s">
        <v>222</v>
      </c>
      <c r="J1912">
        <v>76</v>
      </c>
      <c r="K1912">
        <v>60076</v>
      </c>
      <c r="L1912">
        <v>7001</v>
      </c>
      <c r="M1912">
        <v>7</v>
      </c>
      <c r="N1912">
        <v>2</v>
      </c>
      <c r="O1912">
        <v>1</v>
      </c>
      <c r="P1912" t="s">
        <v>79</v>
      </c>
      <c r="Q1912">
        <v>3</v>
      </c>
      <c r="R1912">
        <v>0</v>
      </c>
      <c r="S1912" t="s">
        <v>19</v>
      </c>
      <c r="T1912">
        <v>0</v>
      </c>
      <c r="U1912">
        <v>2</v>
      </c>
    </row>
    <row r="1913" spans="1:21" x14ac:dyDescent="0.25">
      <c r="A1913">
        <v>9816899</v>
      </c>
      <c r="B1913" t="s">
        <v>15</v>
      </c>
      <c r="C1913" s="1">
        <v>43140</v>
      </c>
      <c r="D1913" s="2">
        <f>YEAR(C1913)</f>
        <v>2018</v>
      </c>
      <c r="E1913">
        <v>364000</v>
      </c>
      <c r="F1913" t="s">
        <v>85</v>
      </c>
      <c r="G1913">
        <v>1957</v>
      </c>
      <c r="H1913">
        <v>4924</v>
      </c>
      <c r="I1913" t="s">
        <v>187</v>
      </c>
      <c r="J1913">
        <v>76</v>
      </c>
      <c r="K1913">
        <v>60077</v>
      </c>
      <c r="L1913">
        <v>1400</v>
      </c>
      <c r="M1913">
        <v>7</v>
      </c>
      <c r="N1913">
        <v>2</v>
      </c>
      <c r="O1913">
        <v>0</v>
      </c>
      <c r="P1913" t="s">
        <v>79</v>
      </c>
      <c r="Q1913">
        <v>3</v>
      </c>
      <c r="R1913">
        <v>0</v>
      </c>
      <c r="S1913" t="s">
        <v>19</v>
      </c>
      <c r="T1913">
        <v>0</v>
      </c>
      <c r="U1913">
        <v>2</v>
      </c>
    </row>
    <row r="1914" spans="1:21" x14ac:dyDescent="0.25">
      <c r="A1914">
        <v>9629651</v>
      </c>
      <c r="B1914" t="s">
        <v>15</v>
      </c>
      <c r="C1914" s="1">
        <v>42946</v>
      </c>
      <c r="D1914" s="2">
        <f>YEAR(C1914)</f>
        <v>2017</v>
      </c>
      <c r="E1914">
        <v>355000</v>
      </c>
      <c r="F1914" t="s">
        <v>85</v>
      </c>
      <c r="G1914">
        <v>1958</v>
      </c>
      <c r="H1914">
        <v>5120</v>
      </c>
      <c r="I1914" t="s">
        <v>113</v>
      </c>
      <c r="J1914">
        <v>76</v>
      </c>
      <c r="K1914">
        <v>60077</v>
      </c>
      <c r="L1914">
        <v>1230</v>
      </c>
      <c r="M1914">
        <v>8</v>
      </c>
      <c r="N1914">
        <v>3</v>
      </c>
      <c r="O1914">
        <v>0</v>
      </c>
      <c r="P1914" t="s">
        <v>79</v>
      </c>
      <c r="Q1914">
        <v>3</v>
      </c>
      <c r="R1914">
        <v>0</v>
      </c>
      <c r="S1914" t="s">
        <v>21</v>
      </c>
      <c r="T1914">
        <v>1</v>
      </c>
      <c r="U1914">
        <v>2</v>
      </c>
    </row>
    <row r="1915" spans="1:21" x14ac:dyDescent="0.25">
      <c r="A1915">
        <v>9924501</v>
      </c>
      <c r="B1915" t="s">
        <v>15</v>
      </c>
      <c r="C1915" s="1">
        <v>43266</v>
      </c>
      <c r="D1915" s="2">
        <f>YEAR(C1915)</f>
        <v>2018</v>
      </c>
      <c r="E1915">
        <v>325000</v>
      </c>
      <c r="F1915" t="s">
        <v>85</v>
      </c>
      <c r="G1915">
        <v>1958</v>
      </c>
      <c r="H1915">
        <v>8048</v>
      </c>
      <c r="I1915" t="s">
        <v>480</v>
      </c>
      <c r="J1915">
        <v>76</v>
      </c>
      <c r="K1915">
        <v>60076</v>
      </c>
      <c r="L1915">
        <v>1010</v>
      </c>
      <c r="M1915">
        <v>5</v>
      </c>
      <c r="N1915">
        <v>2</v>
      </c>
      <c r="O1915">
        <v>0</v>
      </c>
      <c r="P1915" t="s">
        <v>79</v>
      </c>
      <c r="Q1915">
        <v>3</v>
      </c>
      <c r="R1915">
        <v>0</v>
      </c>
      <c r="S1915" t="s">
        <v>19</v>
      </c>
      <c r="T1915">
        <v>0</v>
      </c>
      <c r="U1915">
        <v>2</v>
      </c>
    </row>
    <row r="1916" spans="1:21" x14ac:dyDescent="0.25">
      <c r="A1916">
        <v>9705454</v>
      </c>
      <c r="B1916" t="s">
        <v>15</v>
      </c>
      <c r="C1916" s="1">
        <v>43018</v>
      </c>
      <c r="D1916" s="2">
        <f>YEAR(C1916)</f>
        <v>2017</v>
      </c>
      <c r="E1916">
        <v>360000</v>
      </c>
      <c r="F1916" t="s">
        <v>85</v>
      </c>
      <c r="G1916">
        <v>1959</v>
      </c>
      <c r="H1916">
        <v>10036</v>
      </c>
      <c r="I1916" t="s">
        <v>54</v>
      </c>
      <c r="J1916">
        <v>76</v>
      </c>
      <c r="K1916">
        <v>60077</v>
      </c>
      <c r="L1916">
        <v>2100</v>
      </c>
      <c r="M1916">
        <v>9</v>
      </c>
      <c r="N1916">
        <v>2</v>
      </c>
      <c r="O1916">
        <v>0</v>
      </c>
      <c r="P1916" t="s">
        <v>79</v>
      </c>
      <c r="Q1916">
        <v>3</v>
      </c>
      <c r="R1916">
        <v>0</v>
      </c>
      <c r="S1916" t="s">
        <v>19</v>
      </c>
      <c r="T1916">
        <v>0</v>
      </c>
      <c r="U1916">
        <v>2</v>
      </c>
    </row>
    <row r="1917" spans="1:21" x14ac:dyDescent="0.25">
      <c r="A1917">
        <v>9584883</v>
      </c>
      <c r="B1917" t="s">
        <v>15</v>
      </c>
      <c r="C1917" s="1">
        <v>42908</v>
      </c>
      <c r="D1917" s="2">
        <f>YEAR(C1917)</f>
        <v>2017</v>
      </c>
      <c r="E1917">
        <v>310000</v>
      </c>
      <c r="F1917" t="s">
        <v>85</v>
      </c>
      <c r="G1917">
        <v>1959</v>
      </c>
      <c r="H1917">
        <v>8742</v>
      </c>
      <c r="I1917" t="s">
        <v>98</v>
      </c>
      <c r="J1917">
        <v>76</v>
      </c>
      <c r="K1917">
        <v>60076</v>
      </c>
      <c r="L1917">
        <v>1250</v>
      </c>
      <c r="M1917">
        <v>7</v>
      </c>
      <c r="N1917">
        <v>2</v>
      </c>
      <c r="O1917">
        <v>0</v>
      </c>
      <c r="P1917" t="s">
        <v>79</v>
      </c>
      <c r="Q1917">
        <v>3</v>
      </c>
      <c r="R1917">
        <v>0</v>
      </c>
      <c r="S1917" t="s">
        <v>22</v>
      </c>
      <c r="T1917">
        <v>2</v>
      </c>
      <c r="U1917">
        <v>2</v>
      </c>
    </row>
    <row r="1918" spans="1:21" x14ac:dyDescent="0.25">
      <c r="A1918">
        <v>9560160</v>
      </c>
      <c r="B1918" t="s">
        <v>15</v>
      </c>
      <c r="C1918" s="1">
        <v>42852</v>
      </c>
      <c r="D1918" s="2">
        <f>YEAR(C1918)</f>
        <v>2017</v>
      </c>
      <c r="E1918">
        <v>259000</v>
      </c>
      <c r="F1918" t="s">
        <v>85</v>
      </c>
      <c r="G1918">
        <v>1959</v>
      </c>
      <c r="H1918">
        <v>8955</v>
      </c>
      <c r="I1918" t="s">
        <v>46</v>
      </c>
      <c r="J1918">
        <v>76</v>
      </c>
      <c r="K1918">
        <v>60076</v>
      </c>
      <c r="L1918">
        <v>1131</v>
      </c>
      <c r="M1918">
        <v>7</v>
      </c>
      <c r="N1918">
        <v>1</v>
      </c>
      <c r="O1918">
        <v>1</v>
      </c>
      <c r="P1918" t="s">
        <v>79</v>
      </c>
      <c r="Q1918">
        <v>3</v>
      </c>
      <c r="R1918">
        <v>0</v>
      </c>
      <c r="S1918" t="s">
        <v>19</v>
      </c>
      <c r="T1918">
        <v>0</v>
      </c>
      <c r="U1918">
        <v>2</v>
      </c>
    </row>
    <row r="1919" spans="1:21" x14ac:dyDescent="0.25">
      <c r="A1919">
        <v>9861402</v>
      </c>
      <c r="B1919" t="s">
        <v>15</v>
      </c>
      <c r="C1919" s="1">
        <v>43179</v>
      </c>
      <c r="D1919" s="2">
        <f>YEAR(C1919)</f>
        <v>2018</v>
      </c>
      <c r="E1919">
        <v>347500</v>
      </c>
      <c r="F1919" t="s">
        <v>85</v>
      </c>
      <c r="G1919">
        <v>1960</v>
      </c>
      <c r="H1919">
        <v>4447</v>
      </c>
      <c r="I1919" t="s">
        <v>487</v>
      </c>
      <c r="J1919">
        <v>76</v>
      </c>
      <c r="K1919">
        <v>60076</v>
      </c>
      <c r="L1919">
        <v>2242</v>
      </c>
      <c r="M1919">
        <v>10</v>
      </c>
      <c r="N1919">
        <v>2</v>
      </c>
      <c r="O1919">
        <v>1</v>
      </c>
      <c r="P1919" t="s">
        <v>79</v>
      </c>
      <c r="Q1919">
        <v>4</v>
      </c>
      <c r="R1919">
        <v>0</v>
      </c>
      <c r="S1919" t="s">
        <v>19</v>
      </c>
      <c r="T1919">
        <v>0</v>
      </c>
      <c r="U1919">
        <v>2</v>
      </c>
    </row>
    <row r="1920" spans="1:21" x14ac:dyDescent="0.25">
      <c r="A1920">
        <v>9879247</v>
      </c>
      <c r="B1920" t="s">
        <v>15</v>
      </c>
      <c r="C1920" s="1">
        <v>43259</v>
      </c>
      <c r="D1920" s="2">
        <f>YEAR(C1920)</f>
        <v>2018</v>
      </c>
      <c r="E1920">
        <v>380000</v>
      </c>
      <c r="F1920" t="s">
        <v>85</v>
      </c>
      <c r="G1920">
        <v>1960</v>
      </c>
      <c r="H1920">
        <v>5217</v>
      </c>
      <c r="I1920" t="s">
        <v>488</v>
      </c>
      <c r="J1920">
        <v>76</v>
      </c>
      <c r="K1920">
        <v>60077</v>
      </c>
      <c r="L1920">
        <v>1800</v>
      </c>
      <c r="M1920">
        <v>7</v>
      </c>
      <c r="N1920">
        <v>2</v>
      </c>
      <c r="O1920">
        <v>0</v>
      </c>
      <c r="P1920" t="s">
        <v>79</v>
      </c>
      <c r="Q1920">
        <v>3</v>
      </c>
      <c r="R1920">
        <v>0</v>
      </c>
      <c r="S1920" t="s">
        <v>22</v>
      </c>
      <c r="T1920">
        <v>2</v>
      </c>
      <c r="U1920">
        <v>2</v>
      </c>
    </row>
    <row r="1921" spans="1:21" x14ac:dyDescent="0.25">
      <c r="A1921">
        <v>9727872</v>
      </c>
      <c r="B1921" t="s">
        <v>15</v>
      </c>
      <c r="C1921" s="1">
        <v>43195</v>
      </c>
      <c r="D1921" s="2">
        <f>YEAR(C1921)</f>
        <v>2018</v>
      </c>
      <c r="E1921">
        <v>275000</v>
      </c>
      <c r="F1921" t="s">
        <v>85</v>
      </c>
      <c r="G1921">
        <v>1960</v>
      </c>
      <c r="H1921">
        <v>10043</v>
      </c>
      <c r="I1921" t="s">
        <v>54</v>
      </c>
      <c r="J1921">
        <v>76</v>
      </c>
      <c r="K1921">
        <v>60077</v>
      </c>
      <c r="L1921">
        <v>1025</v>
      </c>
      <c r="M1921">
        <v>7</v>
      </c>
      <c r="N1921">
        <v>2</v>
      </c>
      <c r="O1921">
        <v>0</v>
      </c>
      <c r="P1921" t="s">
        <v>79</v>
      </c>
      <c r="Q1921">
        <v>3</v>
      </c>
      <c r="R1921">
        <v>0</v>
      </c>
      <c r="S1921" t="s">
        <v>22</v>
      </c>
      <c r="T1921">
        <v>2</v>
      </c>
      <c r="U1921">
        <v>2</v>
      </c>
    </row>
    <row r="1922" spans="1:21" x14ac:dyDescent="0.25">
      <c r="A1922">
        <v>9705820</v>
      </c>
      <c r="B1922" t="s">
        <v>15</v>
      </c>
      <c r="C1922" s="1">
        <v>43131</v>
      </c>
      <c r="D1922" s="2">
        <f>YEAR(C1922)</f>
        <v>2018</v>
      </c>
      <c r="E1922">
        <v>330760</v>
      </c>
      <c r="F1922" t="s">
        <v>85</v>
      </c>
      <c r="G1922">
        <v>1962</v>
      </c>
      <c r="H1922">
        <v>1235</v>
      </c>
      <c r="I1922" t="s">
        <v>99</v>
      </c>
      <c r="J1922">
        <v>62</v>
      </c>
      <c r="K1922">
        <v>60062</v>
      </c>
      <c r="L1922">
        <v>1800</v>
      </c>
      <c r="M1922">
        <v>9</v>
      </c>
      <c r="N1922">
        <v>2</v>
      </c>
      <c r="O1922">
        <v>1</v>
      </c>
      <c r="P1922" t="s">
        <v>79</v>
      </c>
      <c r="Q1922">
        <v>4</v>
      </c>
      <c r="R1922">
        <v>0</v>
      </c>
      <c r="S1922" t="s">
        <v>22</v>
      </c>
      <c r="T1922">
        <v>2</v>
      </c>
      <c r="U1922">
        <v>2</v>
      </c>
    </row>
    <row r="1923" spans="1:21" x14ac:dyDescent="0.25">
      <c r="A1923">
        <v>10110921</v>
      </c>
      <c r="B1923" t="s">
        <v>15</v>
      </c>
      <c r="C1923" s="1">
        <v>43523</v>
      </c>
      <c r="D1923" s="2">
        <f>YEAR(C1923)</f>
        <v>2019</v>
      </c>
      <c r="E1923">
        <v>330000</v>
      </c>
      <c r="F1923" t="s">
        <v>85</v>
      </c>
      <c r="G1923">
        <v>1962</v>
      </c>
      <c r="H1923">
        <v>4918</v>
      </c>
      <c r="I1923" t="s">
        <v>194</v>
      </c>
      <c r="J1923">
        <v>76</v>
      </c>
      <c r="K1923">
        <v>60077</v>
      </c>
      <c r="L1923">
        <v>1294</v>
      </c>
      <c r="M1923">
        <v>6</v>
      </c>
      <c r="N1923">
        <v>1</v>
      </c>
      <c r="O1923">
        <v>1</v>
      </c>
      <c r="P1923" t="s">
        <v>79</v>
      </c>
      <c r="Q1923">
        <v>3</v>
      </c>
      <c r="R1923">
        <v>0</v>
      </c>
      <c r="S1923" t="s">
        <v>19</v>
      </c>
      <c r="T1923">
        <v>0</v>
      </c>
      <c r="U1923">
        <v>2</v>
      </c>
    </row>
    <row r="1924" spans="1:21" x14ac:dyDescent="0.25">
      <c r="A1924">
        <v>9591095</v>
      </c>
      <c r="B1924" t="s">
        <v>15</v>
      </c>
      <c r="C1924" s="1">
        <v>42892</v>
      </c>
      <c r="D1924" s="2">
        <f>YEAR(C1924)</f>
        <v>2017</v>
      </c>
      <c r="E1924">
        <v>258000</v>
      </c>
      <c r="F1924" t="s">
        <v>85</v>
      </c>
      <c r="G1924">
        <v>1962</v>
      </c>
      <c r="H1924">
        <v>3640</v>
      </c>
      <c r="I1924" t="s">
        <v>38</v>
      </c>
      <c r="J1924">
        <v>76</v>
      </c>
      <c r="K1924">
        <v>60076</v>
      </c>
      <c r="L1924">
        <v>1040</v>
      </c>
      <c r="M1924">
        <v>7</v>
      </c>
      <c r="N1924">
        <v>1</v>
      </c>
      <c r="O1924">
        <v>2</v>
      </c>
      <c r="P1924" t="s">
        <v>79</v>
      </c>
      <c r="Q1924">
        <v>2</v>
      </c>
      <c r="R1924">
        <v>2</v>
      </c>
      <c r="S1924" t="s">
        <v>19</v>
      </c>
      <c r="T1924">
        <v>0</v>
      </c>
      <c r="U1924">
        <v>2</v>
      </c>
    </row>
    <row r="1925" spans="1:21" x14ac:dyDescent="0.25">
      <c r="A1925">
        <v>9399024</v>
      </c>
      <c r="B1925" t="s">
        <v>15</v>
      </c>
      <c r="C1925" s="1">
        <v>42856</v>
      </c>
      <c r="D1925" s="2">
        <f>YEAR(C1925)</f>
        <v>2017</v>
      </c>
      <c r="E1925">
        <v>270000</v>
      </c>
      <c r="F1925" t="s">
        <v>85</v>
      </c>
      <c r="G1925">
        <v>1963</v>
      </c>
      <c r="H1925">
        <v>7725</v>
      </c>
      <c r="I1925" t="s">
        <v>118</v>
      </c>
      <c r="J1925">
        <v>76</v>
      </c>
      <c r="K1925">
        <v>60076</v>
      </c>
      <c r="L1925">
        <v>1777</v>
      </c>
      <c r="M1925">
        <v>7</v>
      </c>
      <c r="N1925">
        <v>2</v>
      </c>
      <c r="O1925">
        <v>0</v>
      </c>
      <c r="P1925" t="s">
        <v>79</v>
      </c>
      <c r="Q1925">
        <v>3</v>
      </c>
      <c r="R1925">
        <v>0</v>
      </c>
      <c r="S1925" t="s">
        <v>19</v>
      </c>
      <c r="T1925">
        <v>0</v>
      </c>
      <c r="U1925">
        <v>2</v>
      </c>
    </row>
    <row r="1926" spans="1:21" x14ac:dyDescent="0.25">
      <c r="A1926">
        <v>9579627</v>
      </c>
      <c r="B1926" t="s">
        <v>15</v>
      </c>
      <c r="C1926" s="1">
        <v>42909</v>
      </c>
      <c r="D1926" s="2">
        <f>YEAR(C1926)</f>
        <v>2017</v>
      </c>
      <c r="E1926">
        <v>365000</v>
      </c>
      <c r="F1926" t="s">
        <v>85</v>
      </c>
      <c r="G1926">
        <v>1965</v>
      </c>
      <c r="H1926">
        <v>7544</v>
      </c>
      <c r="I1926" t="s">
        <v>102</v>
      </c>
      <c r="J1926">
        <v>76</v>
      </c>
      <c r="K1926">
        <v>60076</v>
      </c>
      <c r="L1926">
        <v>1370</v>
      </c>
      <c r="M1926">
        <v>8</v>
      </c>
      <c r="N1926">
        <v>2</v>
      </c>
      <c r="O1926">
        <v>0</v>
      </c>
      <c r="P1926" t="s">
        <v>79</v>
      </c>
      <c r="Q1926">
        <v>4</v>
      </c>
      <c r="R1926">
        <v>0</v>
      </c>
      <c r="S1926" t="s">
        <v>19</v>
      </c>
      <c r="T1926">
        <v>0</v>
      </c>
      <c r="U1926">
        <v>2</v>
      </c>
    </row>
    <row r="1927" spans="1:21" x14ac:dyDescent="0.25">
      <c r="A1927">
        <v>9730190</v>
      </c>
      <c r="B1927" t="s">
        <v>15</v>
      </c>
      <c r="C1927" s="1">
        <v>43097</v>
      </c>
      <c r="D1927" s="2">
        <f>YEAR(C1927)</f>
        <v>2017</v>
      </c>
      <c r="E1927">
        <v>725000</v>
      </c>
      <c r="F1927" t="s">
        <v>85</v>
      </c>
      <c r="G1927">
        <v>1973</v>
      </c>
      <c r="H1927">
        <v>3330</v>
      </c>
      <c r="I1927" t="s">
        <v>358</v>
      </c>
      <c r="J1927">
        <v>62</v>
      </c>
      <c r="K1927">
        <v>60062</v>
      </c>
      <c r="L1927">
        <v>3772</v>
      </c>
      <c r="M1927">
        <v>12</v>
      </c>
      <c r="N1927">
        <v>3</v>
      </c>
      <c r="O1927">
        <v>1</v>
      </c>
      <c r="P1927" t="s">
        <v>79</v>
      </c>
      <c r="Q1927">
        <v>5</v>
      </c>
      <c r="R1927">
        <v>0</v>
      </c>
      <c r="S1927" t="s">
        <v>21</v>
      </c>
      <c r="T1927">
        <v>2</v>
      </c>
      <c r="U1927">
        <v>2</v>
      </c>
    </row>
    <row r="1928" spans="1:21" x14ac:dyDescent="0.25">
      <c r="A1928">
        <v>9620830</v>
      </c>
      <c r="B1928" t="s">
        <v>15</v>
      </c>
      <c r="C1928" s="1">
        <v>42956</v>
      </c>
      <c r="D1928" s="2">
        <f>YEAR(C1928)</f>
        <v>2017</v>
      </c>
      <c r="E1928">
        <v>823000</v>
      </c>
      <c r="F1928" t="s">
        <v>85</v>
      </c>
      <c r="G1928">
        <v>1977</v>
      </c>
      <c r="H1928">
        <v>2510</v>
      </c>
      <c r="I1928" t="s">
        <v>367</v>
      </c>
      <c r="J1928">
        <v>62</v>
      </c>
      <c r="K1928">
        <v>60062</v>
      </c>
      <c r="L1928">
        <v>2961</v>
      </c>
      <c r="M1928">
        <v>12</v>
      </c>
      <c r="N1928">
        <v>3</v>
      </c>
      <c r="O1928">
        <v>1</v>
      </c>
      <c r="P1928" t="s">
        <v>79</v>
      </c>
      <c r="Q1928">
        <v>5</v>
      </c>
      <c r="R1928">
        <v>1</v>
      </c>
      <c r="S1928" t="s">
        <v>21</v>
      </c>
      <c r="T1928">
        <v>2</v>
      </c>
      <c r="U1928">
        <v>2</v>
      </c>
    </row>
    <row r="1929" spans="1:21" x14ac:dyDescent="0.25">
      <c r="A1929">
        <v>9738209</v>
      </c>
      <c r="B1929" t="s">
        <v>15</v>
      </c>
      <c r="C1929" s="1">
        <v>43077</v>
      </c>
      <c r="D1929" s="2">
        <f>YEAR(C1929)</f>
        <v>2017</v>
      </c>
      <c r="E1929">
        <v>370000</v>
      </c>
      <c r="F1929" t="s">
        <v>85</v>
      </c>
      <c r="G1929">
        <v>1977</v>
      </c>
      <c r="H1929">
        <v>3700</v>
      </c>
      <c r="I1929" t="s">
        <v>67</v>
      </c>
      <c r="J1929">
        <v>76</v>
      </c>
      <c r="K1929">
        <v>60076</v>
      </c>
      <c r="L1929">
        <v>1369</v>
      </c>
      <c r="M1929">
        <v>7</v>
      </c>
      <c r="N1929">
        <v>2</v>
      </c>
      <c r="O1929">
        <v>0</v>
      </c>
      <c r="P1929" t="s">
        <v>79</v>
      </c>
      <c r="Q1929">
        <v>3</v>
      </c>
      <c r="R1929">
        <v>0</v>
      </c>
      <c r="S1929" t="s">
        <v>21</v>
      </c>
      <c r="T1929">
        <v>2</v>
      </c>
      <c r="U1929">
        <v>2</v>
      </c>
    </row>
    <row r="1930" spans="1:21" x14ac:dyDescent="0.25">
      <c r="A1930">
        <v>9608203</v>
      </c>
      <c r="B1930" t="s">
        <v>15</v>
      </c>
      <c r="C1930" s="1">
        <v>42962</v>
      </c>
      <c r="D1930" s="2">
        <f>YEAR(C1930)</f>
        <v>2017</v>
      </c>
      <c r="E1930">
        <v>677500</v>
      </c>
      <c r="F1930" t="s">
        <v>85</v>
      </c>
      <c r="G1930">
        <v>1980</v>
      </c>
      <c r="H1930">
        <v>275</v>
      </c>
      <c r="I1930" t="s">
        <v>512</v>
      </c>
      <c r="J1930">
        <v>62</v>
      </c>
      <c r="K1930">
        <v>60062</v>
      </c>
      <c r="L1930">
        <v>3440</v>
      </c>
      <c r="M1930">
        <v>13</v>
      </c>
      <c r="N1930">
        <v>3</v>
      </c>
      <c r="O1930">
        <v>1</v>
      </c>
      <c r="P1930" t="s">
        <v>79</v>
      </c>
      <c r="Q1930">
        <v>4</v>
      </c>
      <c r="R1930">
        <v>0</v>
      </c>
      <c r="S1930" t="s">
        <v>21</v>
      </c>
      <c r="T1930">
        <v>2</v>
      </c>
      <c r="U1930">
        <v>2</v>
      </c>
    </row>
    <row r="1931" spans="1:21" x14ac:dyDescent="0.25">
      <c r="A1931">
        <v>10118364</v>
      </c>
      <c r="B1931" t="s">
        <v>15</v>
      </c>
      <c r="C1931" s="1">
        <v>43493</v>
      </c>
      <c r="D1931" s="2">
        <f>YEAR(C1931)</f>
        <v>2019</v>
      </c>
      <c r="E1931">
        <v>373000</v>
      </c>
      <c r="F1931" t="s">
        <v>85</v>
      </c>
      <c r="G1931">
        <v>2004</v>
      </c>
      <c r="H1931">
        <v>3831</v>
      </c>
      <c r="I1931" t="s">
        <v>49</v>
      </c>
      <c r="J1931">
        <v>76</v>
      </c>
      <c r="K1931">
        <v>60076</v>
      </c>
      <c r="L1931">
        <v>2754</v>
      </c>
      <c r="M1931">
        <v>8</v>
      </c>
      <c r="N1931">
        <v>3</v>
      </c>
      <c r="O1931">
        <v>1</v>
      </c>
      <c r="P1931" t="s">
        <v>79</v>
      </c>
      <c r="Q1931">
        <v>3</v>
      </c>
      <c r="R1931">
        <v>0</v>
      </c>
      <c r="S1931" t="s">
        <v>19</v>
      </c>
      <c r="T1931">
        <v>0</v>
      </c>
      <c r="U1931">
        <v>2</v>
      </c>
    </row>
    <row r="1932" spans="1:21" x14ac:dyDescent="0.25">
      <c r="A1932">
        <v>9854443</v>
      </c>
      <c r="B1932" t="s">
        <v>15</v>
      </c>
      <c r="C1932" s="1">
        <v>43251</v>
      </c>
      <c r="D1932" s="2">
        <f>YEAR(C1932)</f>
        <v>2018</v>
      </c>
      <c r="E1932">
        <v>1360000</v>
      </c>
      <c r="F1932" t="s">
        <v>85</v>
      </c>
      <c r="G1932">
        <v>2017</v>
      </c>
      <c r="H1932">
        <v>2240</v>
      </c>
      <c r="I1932" t="s">
        <v>160</v>
      </c>
      <c r="J1932">
        <v>62</v>
      </c>
      <c r="K1932">
        <v>60062</v>
      </c>
      <c r="L1932">
        <v>4648</v>
      </c>
      <c r="M1932">
        <v>13</v>
      </c>
      <c r="N1932">
        <v>4</v>
      </c>
      <c r="O1932">
        <v>1</v>
      </c>
      <c r="P1932" t="s">
        <v>79</v>
      </c>
      <c r="Q1932">
        <v>4</v>
      </c>
      <c r="R1932">
        <v>1</v>
      </c>
      <c r="S1932" t="s">
        <v>21</v>
      </c>
      <c r="T1932">
        <v>3</v>
      </c>
      <c r="U1932">
        <v>2</v>
      </c>
    </row>
    <row r="1933" spans="1:21" x14ac:dyDescent="0.25">
      <c r="A1933">
        <v>9982732</v>
      </c>
      <c r="B1933" t="s">
        <v>15</v>
      </c>
      <c r="C1933" s="1">
        <v>43375</v>
      </c>
      <c r="D1933" s="2">
        <f>YEAR(C1933)</f>
        <v>2018</v>
      </c>
      <c r="E1933">
        <v>1070000</v>
      </c>
      <c r="F1933" t="s">
        <v>85</v>
      </c>
      <c r="G1933">
        <v>2018</v>
      </c>
      <c r="H1933">
        <v>2440</v>
      </c>
      <c r="I1933" t="s">
        <v>116</v>
      </c>
      <c r="J1933">
        <v>62</v>
      </c>
      <c r="K1933">
        <v>60062</v>
      </c>
      <c r="L1933">
        <v>2535</v>
      </c>
      <c r="M1933">
        <v>12</v>
      </c>
      <c r="N1933">
        <v>4</v>
      </c>
      <c r="O1933">
        <v>1</v>
      </c>
      <c r="P1933" t="s">
        <v>79</v>
      </c>
      <c r="Q1933">
        <v>4</v>
      </c>
      <c r="R1933">
        <v>1</v>
      </c>
      <c r="S1933" t="s">
        <v>21</v>
      </c>
      <c r="T1933">
        <v>2</v>
      </c>
      <c r="U1933">
        <v>2</v>
      </c>
    </row>
    <row r="1934" spans="1:21" x14ac:dyDescent="0.25">
      <c r="A1934">
        <v>10010946</v>
      </c>
      <c r="B1934" t="s">
        <v>15</v>
      </c>
      <c r="C1934" s="1">
        <v>43376</v>
      </c>
      <c r="D1934" s="2">
        <f>YEAR(C1934)</f>
        <v>2018</v>
      </c>
      <c r="E1934">
        <v>437500</v>
      </c>
      <c r="F1934" t="s">
        <v>85</v>
      </c>
      <c r="G1934">
        <v>1952</v>
      </c>
      <c r="H1934">
        <v>1523</v>
      </c>
      <c r="I1934" t="s">
        <v>205</v>
      </c>
      <c r="J1934">
        <v>62</v>
      </c>
      <c r="K1934">
        <v>60062</v>
      </c>
      <c r="L1934">
        <v>1689</v>
      </c>
      <c r="M1934">
        <v>7</v>
      </c>
      <c r="N1934">
        <v>2</v>
      </c>
      <c r="O1934">
        <v>0</v>
      </c>
      <c r="P1934" t="s">
        <v>18</v>
      </c>
      <c r="Q1934">
        <v>4</v>
      </c>
      <c r="R1934">
        <v>0</v>
      </c>
      <c r="S1934" t="s">
        <v>22</v>
      </c>
      <c r="T1934">
        <v>2</v>
      </c>
      <c r="U1934">
        <v>2</v>
      </c>
    </row>
    <row r="1935" spans="1:21" x14ac:dyDescent="0.25">
      <c r="A1935">
        <v>9887945</v>
      </c>
      <c r="B1935" t="s">
        <v>15</v>
      </c>
      <c r="C1935" s="1">
        <v>43291</v>
      </c>
      <c r="D1935" s="2">
        <f>YEAR(C1935)</f>
        <v>2018</v>
      </c>
      <c r="E1935">
        <v>210000</v>
      </c>
      <c r="F1935" t="s">
        <v>548</v>
      </c>
      <c r="G1935">
        <v>1957</v>
      </c>
      <c r="H1935">
        <v>4843</v>
      </c>
      <c r="I1935" t="s">
        <v>220</v>
      </c>
      <c r="J1935">
        <v>76</v>
      </c>
      <c r="K1935">
        <v>60077</v>
      </c>
      <c r="L1935">
        <v>1083</v>
      </c>
      <c r="M1935">
        <v>7</v>
      </c>
      <c r="N1935">
        <v>1</v>
      </c>
      <c r="O1935">
        <v>1</v>
      </c>
      <c r="P1935" t="s">
        <v>18</v>
      </c>
      <c r="Q1935">
        <v>3</v>
      </c>
      <c r="R1935">
        <v>0</v>
      </c>
      <c r="S1935" t="s">
        <v>19</v>
      </c>
      <c r="T1935">
        <v>0</v>
      </c>
      <c r="U1935">
        <v>2</v>
      </c>
    </row>
    <row r="1936" spans="1:21" x14ac:dyDescent="0.25">
      <c r="A1936">
        <v>9800181</v>
      </c>
      <c r="B1936" t="s">
        <v>15</v>
      </c>
      <c r="C1936" s="1">
        <v>43084</v>
      </c>
      <c r="D1936" s="2">
        <f>YEAR(C1936)</f>
        <v>2017</v>
      </c>
      <c r="E1936">
        <v>177101</v>
      </c>
      <c r="F1936" t="s">
        <v>548</v>
      </c>
      <c r="G1936">
        <v>1959</v>
      </c>
      <c r="H1936">
        <v>4833</v>
      </c>
      <c r="I1936" t="s">
        <v>220</v>
      </c>
      <c r="J1936">
        <v>76</v>
      </c>
      <c r="K1936">
        <v>60077</v>
      </c>
      <c r="L1936">
        <v>1148</v>
      </c>
      <c r="M1936">
        <v>5</v>
      </c>
      <c r="N1936">
        <v>1</v>
      </c>
      <c r="O1936">
        <v>1</v>
      </c>
      <c r="P1936" t="s">
        <v>18</v>
      </c>
      <c r="Q1936">
        <v>3</v>
      </c>
      <c r="R1936">
        <v>0</v>
      </c>
      <c r="S1936" t="s">
        <v>19</v>
      </c>
      <c r="T1936">
        <v>0</v>
      </c>
      <c r="U1936">
        <v>2</v>
      </c>
    </row>
    <row r="1937" spans="1:21" x14ac:dyDescent="0.25">
      <c r="A1937">
        <v>9972532</v>
      </c>
      <c r="B1937" t="s">
        <v>15</v>
      </c>
      <c r="C1937" s="1">
        <v>43354</v>
      </c>
      <c r="D1937" s="2">
        <f>YEAR(C1937)</f>
        <v>2018</v>
      </c>
      <c r="E1937">
        <v>170000</v>
      </c>
      <c r="F1937" t="s">
        <v>548</v>
      </c>
      <c r="G1937">
        <v>1961</v>
      </c>
      <c r="H1937">
        <v>10037</v>
      </c>
      <c r="I1937" t="s">
        <v>231</v>
      </c>
      <c r="J1937">
        <v>76</v>
      </c>
      <c r="K1937">
        <v>60077</v>
      </c>
      <c r="L1937">
        <v>2110</v>
      </c>
      <c r="M1937">
        <v>6</v>
      </c>
      <c r="N1937">
        <v>1</v>
      </c>
      <c r="O1937">
        <v>1</v>
      </c>
      <c r="P1937" t="s">
        <v>18</v>
      </c>
      <c r="Q1937">
        <v>3</v>
      </c>
      <c r="R1937">
        <v>0</v>
      </c>
      <c r="S1937" t="s">
        <v>19</v>
      </c>
      <c r="T1937">
        <v>0</v>
      </c>
      <c r="U1937">
        <v>2</v>
      </c>
    </row>
    <row r="1938" spans="1:21" x14ac:dyDescent="0.25">
      <c r="A1938">
        <v>9705538</v>
      </c>
      <c r="B1938" t="s">
        <v>15</v>
      </c>
      <c r="C1938" s="1">
        <v>43052</v>
      </c>
      <c r="D1938" s="2">
        <f>YEAR(C1938)</f>
        <v>2017</v>
      </c>
      <c r="E1938">
        <v>251000</v>
      </c>
      <c r="F1938" t="s">
        <v>548</v>
      </c>
      <c r="G1938">
        <v>1963</v>
      </c>
      <c r="H1938">
        <v>8330</v>
      </c>
      <c r="I1938" t="s">
        <v>460</v>
      </c>
      <c r="J1938">
        <v>76</v>
      </c>
      <c r="K1938">
        <v>60076</v>
      </c>
      <c r="L1938">
        <v>1081</v>
      </c>
      <c r="M1938">
        <v>7</v>
      </c>
      <c r="N1938">
        <v>1</v>
      </c>
      <c r="O1938">
        <v>1</v>
      </c>
      <c r="P1938" t="s">
        <v>18</v>
      </c>
      <c r="Q1938">
        <v>3</v>
      </c>
      <c r="R1938">
        <v>0</v>
      </c>
      <c r="S1938" t="s">
        <v>19</v>
      </c>
      <c r="T1938">
        <v>0</v>
      </c>
      <c r="U1938">
        <v>2</v>
      </c>
    </row>
    <row r="1939" spans="1:21" x14ac:dyDescent="0.25">
      <c r="A1939">
        <v>9290401</v>
      </c>
      <c r="B1939" t="s">
        <v>15</v>
      </c>
      <c r="C1939" s="1">
        <v>42809</v>
      </c>
      <c r="D1939" s="2">
        <f>YEAR(C1939)</f>
        <v>2017</v>
      </c>
      <c r="E1939">
        <v>180000</v>
      </c>
      <c r="F1939" t="s">
        <v>548</v>
      </c>
      <c r="G1939">
        <v>1965</v>
      </c>
      <c r="H1939">
        <v>8436</v>
      </c>
      <c r="I1939" t="s">
        <v>47</v>
      </c>
      <c r="J1939">
        <v>76</v>
      </c>
      <c r="K1939">
        <v>60077</v>
      </c>
      <c r="L1939">
        <v>1344</v>
      </c>
      <c r="M1939">
        <v>7</v>
      </c>
      <c r="N1939">
        <v>1</v>
      </c>
      <c r="O1939">
        <v>1</v>
      </c>
      <c r="P1939" t="s">
        <v>18</v>
      </c>
      <c r="Q1939">
        <v>3</v>
      </c>
      <c r="R1939">
        <v>0</v>
      </c>
      <c r="S1939" t="s">
        <v>19</v>
      </c>
      <c r="T1939">
        <v>0</v>
      </c>
      <c r="U1939">
        <v>2</v>
      </c>
    </row>
    <row r="1940" spans="1:21" x14ac:dyDescent="0.25">
      <c r="A1940" t="str">
        <f>"10166101"</f>
        <v>10166101</v>
      </c>
      <c r="B1940" t="s">
        <v>15</v>
      </c>
      <c r="C1940" s="1">
        <v>43601</v>
      </c>
      <c r="D1940" s="2">
        <f>YEAR(C1940)</f>
        <v>2019</v>
      </c>
      <c r="E1940">
        <v>45000</v>
      </c>
      <c r="F1940" t="s">
        <v>85</v>
      </c>
      <c r="G1940">
        <v>1950</v>
      </c>
      <c r="H1940">
        <v>26563</v>
      </c>
      <c r="I1940" t="s">
        <v>129</v>
      </c>
      <c r="J1940" t="str">
        <f>"2"</f>
        <v>2</v>
      </c>
      <c r="K1940">
        <v>60002</v>
      </c>
      <c r="L1940">
        <v>760</v>
      </c>
      <c r="M1940">
        <v>4</v>
      </c>
      <c r="N1940">
        <v>1</v>
      </c>
      <c r="O1940">
        <v>0</v>
      </c>
      <c r="P1940" t="s">
        <v>18</v>
      </c>
      <c r="Q1940">
        <v>1</v>
      </c>
      <c r="R1940">
        <v>0</v>
      </c>
      <c r="S1940" t="s">
        <v>19</v>
      </c>
      <c r="T1940">
        <v>0</v>
      </c>
      <c r="U1940">
        <v>2</v>
      </c>
    </row>
    <row r="1941" spans="1:21" x14ac:dyDescent="0.25">
      <c r="A1941" t="str">
        <f>"10743408"</f>
        <v>10743408</v>
      </c>
      <c r="B1941" t="s">
        <v>15</v>
      </c>
      <c r="C1941" s="1">
        <v>44091</v>
      </c>
      <c r="D1941" s="2">
        <f>YEAR(C1941)</f>
        <v>2020</v>
      </c>
      <c r="E1941">
        <v>100000</v>
      </c>
      <c r="F1941" t="s">
        <v>85</v>
      </c>
      <c r="G1941">
        <v>1950</v>
      </c>
      <c r="H1941">
        <v>25197</v>
      </c>
      <c r="I1941" t="s">
        <v>476</v>
      </c>
      <c r="J1941" t="str">
        <f>"2"</f>
        <v>2</v>
      </c>
      <c r="K1941">
        <v>60002</v>
      </c>
      <c r="L1941">
        <v>780</v>
      </c>
      <c r="M1941">
        <v>4</v>
      </c>
      <c r="N1941">
        <v>1</v>
      </c>
      <c r="O1941">
        <v>0</v>
      </c>
      <c r="P1941" t="s">
        <v>18</v>
      </c>
      <c r="Q1941">
        <v>2</v>
      </c>
      <c r="R1941">
        <v>0</v>
      </c>
      <c r="S1941" t="s">
        <v>19</v>
      </c>
      <c r="T1941">
        <v>0</v>
      </c>
      <c r="U1941">
        <v>2</v>
      </c>
    </row>
    <row r="1942" spans="1:21" x14ac:dyDescent="0.25">
      <c r="A1942" t="str">
        <f>"10794014"</f>
        <v>10794014</v>
      </c>
      <c r="B1942" t="s">
        <v>15</v>
      </c>
      <c r="C1942" s="1">
        <v>44133</v>
      </c>
      <c r="D1942" s="2">
        <f>YEAR(C1942)</f>
        <v>2020</v>
      </c>
      <c r="E1942">
        <v>161000</v>
      </c>
      <c r="F1942" t="s">
        <v>85</v>
      </c>
      <c r="G1942">
        <v>1958</v>
      </c>
      <c r="H1942">
        <v>320</v>
      </c>
      <c r="I1942" t="s">
        <v>209</v>
      </c>
      <c r="J1942" t="str">
        <f>"2"</f>
        <v>2</v>
      </c>
      <c r="K1942">
        <v>60002</v>
      </c>
      <c r="L1942">
        <v>816</v>
      </c>
      <c r="M1942">
        <v>5</v>
      </c>
      <c r="N1942">
        <v>1</v>
      </c>
      <c r="O1942">
        <v>0</v>
      </c>
      <c r="P1942" t="s">
        <v>18</v>
      </c>
      <c r="Q1942">
        <v>3</v>
      </c>
      <c r="R1942">
        <v>0</v>
      </c>
      <c r="S1942" t="s">
        <v>22</v>
      </c>
      <c r="T1942">
        <v>2</v>
      </c>
      <c r="U1942">
        <v>2</v>
      </c>
    </row>
    <row r="1943" spans="1:21" x14ac:dyDescent="0.25">
      <c r="A1943" t="str">
        <f>"10668197"</f>
        <v>10668197</v>
      </c>
      <c r="B1943" t="s">
        <v>15</v>
      </c>
      <c r="C1943" s="1">
        <v>43964</v>
      </c>
      <c r="D1943" s="2">
        <f>YEAR(C1943)</f>
        <v>2020</v>
      </c>
      <c r="E1943">
        <v>132500</v>
      </c>
      <c r="F1943" t="s">
        <v>85</v>
      </c>
      <c r="G1943">
        <v>1957</v>
      </c>
      <c r="H1943">
        <v>497</v>
      </c>
      <c r="I1943" t="s">
        <v>209</v>
      </c>
      <c r="J1943" t="str">
        <f>"2"</f>
        <v>2</v>
      </c>
      <c r="K1943">
        <v>60002</v>
      </c>
      <c r="L1943">
        <v>846</v>
      </c>
      <c r="M1943">
        <v>4</v>
      </c>
      <c r="N1943">
        <v>1</v>
      </c>
      <c r="O1943">
        <v>0</v>
      </c>
      <c r="P1943" t="s">
        <v>18</v>
      </c>
      <c r="Q1943">
        <v>2</v>
      </c>
      <c r="R1943">
        <v>0</v>
      </c>
      <c r="S1943" t="s">
        <v>22</v>
      </c>
      <c r="T1943">
        <v>2</v>
      </c>
      <c r="U1943">
        <v>2</v>
      </c>
    </row>
    <row r="1944" spans="1:21" x14ac:dyDescent="0.25">
      <c r="A1944" t="str">
        <f>"10771614"</f>
        <v>10771614</v>
      </c>
      <c r="B1944" t="s">
        <v>15</v>
      </c>
      <c r="C1944" s="1">
        <v>44132</v>
      </c>
      <c r="D1944" s="2">
        <f>YEAR(C1944)</f>
        <v>2020</v>
      </c>
      <c r="E1944">
        <v>175000</v>
      </c>
      <c r="F1944" t="s">
        <v>85</v>
      </c>
      <c r="G1944">
        <v>1940</v>
      </c>
      <c r="H1944">
        <v>22623</v>
      </c>
      <c r="I1944" t="s">
        <v>584</v>
      </c>
      <c r="J1944" t="str">
        <f>"2"</f>
        <v>2</v>
      </c>
      <c r="K1944">
        <v>60002</v>
      </c>
      <c r="L1944">
        <v>880</v>
      </c>
      <c r="M1944">
        <v>5</v>
      </c>
      <c r="N1944">
        <v>1</v>
      </c>
      <c r="O1944">
        <v>0</v>
      </c>
      <c r="P1944" t="s">
        <v>18</v>
      </c>
      <c r="Q1944">
        <v>2</v>
      </c>
      <c r="R1944">
        <v>0</v>
      </c>
      <c r="S1944" t="s">
        <v>19</v>
      </c>
      <c r="T1944">
        <v>0</v>
      </c>
      <c r="U1944">
        <v>2</v>
      </c>
    </row>
    <row r="1945" spans="1:21" x14ac:dyDescent="0.25">
      <c r="A1945" t="str">
        <f>"10277512"</f>
        <v>10277512</v>
      </c>
      <c r="B1945" t="s">
        <v>15</v>
      </c>
      <c r="C1945" s="1">
        <v>43570</v>
      </c>
      <c r="D1945" s="2">
        <f>YEAR(C1945)</f>
        <v>2019</v>
      </c>
      <c r="E1945">
        <v>136500</v>
      </c>
      <c r="F1945" t="s">
        <v>85</v>
      </c>
      <c r="G1945">
        <v>1949</v>
      </c>
      <c r="H1945">
        <v>26483</v>
      </c>
      <c r="I1945" t="s">
        <v>589</v>
      </c>
      <c r="J1945" t="str">
        <f>"2"</f>
        <v>2</v>
      </c>
      <c r="K1945">
        <v>60002</v>
      </c>
      <c r="L1945">
        <v>906</v>
      </c>
      <c r="M1945">
        <v>5</v>
      </c>
      <c r="N1945">
        <v>1</v>
      </c>
      <c r="O1945">
        <v>0</v>
      </c>
      <c r="P1945" t="s">
        <v>18</v>
      </c>
      <c r="Q1945">
        <v>2</v>
      </c>
      <c r="R1945">
        <v>0</v>
      </c>
      <c r="S1945" t="s">
        <v>19</v>
      </c>
      <c r="T1945">
        <v>0</v>
      </c>
      <c r="U1945">
        <v>2</v>
      </c>
    </row>
    <row r="1946" spans="1:21" x14ac:dyDescent="0.25">
      <c r="A1946" t="str">
        <f>"10368566"</f>
        <v>10368566</v>
      </c>
      <c r="B1946" t="s">
        <v>15</v>
      </c>
      <c r="C1946" s="1">
        <v>43656</v>
      </c>
      <c r="D1946" s="2">
        <f>YEAR(C1946)</f>
        <v>2019</v>
      </c>
      <c r="E1946">
        <v>140000</v>
      </c>
      <c r="F1946" t="s">
        <v>85</v>
      </c>
      <c r="G1946">
        <v>1965</v>
      </c>
      <c r="H1946">
        <v>42647</v>
      </c>
      <c r="I1946" t="s">
        <v>592</v>
      </c>
      <c r="J1946" t="str">
        <f>"2"</f>
        <v>2</v>
      </c>
      <c r="K1946">
        <v>60002</v>
      </c>
      <c r="L1946">
        <v>938</v>
      </c>
      <c r="M1946">
        <v>5</v>
      </c>
      <c r="N1946">
        <v>1</v>
      </c>
      <c r="O1946">
        <v>1</v>
      </c>
      <c r="P1946" t="s">
        <v>18</v>
      </c>
      <c r="Q1946">
        <v>2</v>
      </c>
      <c r="R1946">
        <v>0</v>
      </c>
      <c r="S1946" t="s">
        <v>19</v>
      </c>
      <c r="T1946">
        <v>0</v>
      </c>
      <c r="U1946">
        <v>2</v>
      </c>
    </row>
    <row r="1947" spans="1:21" x14ac:dyDescent="0.25">
      <c r="A1947" t="str">
        <f>"10094644"</f>
        <v>10094644</v>
      </c>
      <c r="B1947" t="s">
        <v>15</v>
      </c>
      <c r="C1947" s="1">
        <v>43493</v>
      </c>
      <c r="D1947" s="2">
        <f>YEAR(C1947)</f>
        <v>2019</v>
      </c>
      <c r="E1947">
        <v>132900</v>
      </c>
      <c r="F1947" t="s">
        <v>85</v>
      </c>
      <c r="G1947">
        <v>1960</v>
      </c>
      <c r="H1947">
        <v>26454</v>
      </c>
      <c r="I1947" t="s">
        <v>434</v>
      </c>
      <c r="J1947" t="str">
        <f>"2"</f>
        <v>2</v>
      </c>
      <c r="K1947">
        <v>60002</v>
      </c>
      <c r="L1947">
        <v>1000</v>
      </c>
      <c r="M1947">
        <v>4</v>
      </c>
      <c r="N1947">
        <v>1</v>
      </c>
      <c r="O1947">
        <v>0</v>
      </c>
      <c r="P1947" t="s">
        <v>18</v>
      </c>
      <c r="Q1947">
        <v>2</v>
      </c>
      <c r="R1947">
        <v>0</v>
      </c>
      <c r="S1947" t="s">
        <v>22</v>
      </c>
      <c r="T1947">
        <v>2</v>
      </c>
      <c r="U1947">
        <v>2</v>
      </c>
    </row>
    <row r="1948" spans="1:21" x14ac:dyDescent="0.25">
      <c r="A1948" t="str">
        <f>"10097448"</f>
        <v>10097448</v>
      </c>
      <c r="B1948" t="s">
        <v>15</v>
      </c>
      <c r="C1948" s="1">
        <v>43629</v>
      </c>
      <c r="D1948" s="2">
        <f>YEAR(C1948)</f>
        <v>2019</v>
      </c>
      <c r="E1948">
        <v>85000</v>
      </c>
      <c r="F1948" t="s">
        <v>85</v>
      </c>
      <c r="G1948">
        <v>1960</v>
      </c>
      <c r="H1948">
        <v>26680</v>
      </c>
      <c r="I1948" t="s">
        <v>172</v>
      </c>
      <c r="J1948" t="str">
        <f>"2"</f>
        <v>2</v>
      </c>
      <c r="K1948">
        <v>60002</v>
      </c>
      <c r="L1948">
        <v>1040</v>
      </c>
      <c r="M1948">
        <v>6</v>
      </c>
      <c r="N1948">
        <v>1</v>
      </c>
      <c r="O1948">
        <v>0</v>
      </c>
      <c r="P1948" t="s">
        <v>18</v>
      </c>
      <c r="Q1948">
        <v>3</v>
      </c>
      <c r="R1948">
        <v>0</v>
      </c>
      <c r="S1948" t="s">
        <v>19</v>
      </c>
      <c r="T1948">
        <v>0</v>
      </c>
      <c r="U1948">
        <v>2</v>
      </c>
    </row>
    <row r="1949" spans="1:21" x14ac:dyDescent="0.25">
      <c r="A1949" t="str">
        <f>"10688097"</f>
        <v>10688097</v>
      </c>
      <c r="B1949" t="s">
        <v>15</v>
      </c>
      <c r="C1949" s="1">
        <v>43983</v>
      </c>
      <c r="D1949" s="2">
        <f>YEAR(C1949)</f>
        <v>2020</v>
      </c>
      <c r="E1949">
        <v>199900</v>
      </c>
      <c r="F1949" t="s">
        <v>85</v>
      </c>
      <c r="G1949">
        <v>1950</v>
      </c>
      <c r="H1949">
        <v>22719</v>
      </c>
      <c r="I1949" t="s">
        <v>584</v>
      </c>
      <c r="J1949" t="str">
        <f>"2"</f>
        <v>2</v>
      </c>
      <c r="K1949">
        <v>60002</v>
      </c>
      <c r="L1949">
        <v>1049</v>
      </c>
      <c r="M1949">
        <v>5</v>
      </c>
      <c r="N1949">
        <v>1</v>
      </c>
      <c r="O1949">
        <v>0</v>
      </c>
      <c r="P1949" t="s">
        <v>18</v>
      </c>
      <c r="Q1949">
        <v>2</v>
      </c>
      <c r="R1949">
        <v>0</v>
      </c>
      <c r="S1949" t="s">
        <v>22</v>
      </c>
      <c r="T1949">
        <v>2</v>
      </c>
      <c r="U1949">
        <v>2</v>
      </c>
    </row>
    <row r="1950" spans="1:21" x14ac:dyDescent="0.25">
      <c r="A1950" t="str">
        <f>"10457519"</f>
        <v>10457519</v>
      </c>
      <c r="B1950" t="s">
        <v>15</v>
      </c>
      <c r="C1950" s="1">
        <v>43767</v>
      </c>
      <c r="D1950" s="2">
        <f>YEAR(C1950)</f>
        <v>2019</v>
      </c>
      <c r="E1950">
        <v>60000</v>
      </c>
      <c r="F1950" t="s">
        <v>85</v>
      </c>
      <c r="G1950">
        <v>1950</v>
      </c>
      <c r="H1950">
        <v>39447</v>
      </c>
      <c r="I1950" t="s">
        <v>611</v>
      </c>
      <c r="J1950" t="str">
        <f>"2"</f>
        <v>2</v>
      </c>
      <c r="K1950">
        <v>60002</v>
      </c>
      <c r="L1950">
        <v>1072</v>
      </c>
      <c r="M1950">
        <v>5</v>
      </c>
      <c r="N1950">
        <v>1</v>
      </c>
      <c r="O1950">
        <v>1</v>
      </c>
      <c r="P1950" t="s">
        <v>18</v>
      </c>
      <c r="Q1950">
        <v>2</v>
      </c>
      <c r="R1950">
        <v>0</v>
      </c>
      <c r="S1950" t="s">
        <v>19</v>
      </c>
      <c r="T1950">
        <v>0</v>
      </c>
      <c r="U1950">
        <v>2</v>
      </c>
    </row>
    <row r="1951" spans="1:21" x14ac:dyDescent="0.25">
      <c r="A1951" t="str">
        <f>"10805797"</f>
        <v>10805797</v>
      </c>
      <c r="B1951" t="s">
        <v>15</v>
      </c>
      <c r="C1951" s="1">
        <v>44141</v>
      </c>
      <c r="D1951" s="2">
        <f>YEAR(C1951)</f>
        <v>2020</v>
      </c>
      <c r="E1951">
        <v>119900</v>
      </c>
      <c r="F1951" t="s">
        <v>85</v>
      </c>
      <c r="G1951">
        <v>1963</v>
      </c>
      <c r="H1951">
        <v>40511</v>
      </c>
      <c r="I1951" t="s">
        <v>612</v>
      </c>
      <c r="J1951" t="str">
        <f>"2"</f>
        <v>2</v>
      </c>
      <c r="K1951">
        <v>60002</v>
      </c>
      <c r="L1951">
        <v>1075</v>
      </c>
      <c r="M1951">
        <v>5</v>
      </c>
      <c r="N1951">
        <v>1</v>
      </c>
      <c r="O1951">
        <v>0</v>
      </c>
      <c r="P1951" t="s">
        <v>18</v>
      </c>
      <c r="Q1951">
        <v>2</v>
      </c>
      <c r="R1951">
        <v>0</v>
      </c>
      <c r="S1951" t="s">
        <v>22</v>
      </c>
      <c r="T1951">
        <v>1</v>
      </c>
      <c r="U1951">
        <v>2</v>
      </c>
    </row>
    <row r="1952" spans="1:21" x14ac:dyDescent="0.25">
      <c r="A1952" t="str">
        <f>"09990286"</f>
        <v>09990286</v>
      </c>
      <c r="B1952" t="s">
        <v>15</v>
      </c>
      <c r="C1952" s="1">
        <v>43614</v>
      </c>
      <c r="D1952" s="2">
        <f>YEAR(C1952)</f>
        <v>2019</v>
      </c>
      <c r="E1952">
        <v>145000</v>
      </c>
      <c r="F1952" t="s">
        <v>85</v>
      </c>
      <c r="G1952">
        <v>1960</v>
      </c>
      <c r="H1952">
        <v>25420</v>
      </c>
      <c r="I1952" t="s">
        <v>614</v>
      </c>
      <c r="J1952" t="str">
        <f>"2"</f>
        <v>2</v>
      </c>
      <c r="K1952">
        <v>60002</v>
      </c>
      <c r="L1952">
        <v>1080</v>
      </c>
      <c r="M1952">
        <v>7</v>
      </c>
      <c r="N1952">
        <v>1</v>
      </c>
      <c r="O1952">
        <v>0</v>
      </c>
      <c r="P1952" t="s">
        <v>18</v>
      </c>
      <c r="Q1952">
        <v>3</v>
      </c>
      <c r="R1952">
        <v>0</v>
      </c>
      <c r="S1952" t="s">
        <v>22</v>
      </c>
      <c r="T1952">
        <v>1.5</v>
      </c>
      <c r="U1952">
        <v>2</v>
      </c>
    </row>
    <row r="1953" spans="1:21" x14ac:dyDescent="0.25">
      <c r="A1953" t="str">
        <f>"10798346"</f>
        <v>10798346</v>
      </c>
      <c r="B1953" t="s">
        <v>15</v>
      </c>
      <c r="C1953" s="1">
        <v>44088</v>
      </c>
      <c r="D1953" s="2">
        <f>YEAR(C1953)</f>
        <v>2020</v>
      </c>
      <c r="E1953">
        <v>95000</v>
      </c>
      <c r="F1953" t="s">
        <v>85</v>
      </c>
      <c r="G1953">
        <v>1967</v>
      </c>
      <c r="H1953">
        <v>42388</v>
      </c>
      <c r="I1953" t="s">
        <v>615</v>
      </c>
      <c r="J1953" t="str">
        <f>"2"</f>
        <v>2</v>
      </c>
      <c r="K1953">
        <v>60002</v>
      </c>
      <c r="L1953">
        <v>1095</v>
      </c>
      <c r="M1953">
        <v>6</v>
      </c>
      <c r="N1953">
        <v>1</v>
      </c>
      <c r="O1953">
        <v>0</v>
      </c>
      <c r="P1953" t="s">
        <v>18</v>
      </c>
      <c r="Q1953">
        <v>2</v>
      </c>
      <c r="R1953">
        <v>0</v>
      </c>
      <c r="S1953" t="s">
        <v>19</v>
      </c>
      <c r="T1953">
        <v>0</v>
      </c>
      <c r="U1953">
        <v>2</v>
      </c>
    </row>
    <row r="1954" spans="1:21" x14ac:dyDescent="0.25">
      <c r="A1954" t="str">
        <f>"10710378"</f>
        <v>10710378</v>
      </c>
      <c r="B1954" t="s">
        <v>15</v>
      </c>
      <c r="C1954" s="1">
        <v>44071</v>
      </c>
      <c r="D1954" s="2">
        <f>YEAR(C1954)</f>
        <v>2020</v>
      </c>
      <c r="E1954">
        <v>129000</v>
      </c>
      <c r="F1954" t="s">
        <v>85</v>
      </c>
      <c r="G1954">
        <v>1950</v>
      </c>
      <c r="H1954">
        <v>39223</v>
      </c>
      <c r="I1954" t="s">
        <v>615</v>
      </c>
      <c r="J1954" t="str">
        <f>"2"</f>
        <v>2</v>
      </c>
      <c r="K1954">
        <v>60002</v>
      </c>
      <c r="L1954">
        <v>1108</v>
      </c>
      <c r="M1954">
        <v>7</v>
      </c>
      <c r="N1954">
        <v>1</v>
      </c>
      <c r="O1954">
        <v>0</v>
      </c>
      <c r="P1954" t="s">
        <v>18</v>
      </c>
      <c r="Q1954">
        <v>3</v>
      </c>
      <c r="R1954">
        <v>0</v>
      </c>
      <c r="S1954" t="s">
        <v>19</v>
      </c>
      <c r="T1954">
        <v>0</v>
      </c>
      <c r="U1954">
        <v>2</v>
      </c>
    </row>
    <row r="1955" spans="1:21" x14ac:dyDescent="0.25">
      <c r="A1955" t="str">
        <f>"10606237"</f>
        <v>10606237</v>
      </c>
      <c r="B1955" t="s">
        <v>15</v>
      </c>
      <c r="C1955" s="1">
        <v>43994</v>
      </c>
      <c r="D1955" s="2">
        <f>YEAR(C1955)</f>
        <v>2020</v>
      </c>
      <c r="E1955">
        <v>50001</v>
      </c>
      <c r="F1955" t="s">
        <v>85</v>
      </c>
      <c r="G1955">
        <v>1970</v>
      </c>
      <c r="H1955">
        <v>26377</v>
      </c>
      <c r="I1955" t="s">
        <v>620</v>
      </c>
      <c r="J1955" t="str">
        <f>"2"</f>
        <v>2</v>
      </c>
      <c r="K1955">
        <v>60002</v>
      </c>
      <c r="L1955">
        <v>1120</v>
      </c>
      <c r="M1955">
        <v>5</v>
      </c>
      <c r="N1955">
        <v>1</v>
      </c>
      <c r="O1955">
        <v>0</v>
      </c>
      <c r="P1955" t="s">
        <v>18</v>
      </c>
      <c r="Q1955">
        <v>2</v>
      </c>
      <c r="R1955">
        <v>0</v>
      </c>
      <c r="S1955" t="s">
        <v>19</v>
      </c>
      <c r="T1955">
        <v>0</v>
      </c>
      <c r="U1955">
        <v>2</v>
      </c>
    </row>
    <row r="1956" spans="1:21" x14ac:dyDescent="0.25">
      <c r="A1956" t="str">
        <f>"10707788"</f>
        <v>10707788</v>
      </c>
      <c r="B1956" t="s">
        <v>15</v>
      </c>
      <c r="C1956" s="1">
        <v>43997</v>
      </c>
      <c r="D1956" s="2">
        <f>YEAR(C1956)</f>
        <v>2020</v>
      </c>
      <c r="E1956">
        <v>177500</v>
      </c>
      <c r="F1956" t="s">
        <v>85</v>
      </c>
      <c r="G1956">
        <v>1988</v>
      </c>
      <c r="H1956">
        <v>38902</v>
      </c>
      <c r="I1956" t="s">
        <v>593</v>
      </c>
      <c r="J1956" t="str">
        <f>"2"</f>
        <v>2</v>
      </c>
      <c r="K1956">
        <v>60002</v>
      </c>
      <c r="L1956">
        <v>1144</v>
      </c>
      <c r="M1956">
        <v>6</v>
      </c>
      <c r="N1956">
        <v>1</v>
      </c>
      <c r="O1956">
        <v>1</v>
      </c>
      <c r="P1956" t="s">
        <v>18</v>
      </c>
      <c r="Q1956">
        <v>3</v>
      </c>
      <c r="R1956">
        <v>0</v>
      </c>
      <c r="S1956" t="s">
        <v>22</v>
      </c>
      <c r="T1956">
        <v>2.5</v>
      </c>
      <c r="U1956">
        <v>2</v>
      </c>
    </row>
    <row r="1957" spans="1:21" x14ac:dyDescent="0.25">
      <c r="A1957" t="str">
        <f>"10431125"</f>
        <v>10431125</v>
      </c>
      <c r="B1957" t="s">
        <v>15</v>
      </c>
      <c r="C1957" s="1">
        <v>43721</v>
      </c>
      <c r="D1957" s="2">
        <f>YEAR(C1957)</f>
        <v>2019</v>
      </c>
      <c r="E1957">
        <v>115500</v>
      </c>
      <c r="F1957" t="s">
        <v>85</v>
      </c>
      <c r="G1957">
        <v>1955</v>
      </c>
      <c r="H1957">
        <v>26372</v>
      </c>
      <c r="I1957" t="s">
        <v>589</v>
      </c>
      <c r="J1957" t="str">
        <f>"2"</f>
        <v>2</v>
      </c>
      <c r="K1957">
        <v>60002</v>
      </c>
      <c r="L1957">
        <v>1248</v>
      </c>
      <c r="M1957">
        <v>6</v>
      </c>
      <c r="N1957">
        <v>1</v>
      </c>
      <c r="O1957">
        <v>0</v>
      </c>
      <c r="P1957" t="s">
        <v>18</v>
      </c>
      <c r="Q1957">
        <v>3</v>
      </c>
      <c r="R1957">
        <v>0</v>
      </c>
      <c r="S1957" t="s">
        <v>22</v>
      </c>
      <c r="T1957">
        <v>1</v>
      </c>
      <c r="U1957">
        <v>2</v>
      </c>
    </row>
    <row r="1958" spans="1:21" x14ac:dyDescent="0.25">
      <c r="A1958" t="str">
        <f>"10781250"</f>
        <v>10781250</v>
      </c>
      <c r="B1958" t="s">
        <v>15</v>
      </c>
      <c r="C1958" s="1">
        <v>44060</v>
      </c>
      <c r="D1958" s="2">
        <f>YEAR(C1958)</f>
        <v>2020</v>
      </c>
      <c r="E1958">
        <v>142900</v>
      </c>
      <c r="F1958" t="s">
        <v>85</v>
      </c>
      <c r="G1958">
        <v>1945</v>
      </c>
      <c r="H1958">
        <v>38821</v>
      </c>
      <c r="I1958" t="s">
        <v>530</v>
      </c>
      <c r="J1958" t="str">
        <f>"2"</f>
        <v>2</v>
      </c>
      <c r="K1958">
        <v>60002</v>
      </c>
      <c r="L1958">
        <v>1248</v>
      </c>
      <c r="M1958">
        <v>5</v>
      </c>
      <c r="N1958">
        <v>2</v>
      </c>
      <c r="O1958">
        <v>0</v>
      </c>
      <c r="P1958" t="s">
        <v>18</v>
      </c>
      <c r="Q1958">
        <v>2</v>
      </c>
      <c r="R1958">
        <v>0</v>
      </c>
      <c r="S1958" t="s">
        <v>22</v>
      </c>
      <c r="T1958">
        <v>2</v>
      </c>
      <c r="U1958">
        <v>2</v>
      </c>
    </row>
    <row r="1959" spans="1:21" x14ac:dyDescent="0.25">
      <c r="A1959" t="str">
        <f>"10698005"</f>
        <v>10698005</v>
      </c>
      <c r="B1959" t="s">
        <v>15</v>
      </c>
      <c r="C1959" s="1">
        <v>44124</v>
      </c>
      <c r="D1959" s="2">
        <f>YEAR(C1959)</f>
        <v>2020</v>
      </c>
      <c r="E1959">
        <v>175000</v>
      </c>
      <c r="F1959" t="s">
        <v>85</v>
      </c>
      <c r="G1959">
        <v>1988</v>
      </c>
      <c r="H1959">
        <v>41045</v>
      </c>
      <c r="I1959" t="s">
        <v>478</v>
      </c>
      <c r="J1959" t="str">
        <f>"2"</f>
        <v>2</v>
      </c>
      <c r="K1959">
        <v>60002</v>
      </c>
      <c r="L1959">
        <v>1268</v>
      </c>
      <c r="M1959">
        <v>6</v>
      </c>
      <c r="N1959">
        <v>2</v>
      </c>
      <c r="O1959">
        <v>0</v>
      </c>
      <c r="P1959" t="s">
        <v>18</v>
      </c>
      <c r="Q1959">
        <v>2</v>
      </c>
      <c r="R1959">
        <v>0</v>
      </c>
      <c r="S1959" t="s">
        <v>21</v>
      </c>
      <c r="T1959">
        <v>2</v>
      </c>
      <c r="U1959">
        <v>2</v>
      </c>
    </row>
    <row r="1960" spans="1:21" x14ac:dyDescent="0.25">
      <c r="A1960" t="str">
        <f>"10665028"</f>
        <v>10665028</v>
      </c>
      <c r="B1960" t="s">
        <v>15</v>
      </c>
      <c r="C1960" s="1">
        <v>44014</v>
      </c>
      <c r="D1960" s="2">
        <f>YEAR(C1960)</f>
        <v>2020</v>
      </c>
      <c r="E1960">
        <v>255000</v>
      </c>
      <c r="F1960" t="s">
        <v>85</v>
      </c>
      <c r="G1960">
        <v>1970</v>
      </c>
      <c r="H1960">
        <v>23069</v>
      </c>
      <c r="I1960" t="s">
        <v>653</v>
      </c>
      <c r="J1960" t="str">
        <f>"2"</f>
        <v>2</v>
      </c>
      <c r="K1960">
        <v>60002</v>
      </c>
      <c r="L1960">
        <v>1293</v>
      </c>
      <c r="M1960">
        <v>7</v>
      </c>
      <c r="N1960">
        <v>1</v>
      </c>
      <c r="O1960">
        <v>0</v>
      </c>
      <c r="P1960" t="s">
        <v>18</v>
      </c>
      <c r="Q1960">
        <v>3</v>
      </c>
      <c r="R1960">
        <v>0</v>
      </c>
      <c r="S1960" t="s">
        <v>22</v>
      </c>
      <c r="T1960">
        <v>2</v>
      </c>
      <c r="U1960">
        <v>2</v>
      </c>
    </row>
    <row r="1961" spans="1:21" x14ac:dyDescent="0.25">
      <c r="A1961" t="s">
        <v>664</v>
      </c>
      <c r="B1961" t="s">
        <v>15</v>
      </c>
      <c r="C1961" s="1">
        <v>43614</v>
      </c>
      <c r="D1961" s="2">
        <f>YEAR(C1961)</f>
        <v>2019</v>
      </c>
      <c r="E1961">
        <v>134000</v>
      </c>
      <c r="F1961" t="s">
        <v>81</v>
      </c>
      <c r="G1961">
        <v>2006</v>
      </c>
      <c r="H1961">
        <v>1198</v>
      </c>
      <c r="I1961" t="s">
        <v>665</v>
      </c>
      <c r="J1961" t="s">
        <v>600</v>
      </c>
      <c r="K1961">
        <v>60002</v>
      </c>
      <c r="L1961">
        <v>1320</v>
      </c>
      <c r="M1961">
        <v>7</v>
      </c>
      <c r="N1961">
        <v>2</v>
      </c>
      <c r="O1961">
        <v>1</v>
      </c>
      <c r="P1961" t="s">
        <v>18</v>
      </c>
      <c r="Q1961">
        <v>3</v>
      </c>
      <c r="R1961">
        <v>0</v>
      </c>
      <c r="S1961" t="s">
        <v>21</v>
      </c>
      <c r="T1961">
        <v>2</v>
      </c>
      <c r="U1961">
        <v>2</v>
      </c>
    </row>
    <row r="1962" spans="1:21" x14ac:dyDescent="0.25">
      <c r="A1962" t="str">
        <f>"10561503"</f>
        <v>10561503</v>
      </c>
      <c r="B1962" t="s">
        <v>15</v>
      </c>
      <c r="C1962" s="1">
        <v>43801</v>
      </c>
      <c r="D1962" s="2">
        <f>YEAR(C1962)</f>
        <v>2019</v>
      </c>
      <c r="E1962">
        <v>142500</v>
      </c>
      <c r="F1962" t="s">
        <v>85</v>
      </c>
      <c r="G1962">
        <v>1950</v>
      </c>
      <c r="H1962">
        <v>42586</v>
      </c>
      <c r="I1962" t="s">
        <v>658</v>
      </c>
      <c r="J1962" t="str">
        <f>"2"</f>
        <v>2</v>
      </c>
      <c r="K1962">
        <v>60002</v>
      </c>
      <c r="L1962">
        <v>1560</v>
      </c>
      <c r="M1962">
        <v>8</v>
      </c>
      <c r="N1962">
        <v>1</v>
      </c>
      <c r="O1962">
        <v>1</v>
      </c>
      <c r="P1962" t="s">
        <v>79</v>
      </c>
      <c r="Q1962">
        <v>2</v>
      </c>
      <c r="R1962">
        <v>2</v>
      </c>
      <c r="S1962" t="s">
        <v>22</v>
      </c>
      <c r="T1962">
        <v>2</v>
      </c>
      <c r="U1962">
        <v>2</v>
      </c>
    </row>
    <row r="1963" spans="1:21" x14ac:dyDescent="0.25">
      <c r="A1963" t="str">
        <f>"10402600"</f>
        <v>10402600</v>
      </c>
      <c r="B1963" t="s">
        <v>15</v>
      </c>
      <c r="C1963" s="1">
        <v>43712</v>
      </c>
      <c r="D1963" s="2">
        <f>YEAR(C1963)</f>
        <v>2019</v>
      </c>
      <c r="E1963">
        <v>165000</v>
      </c>
      <c r="F1963" t="s">
        <v>85</v>
      </c>
      <c r="G1963">
        <v>1960</v>
      </c>
      <c r="H1963">
        <v>42279</v>
      </c>
      <c r="I1963" t="s">
        <v>201</v>
      </c>
      <c r="J1963" t="str">
        <f>"2"</f>
        <v>2</v>
      </c>
      <c r="K1963">
        <v>60002</v>
      </c>
      <c r="L1963">
        <v>1630</v>
      </c>
      <c r="M1963">
        <v>7</v>
      </c>
      <c r="N1963">
        <v>2</v>
      </c>
      <c r="O1963">
        <v>0</v>
      </c>
      <c r="P1963" t="s">
        <v>18</v>
      </c>
      <c r="Q1963">
        <v>3</v>
      </c>
      <c r="R1963">
        <v>0</v>
      </c>
      <c r="S1963" t="s">
        <v>19</v>
      </c>
      <c r="T1963">
        <v>0</v>
      </c>
      <c r="U1963">
        <v>2</v>
      </c>
    </row>
    <row r="1964" spans="1:21" x14ac:dyDescent="0.25">
      <c r="A1964" t="str">
        <f>"10532727"</f>
        <v>10532727</v>
      </c>
      <c r="B1964" t="s">
        <v>15</v>
      </c>
      <c r="C1964" s="1">
        <v>43833</v>
      </c>
      <c r="D1964" s="2">
        <f>YEAR(C1964)</f>
        <v>2020</v>
      </c>
      <c r="E1964">
        <v>195000</v>
      </c>
      <c r="F1964" t="s">
        <v>85</v>
      </c>
      <c r="G1964">
        <v>1992</v>
      </c>
      <c r="H1964">
        <v>1021</v>
      </c>
      <c r="I1964" t="s">
        <v>746</v>
      </c>
      <c r="J1964" t="str">
        <f>"2"</f>
        <v>2</v>
      </c>
      <c r="K1964">
        <v>60002</v>
      </c>
      <c r="L1964">
        <v>1677</v>
      </c>
      <c r="M1964">
        <v>8</v>
      </c>
      <c r="N1964">
        <v>2</v>
      </c>
      <c r="O1964">
        <v>1</v>
      </c>
      <c r="P1964" t="s">
        <v>18</v>
      </c>
      <c r="Q1964">
        <v>3</v>
      </c>
      <c r="R1964">
        <v>0</v>
      </c>
      <c r="S1964" t="s">
        <v>21</v>
      </c>
      <c r="T1964">
        <v>2</v>
      </c>
      <c r="U1964">
        <v>2</v>
      </c>
    </row>
    <row r="1965" spans="1:21" x14ac:dyDescent="0.25">
      <c r="A1965" t="str">
        <f>"10425285"</f>
        <v>10425285</v>
      </c>
      <c r="B1965" t="s">
        <v>15</v>
      </c>
      <c r="C1965" s="1">
        <v>43728</v>
      </c>
      <c r="D1965" s="2">
        <f>YEAR(C1965)</f>
        <v>2019</v>
      </c>
      <c r="E1965">
        <v>190500</v>
      </c>
      <c r="F1965" t="s">
        <v>85</v>
      </c>
      <c r="G1965">
        <v>1998</v>
      </c>
      <c r="H1965">
        <v>868</v>
      </c>
      <c r="I1965" t="s">
        <v>264</v>
      </c>
      <c r="J1965" t="str">
        <f>"2"</f>
        <v>2</v>
      </c>
      <c r="K1965">
        <v>60002</v>
      </c>
      <c r="L1965">
        <v>1800</v>
      </c>
      <c r="M1965">
        <v>7</v>
      </c>
      <c r="N1965">
        <v>1</v>
      </c>
      <c r="O1965">
        <v>0</v>
      </c>
      <c r="P1965" t="s">
        <v>18</v>
      </c>
      <c r="Q1965">
        <v>3</v>
      </c>
      <c r="R1965">
        <v>0</v>
      </c>
      <c r="S1965" t="s">
        <v>21</v>
      </c>
      <c r="T1965">
        <v>2</v>
      </c>
      <c r="U1965">
        <v>2</v>
      </c>
    </row>
    <row r="1966" spans="1:21" x14ac:dyDescent="0.25">
      <c r="A1966" t="str">
        <f>"10771470"</f>
        <v>10771470</v>
      </c>
      <c r="B1966" t="s">
        <v>15</v>
      </c>
      <c r="C1966" s="1">
        <v>44064</v>
      </c>
      <c r="D1966" s="2">
        <f>YEAR(C1966)</f>
        <v>2020</v>
      </c>
      <c r="E1966">
        <v>162500</v>
      </c>
      <c r="F1966" t="s">
        <v>85</v>
      </c>
      <c r="G1966">
        <v>1950</v>
      </c>
      <c r="H1966">
        <v>39450</v>
      </c>
      <c r="I1966" t="s">
        <v>476</v>
      </c>
      <c r="J1966" t="str">
        <f>"2"</f>
        <v>2</v>
      </c>
      <c r="K1966">
        <v>60002</v>
      </c>
      <c r="L1966">
        <v>1800</v>
      </c>
      <c r="M1966">
        <v>8</v>
      </c>
      <c r="N1966">
        <v>2</v>
      </c>
      <c r="O1966">
        <v>0</v>
      </c>
      <c r="P1966" t="s">
        <v>18</v>
      </c>
      <c r="Q1966">
        <v>3</v>
      </c>
      <c r="R1966">
        <v>0</v>
      </c>
      <c r="S1966" t="s">
        <v>19</v>
      </c>
      <c r="T1966">
        <v>0</v>
      </c>
      <c r="U1966">
        <v>2</v>
      </c>
    </row>
    <row r="1967" spans="1:21" x14ac:dyDescent="0.25">
      <c r="A1967" t="s">
        <v>781</v>
      </c>
      <c r="B1967" t="s">
        <v>15</v>
      </c>
      <c r="C1967" s="1">
        <v>43532</v>
      </c>
      <c r="D1967" s="2">
        <f>YEAR(C1967)</f>
        <v>2019</v>
      </c>
      <c r="E1967">
        <v>255000</v>
      </c>
      <c r="F1967" t="s">
        <v>16</v>
      </c>
      <c r="G1967">
        <v>2007</v>
      </c>
      <c r="H1967">
        <v>1023</v>
      </c>
      <c r="I1967" t="s">
        <v>726</v>
      </c>
      <c r="J1967" t="s">
        <v>600</v>
      </c>
      <c r="K1967">
        <v>60002</v>
      </c>
      <c r="L1967">
        <v>1836</v>
      </c>
      <c r="M1967">
        <v>8</v>
      </c>
      <c r="N1967">
        <v>3</v>
      </c>
      <c r="O1967">
        <v>1</v>
      </c>
      <c r="P1967" t="s">
        <v>79</v>
      </c>
      <c r="Q1967">
        <v>3</v>
      </c>
      <c r="R1967">
        <v>0</v>
      </c>
      <c r="S1967" t="s">
        <v>21</v>
      </c>
      <c r="T1967">
        <v>2</v>
      </c>
      <c r="U1967">
        <v>2</v>
      </c>
    </row>
    <row r="1968" spans="1:21" x14ac:dyDescent="0.25">
      <c r="A1968" t="s">
        <v>796</v>
      </c>
      <c r="B1968" t="s">
        <v>15</v>
      </c>
      <c r="C1968" s="1">
        <v>43672</v>
      </c>
      <c r="D1968" s="2">
        <f>YEAR(C1968)</f>
        <v>2019</v>
      </c>
      <c r="E1968">
        <v>227000</v>
      </c>
      <c r="F1968" t="s">
        <v>16</v>
      </c>
      <c r="G1968">
        <v>2001</v>
      </c>
      <c r="H1968">
        <v>820</v>
      </c>
      <c r="I1968" t="s">
        <v>797</v>
      </c>
      <c r="J1968" t="s">
        <v>600</v>
      </c>
      <c r="K1968">
        <v>60002</v>
      </c>
      <c r="L1968">
        <v>1957</v>
      </c>
      <c r="M1968">
        <v>6</v>
      </c>
      <c r="N1968">
        <v>2</v>
      </c>
      <c r="O1968">
        <v>0</v>
      </c>
      <c r="P1968" t="s">
        <v>18</v>
      </c>
      <c r="Q1968">
        <v>2</v>
      </c>
      <c r="R1968">
        <v>0</v>
      </c>
      <c r="S1968" t="s">
        <v>21</v>
      </c>
      <c r="T1968">
        <v>2</v>
      </c>
      <c r="U1968">
        <v>2</v>
      </c>
    </row>
    <row r="1969" spans="1:21" x14ac:dyDescent="0.25">
      <c r="A1969" t="str">
        <f>"10109352"</f>
        <v>10109352</v>
      </c>
      <c r="B1969" t="s">
        <v>15</v>
      </c>
      <c r="C1969" s="1">
        <v>43546</v>
      </c>
      <c r="D1969" s="2">
        <f>YEAR(C1969)</f>
        <v>2019</v>
      </c>
      <c r="E1969">
        <v>138000</v>
      </c>
      <c r="F1969" t="s">
        <v>85</v>
      </c>
      <c r="G1969">
        <v>1960</v>
      </c>
      <c r="H1969">
        <v>665</v>
      </c>
      <c r="I1969" t="s">
        <v>570</v>
      </c>
      <c r="J1969" t="str">
        <f>"2"</f>
        <v>2</v>
      </c>
      <c r="K1969">
        <v>60002</v>
      </c>
      <c r="L1969">
        <v>1966</v>
      </c>
      <c r="M1969">
        <v>6</v>
      </c>
      <c r="N1969">
        <v>1</v>
      </c>
      <c r="O1969">
        <v>1</v>
      </c>
      <c r="P1969" t="s">
        <v>18</v>
      </c>
      <c r="Q1969">
        <v>3</v>
      </c>
      <c r="R1969">
        <v>0</v>
      </c>
      <c r="S1969" t="s">
        <v>21</v>
      </c>
      <c r="T1969">
        <v>4</v>
      </c>
      <c r="U1969">
        <v>2</v>
      </c>
    </row>
    <row r="1970" spans="1:21" x14ac:dyDescent="0.25">
      <c r="A1970" t="s">
        <v>799</v>
      </c>
      <c r="B1970" t="s">
        <v>15</v>
      </c>
      <c r="C1970" s="1">
        <v>44120</v>
      </c>
      <c r="D1970" s="2">
        <f>YEAR(C1970)</f>
        <v>2020</v>
      </c>
      <c r="E1970">
        <v>300000</v>
      </c>
      <c r="F1970" t="s">
        <v>81</v>
      </c>
      <c r="G1970">
        <v>1996</v>
      </c>
      <c r="H1970">
        <v>39858</v>
      </c>
      <c r="I1970" t="s">
        <v>104</v>
      </c>
      <c r="J1970" t="s">
        <v>600</v>
      </c>
      <c r="K1970">
        <v>60002</v>
      </c>
      <c r="L1970">
        <v>2000</v>
      </c>
      <c r="M1970">
        <v>7</v>
      </c>
      <c r="N1970">
        <v>3</v>
      </c>
      <c r="O1970">
        <v>0</v>
      </c>
      <c r="P1970" t="s">
        <v>79</v>
      </c>
      <c r="Q1970">
        <v>3</v>
      </c>
      <c r="R1970">
        <v>0</v>
      </c>
      <c r="S1970" t="s">
        <v>21</v>
      </c>
      <c r="T1970">
        <v>2</v>
      </c>
      <c r="U1970">
        <v>2</v>
      </c>
    </row>
    <row r="1971" spans="1:21" x14ac:dyDescent="0.25">
      <c r="A1971" t="str">
        <f>"10379349"</f>
        <v>10379349</v>
      </c>
      <c r="B1971" t="s">
        <v>15</v>
      </c>
      <c r="C1971" s="1">
        <v>43630</v>
      </c>
      <c r="D1971" s="2">
        <f>YEAR(C1971)</f>
        <v>2019</v>
      </c>
      <c r="E1971">
        <v>90000</v>
      </c>
      <c r="F1971" t="s">
        <v>85</v>
      </c>
      <c r="G1971">
        <v>1978</v>
      </c>
      <c r="H1971">
        <v>42191</v>
      </c>
      <c r="I1971" t="s">
        <v>802</v>
      </c>
      <c r="J1971" t="str">
        <f>"2"</f>
        <v>2</v>
      </c>
      <c r="K1971">
        <v>60002</v>
      </c>
      <c r="L1971">
        <v>2016</v>
      </c>
      <c r="M1971">
        <v>1</v>
      </c>
      <c r="N1971">
        <v>0</v>
      </c>
      <c r="O1971">
        <v>0</v>
      </c>
      <c r="P1971" t="s">
        <v>18</v>
      </c>
      <c r="Q1971">
        <v>1</v>
      </c>
      <c r="R1971">
        <v>0</v>
      </c>
      <c r="S1971" t="s">
        <v>19</v>
      </c>
      <c r="T1971">
        <v>0</v>
      </c>
      <c r="U1971">
        <v>2</v>
      </c>
    </row>
    <row r="1972" spans="1:21" x14ac:dyDescent="0.25">
      <c r="A1972" t="str">
        <f>"10603118"</f>
        <v>10603118</v>
      </c>
      <c r="B1972" t="s">
        <v>15</v>
      </c>
      <c r="C1972" s="1">
        <v>43889</v>
      </c>
      <c r="D1972" s="2">
        <f>YEAR(C1972)</f>
        <v>2020</v>
      </c>
      <c r="E1972">
        <v>188000</v>
      </c>
      <c r="F1972" t="s">
        <v>85</v>
      </c>
      <c r="G1972">
        <v>1979</v>
      </c>
      <c r="H1972">
        <v>39801</v>
      </c>
      <c r="I1972" t="s">
        <v>728</v>
      </c>
      <c r="J1972" t="str">
        <f>"2"</f>
        <v>2</v>
      </c>
      <c r="K1972">
        <v>60002</v>
      </c>
      <c r="L1972">
        <v>2184</v>
      </c>
      <c r="M1972">
        <v>9</v>
      </c>
      <c r="N1972">
        <v>3</v>
      </c>
      <c r="O1972">
        <v>0</v>
      </c>
      <c r="P1972" t="s">
        <v>79</v>
      </c>
      <c r="Q1972">
        <v>4</v>
      </c>
      <c r="R1972">
        <v>0</v>
      </c>
      <c r="S1972" t="s">
        <v>21</v>
      </c>
      <c r="T1972">
        <v>2</v>
      </c>
      <c r="U1972">
        <v>2</v>
      </c>
    </row>
    <row r="1973" spans="1:21" x14ac:dyDescent="0.25">
      <c r="A1973" t="str">
        <f>"10727839"</f>
        <v>10727839</v>
      </c>
      <c r="B1973" t="s">
        <v>15</v>
      </c>
      <c r="C1973" s="1">
        <v>44064</v>
      </c>
      <c r="D1973" s="2">
        <f>YEAR(C1973)</f>
        <v>2020</v>
      </c>
      <c r="E1973">
        <v>237500</v>
      </c>
      <c r="F1973" t="s">
        <v>85</v>
      </c>
      <c r="G1973">
        <v>2009</v>
      </c>
      <c r="H1973">
        <v>1063</v>
      </c>
      <c r="I1973" t="s">
        <v>830</v>
      </c>
      <c r="J1973" t="str">
        <f>"2"</f>
        <v>2</v>
      </c>
      <c r="K1973">
        <v>60002</v>
      </c>
      <c r="L1973">
        <v>2212</v>
      </c>
      <c r="M1973">
        <v>9</v>
      </c>
      <c r="N1973">
        <v>2</v>
      </c>
      <c r="O1973">
        <v>1</v>
      </c>
      <c r="P1973" t="s">
        <v>18</v>
      </c>
      <c r="Q1973">
        <v>4</v>
      </c>
      <c r="R1973">
        <v>0</v>
      </c>
      <c r="S1973" t="s">
        <v>21</v>
      </c>
      <c r="T1973">
        <v>2</v>
      </c>
      <c r="U1973">
        <v>2</v>
      </c>
    </row>
    <row r="1974" spans="1:21" x14ac:dyDescent="0.25">
      <c r="A1974" t="str">
        <f>"10279692"</f>
        <v>10279692</v>
      </c>
      <c r="B1974" t="s">
        <v>15</v>
      </c>
      <c r="C1974" s="1">
        <v>43588</v>
      </c>
      <c r="D1974" s="2">
        <f>YEAR(C1974)</f>
        <v>2019</v>
      </c>
      <c r="E1974">
        <v>208000</v>
      </c>
      <c r="F1974" t="s">
        <v>85</v>
      </c>
      <c r="G1974">
        <v>2004</v>
      </c>
      <c r="H1974">
        <v>1237</v>
      </c>
      <c r="I1974" t="s">
        <v>823</v>
      </c>
      <c r="J1974" t="str">
        <f>"2"</f>
        <v>2</v>
      </c>
      <c r="K1974">
        <v>60002</v>
      </c>
      <c r="L1974">
        <v>2230</v>
      </c>
      <c r="M1974">
        <v>8</v>
      </c>
      <c r="N1974">
        <v>2</v>
      </c>
      <c r="O1974">
        <v>1</v>
      </c>
      <c r="P1974" t="s">
        <v>18</v>
      </c>
      <c r="Q1974">
        <v>4</v>
      </c>
      <c r="R1974">
        <v>0</v>
      </c>
      <c r="S1974" t="s">
        <v>21</v>
      </c>
      <c r="T1974">
        <v>2</v>
      </c>
      <c r="U1974">
        <v>2</v>
      </c>
    </row>
    <row r="1975" spans="1:21" x14ac:dyDescent="0.25">
      <c r="A1975" t="str">
        <f>"10668436"</f>
        <v>10668436</v>
      </c>
      <c r="B1975" t="s">
        <v>15</v>
      </c>
      <c r="C1975" s="1">
        <v>44029</v>
      </c>
      <c r="D1975" s="2">
        <f>YEAR(C1975)</f>
        <v>2020</v>
      </c>
      <c r="E1975">
        <v>359000</v>
      </c>
      <c r="F1975" t="s">
        <v>85</v>
      </c>
      <c r="G1975">
        <v>1989</v>
      </c>
      <c r="H1975">
        <v>22544</v>
      </c>
      <c r="I1975" t="s">
        <v>849</v>
      </c>
      <c r="J1975" t="str">
        <f>"2"</f>
        <v>2</v>
      </c>
      <c r="K1975">
        <v>60002</v>
      </c>
      <c r="L1975">
        <v>2369</v>
      </c>
      <c r="M1975">
        <v>7</v>
      </c>
      <c r="N1975">
        <v>3</v>
      </c>
      <c r="O1975">
        <v>1</v>
      </c>
      <c r="P1975" t="s">
        <v>79</v>
      </c>
      <c r="Q1975">
        <v>2</v>
      </c>
      <c r="R1975">
        <v>1</v>
      </c>
      <c r="S1975" t="s">
        <v>22</v>
      </c>
      <c r="T1975">
        <v>2</v>
      </c>
      <c r="U1975">
        <v>2</v>
      </c>
    </row>
    <row r="1976" spans="1:21" x14ac:dyDescent="0.25">
      <c r="A1976" t="str">
        <f>"10360546"</f>
        <v>10360546</v>
      </c>
      <c r="B1976" t="s">
        <v>15</v>
      </c>
      <c r="C1976" s="1">
        <v>43665</v>
      </c>
      <c r="D1976" s="2">
        <f>YEAR(C1976)</f>
        <v>2019</v>
      </c>
      <c r="E1976">
        <v>240000</v>
      </c>
      <c r="F1976" t="s">
        <v>85</v>
      </c>
      <c r="G1976">
        <v>2001</v>
      </c>
      <c r="H1976">
        <v>55</v>
      </c>
      <c r="I1976" t="s">
        <v>358</v>
      </c>
      <c r="J1976" t="str">
        <f>"2"</f>
        <v>2</v>
      </c>
      <c r="K1976">
        <v>60002</v>
      </c>
      <c r="L1976">
        <v>2389</v>
      </c>
      <c r="M1976">
        <v>8</v>
      </c>
      <c r="N1976">
        <v>2</v>
      </c>
      <c r="O1976">
        <v>1</v>
      </c>
      <c r="P1976" t="s">
        <v>18</v>
      </c>
      <c r="Q1976">
        <v>3</v>
      </c>
      <c r="R1976">
        <v>0</v>
      </c>
      <c r="S1976" t="s">
        <v>21</v>
      </c>
      <c r="T1976">
        <v>2</v>
      </c>
      <c r="U1976">
        <v>2</v>
      </c>
    </row>
    <row r="1977" spans="1:21" x14ac:dyDescent="0.25">
      <c r="A1977" t="str">
        <f>"10274627"</f>
        <v>10274627</v>
      </c>
      <c r="B1977" t="s">
        <v>15</v>
      </c>
      <c r="C1977" s="1">
        <v>43690</v>
      </c>
      <c r="D1977" s="2">
        <f>YEAR(C1977)</f>
        <v>2019</v>
      </c>
      <c r="E1977">
        <v>137500</v>
      </c>
      <c r="F1977" t="s">
        <v>85</v>
      </c>
      <c r="G1977">
        <v>1970</v>
      </c>
      <c r="H1977">
        <v>23619</v>
      </c>
      <c r="I1977" t="s">
        <v>714</v>
      </c>
      <c r="J1977" t="str">
        <f>"2"</f>
        <v>2</v>
      </c>
      <c r="K1977">
        <v>60002</v>
      </c>
      <c r="L1977">
        <v>2634</v>
      </c>
      <c r="M1977">
        <v>8</v>
      </c>
      <c r="N1977">
        <v>3</v>
      </c>
      <c r="O1977">
        <v>0</v>
      </c>
      <c r="P1977" t="s">
        <v>79</v>
      </c>
      <c r="Q1977">
        <v>2</v>
      </c>
      <c r="R1977">
        <v>2</v>
      </c>
      <c r="S1977" t="s">
        <v>21</v>
      </c>
      <c r="T1977">
        <v>2</v>
      </c>
      <c r="U1977">
        <v>2</v>
      </c>
    </row>
    <row r="1978" spans="1:21" x14ac:dyDescent="0.25">
      <c r="A1978" t="s">
        <v>883</v>
      </c>
      <c r="B1978" t="s">
        <v>15</v>
      </c>
      <c r="C1978" s="1">
        <v>44176</v>
      </c>
      <c r="D1978" s="2">
        <f>YEAR(C1978)</f>
        <v>2020</v>
      </c>
      <c r="E1978">
        <v>320900</v>
      </c>
      <c r="F1978" t="s">
        <v>81</v>
      </c>
      <c r="G1978">
        <v>1996</v>
      </c>
      <c r="H1978">
        <v>39882</v>
      </c>
      <c r="I1978" t="s">
        <v>104</v>
      </c>
      <c r="J1978" t="s">
        <v>600</v>
      </c>
      <c r="K1978">
        <v>60002</v>
      </c>
      <c r="L1978">
        <v>2800</v>
      </c>
      <c r="M1978">
        <v>8</v>
      </c>
      <c r="N1978">
        <v>3</v>
      </c>
      <c r="O1978">
        <v>0</v>
      </c>
      <c r="P1978" t="s">
        <v>18</v>
      </c>
      <c r="Q1978">
        <v>3</v>
      </c>
      <c r="R1978">
        <v>0</v>
      </c>
      <c r="S1978" t="s">
        <v>21</v>
      </c>
      <c r="T1978">
        <v>2</v>
      </c>
      <c r="U1978">
        <v>2</v>
      </c>
    </row>
    <row r="1979" spans="1:21" x14ac:dyDescent="0.25">
      <c r="A1979">
        <v>9698946</v>
      </c>
      <c r="B1979" t="s">
        <v>15</v>
      </c>
      <c r="C1979" s="1">
        <v>43067</v>
      </c>
      <c r="D1979" s="2">
        <f>YEAR(C1979)</f>
        <v>2017</v>
      </c>
      <c r="E1979">
        <v>310000</v>
      </c>
      <c r="F1979" t="s">
        <v>85</v>
      </c>
      <c r="G1979">
        <v>1918</v>
      </c>
      <c r="H1979">
        <v>2329</v>
      </c>
      <c r="I1979" t="s">
        <v>87</v>
      </c>
      <c r="J1979">
        <v>62</v>
      </c>
      <c r="K1979">
        <v>60062</v>
      </c>
      <c r="L1979">
        <v>1134</v>
      </c>
      <c r="M1979">
        <v>6</v>
      </c>
      <c r="N1979">
        <v>2</v>
      </c>
      <c r="O1979">
        <v>0</v>
      </c>
      <c r="P1979" t="s">
        <v>18</v>
      </c>
      <c r="Q1979">
        <v>3</v>
      </c>
      <c r="R1979">
        <v>0</v>
      </c>
      <c r="S1979" t="s">
        <v>22</v>
      </c>
      <c r="T1979">
        <v>3</v>
      </c>
      <c r="U1979">
        <v>3</v>
      </c>
    </row>
    <row r="1980" spans="1:21" x14ac:dyDescent="0.25">
      <c r="A1980">
        <v>9601648</v>
      </c>
      <c r="B1980" t="s">
        <v>15</v>
      </c>
      <c r="C1980" s="1">
        <v>42901</v>
      </c>
      <c r="D1980" s="2">
        <f>YEAR(C1980)</f>
        <v>2017</v>
      </c>
      <c r="E1980">
        <v>296000</v>
      </c>
      <c r="F1980" t="s">
        <v>85</v>
      </c>
      <c r="G1980">
        <v>1950</v>
      </c>
      <c r="H1980">
        <v>8541</v>
      </c>
      <c r="I1980" t="s">
        <v>130</v>
      </c>
      <c r="J1980">
        <v>76</v>
      </c>
      <c r="K1980">
        <v>60076</v>
      </c>
      <c r="L1980">
        <v>1679</v>
      </c>
      <c r="M1980">
        <v>8</v>
      </c>
      <c r="N1980">
        <v>1</v>
      </c>
      <c r="O1980">
        <v>1</v>
      </c>
      <c r="P1980" t="s">
        <v>18</v>
      </c>
      <c r="Q1980">
        <v>3</v>
      </c>
      <c r="R1980">
        <v>0</v>
      </c>
      <c r="S1980" t="s">
        <v>19</v>
      </c>
      <c r="T1980">
        <v>0</v>
      </c>
      <c r="U1980">
        <v>3</v>
      </c>
    </row>
    <row r="1981" spans="1:21" x14ac:dyDescent="0.25">
      <c r="A1981">
        <v>9497329</v>
      </c>
      <c r="B1981" t="s">
        <v>15</v>
      </c>
      <c r="C1981" s="1">
        <v>42825</v>
      </c>
      <c r="D1981" s="2">
        <f>YEAR(C1981)</f>
        <v>2017</v>
      </c>
      <c r="E1981">
        <v>315000</v>
      </c>
      <c r="F1981" t="s">
        <v>85</v>
      </c>
      <c r="G1981">
        <v>1954</v>
      </c>
      <c r="H1981">
        <v>4935</v>
      </c>
      <c r="I1981" t="s">
        <v>187</v>
      </c>
      <c r="J1981">
        <v>76</v>
      </c>
      <c r="K1981">
        <v>60077</v>
      </c>
      <c r="L1981">
        <v>1519</v>
      </c>
      <c r="M1981">
        <v>7</v>
      </c>
      <c r="N1981">
        <v>2</v>
      </c>
      <c r="O1981">
        <v>0</v>
      </c>
      <c r="P1981" t="s">
        <v>18</v>
      </c>
      <c r="Q1981">
        <v>3</v>
      </c>
      <c r="R1981">
        <v>0</v>
      </c>
      <c r="S1981" t="s">
        <v>19</v>
      </c>
      <c r="T1981">
        <v>0</v>
      </c>
      <c r="U1981">
        <v>3</v>
      </c>
    </row>
    <row r="1982" spans="1:21" x14ac:dyDescent="0.25">
      <c r="A1982">
        <v>9633716</v>
      </c>
      <c r="B1982" t="s">
        <v>15</v>
      </c>
      <c r="C1982" s="1">
        <v>42940</v>
      </c>
      <c r="D1982" s="2">
        <f>YEAR(C1982)</f>
        <v>2017</v>
      </c>
      <c r="E1982">
        <v>330000</v>
      </c>
      <c r="F1982" t="s">
        <v>85</v>
      </c>
      <c r="G1982">
        <v>1954</v>
      </c>
      <c r="H1982">
        <v>306</v>
      </c>
      <c r="I1982" t="s">
        <v>188</v>
      </c>
      <c r="J1982">
        <v>62</v>
      </c>
      <c r="K1982">
        <v>60062</v>
      </c>
      <c r="L1982">
        <v>1231</v>
      </c>
      <c r="M1982">
        <v>7</v>
      </c>
      <c r="N1982">
        <v>2</v>
      </c>
      <c r="O1982">
        <v>0</v>
      </c>
      <c r="P1982" t="s">
        <v>18</v>
      </c>
      <c r="Q1982">
        <v>3</v>
      </c>
      <c r="R1982">
        <v>0</v>
      </c>
      <c r="S1982" t="s">
        <v>19</v>
      </c>
      <c r="T1982">
        <v>0</v>
      </c>
      <c r="U1982">
        <v>3</v>
      </c>
    </row>
    <row r="1983" spans="1:21" x14ac:dyDescent="0.25">
      <c r="A1983">
        <v>9924636</v>
      </c>
      <c r="B1983" t="s">
        <v>15</v>
      </c>
      <c r="C1983" s="1">
        <v>43277</v>
      </c>
      <c r="D1983" s="2">
        <f>YEAR(C1983)</f>
        <v>2018</v>
      </c>
      <c r="E1983">
        <v>315000</v>
      </c>
      <c r="F1983" t="s">
        <v>85</v>
      </c>
      <c r="G1983">
        <v>1956</v>
      </c>
      <c r="H1983">
        <v>9308</v>
      </c>
      <c r="I1983" t="s">
        <v>152</v>
      </c>
      <c r="J1983">
        <v>76</v>
      </c>
      <c r="K1983">
        <v>60076</v>
      </c>
      <c r="L1983">
        <v>1250</v>
      </c>
      <c r="M1983">
        <v>8</v>
      </c>
      <c r="N1983">
        <v>2</v>
      </c>
      <c r="O1983">
        <v>0</v>
      </c>
      <c r="P1983" t="s">
        <v>18</v>
      </c>
      <c r="Q1983">
        <v>2</v>
      </c>
      <c r="R1983">
        <v>1</v>
      </c>
      <c r="S1983" t="s">
        <v>19</v>
      </c>
      <c r="T1983">
        <v>0</v>
      </c>
      <c r="U1983">
        <v>3</v>
      </c>
    </row>
    <row r="1984" spans="1:21" x14ac:dyDescent="0.25">
      <c r="A1984">
        <v>9625336</v>
      </c>
      <c r="B1984" t="s">
        <v>15</v>
      </c>
      <c r="C1984" s="1">
        <v>42951</v>
      </c>
      <c r="D1984" s="2">
        <f>YEAR(C1984)</f>
        <v>2017</v>
      </c>
      <c r="E1984">
        <v>282000</v>
      </c>
      <c r="F1984" t="s">
        <v>85</v>
      </c>
      <c r="G1984">
        <v>1957</v>
      </c>
      <c r="H1984">
        <v>9230</v>
      </c>
      <c r="I1984" t="s">
        <v>233</v>
      </c>
      <c r="J1984">
        <v>76</v>
      </c>
      <c r="K1984">
        <v>60077</v>
      </c>
      <c r="L1984">
        <v>1000</v>
      </c>
      <c r="M1984">
        <v>5</v>
      </c>
      <c r="N1984">
        <v>1</v>
      </c>
      <c r="O1984">
        <v>0</v>
      </c>
      <c r="P1984" t="s">
        <v>18</v>
      </c>
      <c r="Q1984">
        <v>3</v>
      </c>
      <c r="R1984">
        <v>0</v>
      </c>
      <c r="S1984" t="s">
        <v>22</v>
      </c>
      <c r="T1984">
        <v>2</v>
      </c>
      <c r="U1984">
        <v>3</v>
      </c>
    </row>
    <row r="1985" spans="1:21" x14ac:dyDescent="0.25">
      <c r="A1985">
        <v>9856140</v>
      </c>
      <c r="B1985" t="s">
        <v>15</v>
      </c>
      <c r="C1985" s="1">
        <v>43220</v>
      </c>
      <c r="D1985" s="2">
        <f>YEAR(C1985)</f>
        <v>2018</v>
      </c>
      <c r="E1985">
        <v>314500</v>
      </c>
      <c r="F1985" t="s">
        <v>85</v>
      </c>
      <c r="G1985">
        <v>1958</v>
      </c>
      <c r="H1985">
        <v>8717</v>
      </c>
      <c r="I1985" t="s">
        <v>241</v>
      </c>
      <c r="J1985">
        <v>76</v>
      </c>
      <c r="K1985">
        <v>60076</v>
      </c>
      <c r="L1985">
        <v>1900</v>
      </c>
      <c r="M1985">
        <v>8</v>
      </c>
      <c r="N1985">
        <v>2</v>
      </c>
      <c r="O1985">
        <v>1</v>
      </c>
      <c r="P1985" t="s">
        <v>18</v>
      </c>
      <c r="Q1985">
        <v>3</v>
      </c>
      <c r="R1985">
        <v>1</v>
      </c>
      <c r="S1985" t="s">
        <v>22</v>
      </c>
      <c r="T1985">
        <v>1.5</v>
      </c>
      <c r="U1985">
        <v>3</v>
      </c>
    </row>
    <row r="1986" spans="1:21" x14ac:dyDescent="0.25">
      <c r="A1986">
        <v>9818167</v>
      </c>
      <c r="B1986" t="s">
        <v>15</v>
      </c>
      <c r="C1986" s="1">
        <v>43357</v>
      </c>
      <c r="D1986" s="2">
        <f>YEAR(C1986)</f>
        <v>2018</v>
      </c>
      <c r="E1986">
        <v>375000</v>
      </c>
      <c r="F1986" t="s">
        <v>85</v>
      </c>
      <c r="G1986">
        <v>1966</v>
      </c>
      <c r="H1986">
        <v>9943</v>
      </c>
      <c r="I1986" t="s">
        <v>102</v>
      </c>
      <c r="J1986">
        <v>76</v>
      </c>
      <c r="K1986">
        <v>60076</v>
      </c>
      <c r="L1986">
        <v>2400</v>
      </c>
      <c r="M1986">
        <v>8</v>
      </c>
      <c r="N1986">
        <v>3</v>
      </c>
      <c r="O1986">
        <v>0</v>
      </c>
      <c r="P1986" t="s">
        <v>18</v>
      </c>
      <c r="Q1986">
        <v>4</v>
      </c>
      <c r="R1986">
        <v>0</v>
      </c>
      <c r="S1986" t="s">
        <v>19</v>
      </c>
      <c r="T1986">
        <v>0</v>
      </c>
      <c r="U1986">
        <v>3</v>
      </c>
    </row>
    <row r="1987" spans="1:21" x14ac:dyDescent="0.25">
      <c r="A1987">
        <v>9826613</v>
      </c>
      <c r="B1987" t="s">
        <v>15</v>
      </c>
      <c r="C1987" s="1">
        <v>43153</v>
      </c>
      <c r="D1987" s="2">
        <f>YEAR(C1987)</f>
        <v>2018</v>
      </c>
      <c r="E1987">
        <v>235000</v>
      </c>
      <c r="F1987" t="s">
        <v>85</v>
      </c>
      <c r="G1987">
        <v>1973</v>
      </c>
      <c r="H1987">
        <v>2515</v>
      </c>
      <c r="I1987" t="s">
        <v>124</v>
      </c>
      <c r="J1987">
        <v>62</v>
      </c>
      <c r="K1987">
        <v>60062</v>
      </c>
      <c r="L1987">
        <v>1310</v>
      </c>
      <c r="M1987">
        <v>6</v>
      </c>
      <c r="N1987">
        <v>1</v>
      </c>
      <c r="O1987">
        <v>1</v>
      </c>
      <c r="P1987" t="s">
        <v>18</v>
      </c>
      <c r="Q1987">
        <v>3</v>
      </c>
      <c r="R1987">
        <v>0</v>
      </c>
      <c r="S1987" t="s">
        <v>22</v>
      </c>
      <c r="T1987">
        <v>2</v>
      </c>
      <c r="U1987">
        <v>3</v>
      </c>
    </row>
    <row r="1988" spans="1:21" x14ac:dyDescent="0.25">
      <c r="A1988">
        <v>9838153</v>
      </c>
      <c r="B1988" t="s">
        <v>15</v>
      </c>
      <c r="C1988" s="1">
        <v>43262</v>
      </c>
      <c r="D1988" s="2">
        <f>YEAR(C1988)</f>
        <v>2018</v>
      </c>
      <c r="E1988">
        <v>312000</v>
      </c>
      <c r="F1988" t="s">
        <v>85</v>
      </c>
      <c r="G1988">
        <v>1925</v>
      </c>
      <c r="H1988">
        <v>8512</v>
      </c>
      <c r="I1988" t="s">
        <v>62</v>
      </c>
      <c r="J1988">
        <v>76</v>
      </c>
      <c r="K1988">
        <v>60077</v>
      </c>
      <c r="L1988">
        <v>1472</v>
      </c>
      <c r="M1988">
        <v>9</v>
      </c>
      <c r="N1988">
        <v>2</v>
      </c>
      <c r="O1988">
        <v>1</v>
      </c>
      <c r="P1988" t="s">
        <v>79</v>
      </c>
      <c r="Q1988">
        <v>4</v>
      </c>
      <c r="R1988">
        <v>0</v>
      </c>
      <c r="S1988" t="s">
        <v>19</v>
      </c>
      <c r="T1988">
        <v>0</v>
      </c>
      <c r="U1988">
        <v>3</v>
      </c>
    </row>
    <row r="1989" spans="1:21" x14ac:dyDescent="0.25">
      <c r="A1989">
        <v>9969205</v>
      </c>
      <c r="B1989" t="s">
        <v>15</v>
      </c>
      <c r="C1989" s="1">
        <v>43292</v>
      </c>
      <c r="D1989" s="2">
        <f>YEAR(C1989)</f>
        <v>2018</v>
      </c>
      <c r="E1989">
        <v>325000</v>
      </c>
      <c r="F1989" t="s">
        <v>85</v>
      </c>
      <c r="G1989">
        <v>1952</v>
      </c>
      <c r="H1989">
        <v>9040</v>
      </c>
      <c r="I1989" t="s">
        <v>137</v>
      </c>
      <c r="J1989">
        <v>76</v>
      </c>
      <c r="K1989">
        <v>60077</v>
      </c>
      <c r="L1989">
        <v>1312</v>
      </c>
      <c r="M1989">
        <v>9</v>
      </c>
      <c r="N1989">
        <v>2</v>
      </c>
      <c r="O1989">
        <v>0</v>
      </c>
      <c r="P1989" t="s">
        <v>79</v>
      </c>
      <c r="Q1989">
        <v>3</v>
      </c>
      <c r="R1989">
        <v>0</v>
      </c>
      <c r="S1989" t="s">
        <v>19</v>
      </c>
      <c r="T1989">
        <v>0</v>
      </c>
      <c r="U1989">
        <v>3</v>
      </c>
    </row>
    <row r="1990" spans="1:21" x14ac:dyDescent="0.25">
      <c r="A1990">
        <v>9839387</v>
      </c>
      <c r="B1990" t="s">
        <v>15</v>
      </c>
      <c r="C1990" s="1">
        <v>43173</v>
      </c>
      <c r="D1990" s="2">
        <f>YEAR(C1990)</f>
        <v>2018</v>
      </c>
      <c r="E1990">
        <v>345000</v>
      </c>
      <c r="F1990" t="s">
        <v>85</v>
      </c>
      <c r="G1990">
        <v>1953</v>
      </c>
      <c r="H1990">
        <v>8539</v>
      </c>
      <c r="I1990" t="s">
        <v>217</v>
      </c>
      <c r="J1990">
        <v>76</v>
      </c>
      <c r="K1990">
        <v>60076</v>
      </c>
      <c r="L1990">
        <v>1473</v>
      </c>
      <c r="M1990">
        <v>8</v>
      </c>
      <c r="N1990">
        <v>2</v>
      </c>
      <c r="O1990">
        <v>0</v>
      </c>
      <c r="P1990" t="s">
        <v>79</v>
      </c>
      <c r="Q1990">
        <v>3</v>
      </c>
      <c r="R1990">
        <v>0</v>
      </c>
      <c r="S1990" t="s">
        <v>21</v>
      </c>
      <c r="T1990">
        <v>2</v>
      </c>
      <c r="U1990">
        <v>3</v>
      </c>
    </row>
    <row r="1991" spans="1:21" x14ac:dyDescent="0.25">
      <c r="A1991">
        <v>9811166</v>
      </c>
      <c r="B1991" t="s">
        <v>15</v>
      </c>
      <c r="C1991" s="1">
        <v>43159</v>
      </c>
      <c r="D1991" s="2">
        <f>YEAR(C1991)</f>
        <v>2018</v>
      </c>
      <c r="E1991">
        <v>420000</v>
      </c>
      <c r="F1991" t="s">
        <v>85</v>
      </c>
      <c r="G1991">
        <v>1955</v>
      </c>
      <c r="H1991">
        <v>9629</v>
      </c>
      <c r="I1991" t="s">
        <v>102</v>
      </c>
      <c r="J1991">
        <v>76</v>
      </c>
      <c r="K1991">
        <v>60076</v>
      </c>
      <c r="L1991">
        <v>2469</v>
      </c>
      <c r="M1991">
        <v>11</v>
      </c>
      <c r="N1991">
        <v>2</v>
      </c>
      <c r="O1991">
        <v>0</v>
      </c>
      <c r="P1991" t="s">
        <v>79</v>
      </c>
      <c r="Q1991">
        <v>3</v>
      </c>
      <c r="R1991">
        <v>1</v>
      </c>
      <c r="S1991" t="s">
        <v>19</v>
      </c>
      <c r="T1991">
        <v>0</v>
      </c>
      <c r="U1991">
        <v>3</v>
      </c>
    </row>
    <row r="1992" spans="1:21" x14ac:dyDescent="0.25">
      <c r="A1992">
        <v>9967353</v>
      </c>
      <c r="B1992" t="s">
        <v>15</v>
      </c>
      <c r="C1992" s="1">
        <v>43301</v>
      </c>
      <c r="D1992" s="2">
        <f>YEAR(C1992)</f>
        <v>2018</v>
      </c>
      <c r="E1992">
        <v>437500</v>
      </c>
      <c r="F1992" t="s">
        <v>85</v>
      </c>
      <c r="G1992">
        <v>1955</v>
      </c>
      <c r="H1992">
        <v>9614</v>
      </c>
      <c r="I1992" t="s">
        <v>102</v>
      </c>
      <c r="J1992">
        <v>76</v>
      </c>
      <c r="K1992">
        <v>60076</v>
      </c>
      <c r="L1992">
        <v>1401</v>
      </c>
      <c r="M1992">
        <v>8</v>
      </c>
      <c r="N1992">
        <v>3</v>
      </c>
      <c r="O1992">
        <v>0</v>
      </c>
      <c r="P1992" t="s">
        <v>79</v>
      </c>
      <c r="Q1992">
        <v>3</v>
      </c>
      <c r="R1992">
        <v>1</v>
      </c>
      <c r="S1992" t="s">
        <v>19</v>
      </c>
      <c r="T1992">
        <v>0</v>
      </c>
      <c r="U1992">
        <v>3</v>
      </c>
    </row>
    <row r="1993" spans="1:21" x14ac:dyDescent="0.25">
      <c r="A1993">
        <v>9873080</v>
      </c>
      <c r="B1993" t="s">
        <v>15</v>
      </c>
      <c r="C1993" s="1">
        <v>43216</v>
      </c>
      <c r="D1993" s="2">
        <f>YEAR(C1993)</f>
        <v>2018</v>
      </c>
      <c r="E1993">
        <v>287000</v>
      </c>
      <c r="F1993" t="s">
        <v>85</v>
      </c>
      <c r="G1993">
        <v>1955</v>
      </c>
      <c r="H1993">
        <v>1431</v>
      </c>
      <c r="I1993" t="s">
        <v>443</v>
      </c>
      <c r="J1993">
        <v>62</v>
      </c>
      <c r="K1993">
        <v>60062</v>
      </c>
      <c r="L1993">
        <v>1073</v>
      </c>
      <c r="M1993">
        <v>6</v>
      </c>
      <c r="N1993">
        <v>2</v>
      </c>
      <c r="O1993">
        <v>0</v>
      </c>
      <c r="P1993" t="s">
        <v>79</v>
      </c>
      <c r="Q1993">
        <v>3</v>
      </c>
      <c r="R1993">
        <v>0</v>
      </c>
      <c r="S1993" t="s">
        <v>19</v>
      </c>
      <c r="T1993">
        <v>0</v>
      </c>
      <c r="U1993">
        <v>3</v>
      </c>
    </row>
    <row r="1994" spans="1:21" x14ac:dyDescent="0.25">
      <c r="A1994">
        <v>10013865</v>
      </c>
      <c r="B1994" t="s">
        <v>15</v>
      </c>
      <c r="C1994" s="1">
        <v>43403</v>
      </c>
      <c r="D1994" s="2">
        <f>YEAR(C1994)</f>
        <v>2018</v>
      </c>
      <c r="E1994">
        <v>515000</v>
      </c>
      <c r="F1994" t="s">
        <v>85</v>
      </c>
      <c r="G1994">
        <v>1956</v>
      </c>
      <c r="H1994">
        <v>9432</v>
      </c>
      <c r="I1994" t="s">
        <v>152</v>
      </c>
      <c r="J1994">
        <v>76</v>
      </c>
      <c r="K1994">
        <v>60076</v>
      </c>
      <c r="L1994">
        <v>3030</v>
      </c>
      <c r="M1994">
        <v>9</v>
      </c>
      <c r="N1994">
        <v>4</v>
      </c>
      <c r="O1994">
        <v>0</v>
      </c>
      <c r="P1994" t="s">
        <v>79</v>
      </c>
      <c r="Q1994">
        <v>4</v>
      </c>
      <c r="R1994">
        <v>0</v>
      </c>
      <c r="S1994" t="s">
        <v>19</v>
      </c>
      <c r="T1994">
        <v>0</v>
      </c>
      <c r="U1994">
        <v>3</v>
      </c>
    </row>
    <row r="1995" spans="1:21" x14ac:dyDescent="0.25">
      <c r="A1995">
        <v>9563053</v>
      </c>
      <c r="B1995" t="s">
        <v>15</v>
      </c>
      <c r="C1995" s="1">
        <v>42935</v>
      </c>
      <c r="D1995" s="2">
        <f>YEAR(C1995)</f>
        <v>2017</v>
      </c>
      <c r="E1995">
        <v>440500</v>
      </c>
      <c r="F1995" t="s">
        <v>85</v>
      </c>
      <c r="G1995">
        <v>1956</v>
      </c>
      <c r="H1995">
        <v>322</v>
      </c>
      <c r="I1995" t="s">
        <v>188</v>
      </c>
      <c r="J1995">
        <v>62</v>
      </c>
      <c r="K1995">
        <v>60062</v>
      </c>
      <c r="L1995">
        <v>1633</v>
      </c>
      <c r="M1995">
        <v>9</v>
      </c>
      <c r="N1995">
        <v>3</v>
      </c>
      <c r="O1995">
        <v>0</v>
      </c>
      <c r="P1995" t="s">
        <v>79</v>
      </c>
      <c r="Q1995">
        <v>3</v>
      </c>
      <c r="R1995">
        <v>0</v>
      </c>
      <c r="S1995" t="s">
        <v>19</v>
      </c>
      <c r="T1995">
        <v>0</v>
      </c>
      <c r="U1995">
        <v>3</v>
      </c>
    </row>
    <row r="1996" spans="1:21" x14ac:dyDescent="0.25">
      <c r="A1996">
        <v>9492308</v>
      </c>
      <c r="B1996" t="s">
        <v>15</v>
      </c>
      <c r="C1996" s="1">
        <v>42975</v>
      </c>
      <c r="D1996" s="2">
        <f>YEAR(C1996)</f>
        <v>2017</v>
      </c>
      <c r="E1996">
        <v>345000</v>
      </c>
      <c r="F1996" t="s">
        <v>85</v>
      </c>
      <c r="G1996">
        <v>1956</v>
      </c>
      <c r="H1996">
        <v>4944</v>
      </c>
      <c r="I1996" t="s">
        <v>173</v>
      </c>
      <c r="J1996">
        <v>76</v>
      </c>
      <c r="K1996">
        <v>60077</v>
      </c>
      <c r="L1996">
        <v>1347</v>
      </c>
      <c r="M1996">
        <v>7</v>
      </c>
      <c r="N1996">
        <v>2</v>
      </c>
      <c r="O1996">
        <v>0</v>
      </c>
      <c r="P1996" t="s">
        <v>79</v>
      </c>
      <c r="Q1996">
        <v>3</v>
      </c>
      <c r="R1996">
        <v>0</v>
      </c>
      <c r="S1996" t="s">
        <v>19</v>
      </c>
      <c r="T1996">
        <v>0</v>
      </c>
      <c r="U1996">
        <v>3</v>
      </c>
    </row>
    <row r="1997" spans="1:21" x14ac:dyDescent="0.25">
      <c r="A1997">
        <v>9581273</v>
      </c>
      <c r="B1997" t="s">
        <v>15</v>
      </c>
      <c r="C1997" s="1">
        <v>42895</v>
      </c>
      <c r="D1997" s="2">
        <f>YEAR(C1997)</f>
        <v>2017</v>
      </c>
      <c r="E1997">
        <v>305000</v>
      </c>
      <c r="F1997" t="s">
        <v>85</v>
      </c>
      <c r="G1997">
        <v>1959</v>
      </c>
      <c r="H1997">
        <v>3590</v>
      </c>
      <c r="I1997" t="s">
        <v>481</v>
      </c>
      <c r="J1997">
        <v>62</v>
      </c>
      <c r="K1997">
        <v>60062</v>
      </c>
      <c r="L1997">
        <v>1208</v>
      </c>
      <c r="M1997">
        <v>7</v>
      </c>
      <c r="N1997">
        <v>2</v>
      </c>
      <c r="O1997">
        <v>0</v>
      </c>
      <c r="P1997" t="s">
        <v>79</v>
      </c>
      <c r="Q1997">
        <v>3</v>
      </c>
      <c r="R1997">
        <v>0</v>
      </c>
      <c r="S1997" t="s">
        <v>19</v>
      </c>
      <c r="T1997">
        <v>0</v>
      </c>
      <c r="U1997">
        <v>3</v>
      </c>
    </row>
    <row r="1998" spans="1:21" x14ac:dyDescent="0.25">
      <c r="A1998">
        <v>9638170</v>
      </c>
      <c r="B1998" t="s">
        <v>15</v>
      </c>
      <c r="C1998" s="1">
        <v>42947</v>
      </c>
      <c r="D1998" s="2">
        <f>YEAR(C1998)</f>
        <v>2017</v>
      </c>
      <c r="E1998">
        <v>325000</v>
      </c>
      <c r="F1998" t="s">
        <v>85</v>
      </c>
      <c r="G1998">
        <v>1962</v>
      </c>
      <c r="H1998">
        <v>10045</v>
      </c>
      <c r="I1998" t="s">
        <v>26</v>
      </c>
      <c r="J1998">
        <v>76</v>
      </c>
      <c r="K1998">
        <v>60077</v>
      </c>
      <c r="L1998">
        <v>1125</v>
      </c>
      <c r="M1998">
        <v>7</v>
      </c>
      <c r="N1998">
        <v>2</v>
      </c>
      <c r="O1998">
        <v>0</v>
      </c>
      <c r="P1998" t="s">
        <v>79</v>
      </c>
      <c r="Q1998">
        <v>3</v>
      </c>
      <c r="R1998">
        <v>0</v>
      </c>
      <c r="S1998" t="s">
        <v>19</v>
      </c>
      <c r="T1998">
        <v>0</v>
      </c>
      <c r="U1998">
        <v>3</v>
      </c>
    </row>
    <row r="1999" spans="1:21" x14ac:dyDescent="0.25">
      <c r="A1999">
        <v>9607036</v>
      </c>
      <c r="B1999" t="s">
        <v>15</v>
      </c>
      <c r="C1999" s="1">
        <v>42901</v>
      </c>
      <c r="D1999" s="2">
        <f>YEAR(C1999)</f>
        <v>2017</v>
      </c>
      <c r="E1999">
        <v>245000</v>
      </c>
      <c r="F1999" t="s">
        <v>85</v>
      </c>
      <c r="G1999">
        <v>1966</v>
      </c>
      <c r="H1999">
        <v>8136</v>
      </c>
      <c r="I1999" t="s">
        <v>130</v>
      </c>
      <c r="J1999">
        <v>76</v>
      </c>
      <c r="K1999">
        <v>60076</v>
      </c>
      <c r="L1999">
        <v>1373</v>
      </c>
      <c r="M1999">
        <v>8</v>
      </c>
      <c r="N1999">
        <v>2</v>
      </c>
      <c r="O1999">
        <v>0</v>
      </c>
      <c r="P1999" t="s">
        <v>79</v>
      </c>
      <c r="Q1999">
        <v>3</v>
      </c>
      <c r="R1999">
        <v>0</v>
      </c>
      <c r="S1999" t="s">
        <v>19</v>
      </c>
      <c r="T1999">
        <v>0</v>
      </c>
      <c r="U1999">
        <v>3</v>
      </c>
    </row>
    <row r="2000" spans="1:21" x14ac:dyDescent="0.25">
      <c r="A2000">
        <v>10089227</v>
      </c>
      <c r="B2000" t="s">
        <v>15</v>
      </c>
      <c r="C2000" s="1">
        <v>43511</v>
      </c>
      <c r="D2000" s="2">
        <f>YEAR(C2000)</f>
        <v>2019</v>
      </c>
      <c r="E2000">
        <v>435000</v>
      </c>
      <c r="F2000" t="s">
        <v>85</v>
      </c>
      <c r="G2000">
        <v>1969</v>
      </c>
      <c r="H2000">
        <v>8908</v>
      </c>
      <c r="I2000" t="s">
        <v>108</v>
      </c>
      <c r="J2000">
        <v>76</v>
      </c>
      <c r="K2000">
        <v>60076</v>
      </c>
      <c r="L2000">
        <v>2452</v>
      </c>
      <c r="M2000">
        <v>10</v>
      </c>
      <c r="N2000">
        <v>3</v>
      </c>
      <c r="O2000">
        <v>1</v>
      </c>
      <c r="P2000" t="s">
        <v>79</v>
      </c>
      <c r="Q2000">
        <v>4</v>
      </c>
      <c r="R2000">
        <v>1</v>
      </c>
      <c r="S2000" t="s">
        <v>21</v>
      </c>
      <c r="T2000">
        <v>2</v>
      </c>
      <c r="U2000">
        <v>3</v>
      </c>
    </row>
    <row r="2001" spans="1:21" x14ac:dyDescent="0.25">
      <c r="A2001">
        <v>9771095</v>
      </c>
      <c r="B2001" t="s">
        <v>15</v>
      </c>
      <c r="C2001" s="1">
        <v>43280</v>
      </c>
      <c r="D2001" s="2">
        <f>YEAR(C2001)</f>
        <v>2018</v>
      </c>
      <c r="E2001">
        <v>340000</v>
      </c>
      <c r="F2001" t="s">
        <v>85</v>
      </c>
      <c r="G2001">
        <v>1972</v>
      </c>
      <c r="H2001">
        <v>5232</v>
      </c>
      <c r="I2001" t="s">
        <v>203</v>
      </c>
      <c r="J2001">
        <v>76</v>
      </c>
      <c r="K2001">
        <v>60077</v>
      </c>
      <c r="L2001">
        <v>1375</v>
      </c>
      <c r="M2001">
        <v>7</v>
      </c>
      <c r="N2001">
        <v>2</v>
      </c>
      <c r="O2001">
        <v>0</v>
      </c>
      <c r="P2001" t="s">
        <v>79</v>
      </c>
      <c r="Q2001">
        <v>3</v>
      </c>
      <c r="R2001">
        <v>0</v>
      </c>
      <c r="S2001" t="s">
        <v>19</v>
      </c>
      <c r="T2001">
        <v>0</v>
      </c>
      <c r="U2001">
        <v>3</v>
      </c>
    </row>
    <row r="2002" spans="1:21" x14ac:dyDescent="0.25">
      <c r="A2002">
        <v>9709610</v>
      </c>
      <c r="B2002" t="s">
        <v>15</v>
      </c>
      <c r="C2002" s="1">
        <v>43024</v>
      </c>
      <c r="D2002" s="2">
        <f>YEAR(C2002)</f>
        <v>2017</v>
      </c>
      <c r="E2002">
        <v>795000</v>
      </c>
      <c r="F2002" t="s">
        <v>85</v>
      </c>
      <c r="G2002">
        <v>1984</v>
      </c>
      <c r="H2002">
        <v>3621</v>
      </c>
      <c r="I2002" t="s">
        <v>513</v>
      </c>
      <c r="J2002">
        <v>62</v>
      </c>
      <c r="K2002">
        <v>60062</v>
      </c>
      <c r="L2002">
        <v>4862</v>
      </c>
      <c r="M2002">
        <v>15</v>
      </c>
      <c r="N2002">
        <v>5</v>
      </c>
      <c r="O2002">
        <v>1</v>
      </c>
      <c r="P2002" t="s">
        <v>79</v>
      </c>
      <c r="Q2002">
        <v>5</v>
      </c>
      <c r="R2002">
        <v>0</v>
      </c>
      <c r="S2002" t="s">
        <v>21</v>
      </c>
      <c r="T2002">
        <v>3</v>
      </c>
      <c r="U2002">
        <v>3</v>
      </c>
    </row>
    <row r="2003" spans="1:21" x14ac:dyDescent="0.25">
      <c r="A2003" t="str">
        <f>"10658995"</f>
        <v>10658995</v>
      </c>
      <c r="B2003" t="s">
        <v>15</v>
      </c>
      <c r="C2003" s="1">
        <v>43965</v>
      </c>
      <c r="D2003" s="2">
        <f>YEAR(C2003)</f>
        <v>2020</v>
      </c>
      <c r="E2003">
        <v>185000</v>
      </c>
      <c r="F2003" t="s">
        <v>85</v>
      </c>
      <c r="G2003">
        <v>1941</v>
      </c>
      <c r="H2003">
        <v>25966</v>
      </c>
      <c r="I2003" t="s">
        <v>563</v>
      </c>
      <c r="J2003" t="str">
        <f>"2"</f>
        <v>2</v>
      </c>
      <c r="K2003">
        <v>60002</v>
      </c>
      <c r="L2003">
        <v>600</v>
      </c>
      <c r="M2003">
        <v>7</v>
      </c>
      <c r="N2003">
        <v>1</v>
      </c>
      <c r="O2003">
        <v>0</v>
      </c>
      <c r="P2003" t="s">
        <v>18</v>
      </c>
      <c r="Q2003">
        <v>2</v>
      </c>
      <c r="R2003">
        <v>0</v>
      </c>
      <c r="S2003" t="s">
        <v>19</v>
      </c>
      <c r="T2003">
        <v>0</v>
      </c>
      <c r="U2003">
        <v>3</v>
      </c>
    </row>
    <row r="2004" spans="1:21" x14ac:dyDescent="0.25">
      <c r="A2004" t="str">
        <f>"10267705"</f>
        <v>10267705</v>
      </c>
      <c r="B2004" t="s">
        <v>15</v>
      </c>
      <c r="C2004" s="1">
        <v>43578</v>
      </c>
      <c r="D2004" s="2">
        <f>YEAR(C2004)</f>
        <v>2019</v>
      </c>
      <c r="E2004">
        <v>75000</v>
      </c>
      <c r="F2004" t="s">
        <v>85</v>
      </c>
      <c r="G2004" t="s">
        <v>560</v>
      </c>
      <c r="H2004">
        <v>42369</v>
      </c>
      <c r="I2004" t="s">
        <v>280</v>
      </c>
      <c r="J2004" t="str">
        <f>"2"</f>
        <v>2</v>
      </c>
      <c r="K2004">
        <v>60002</v>
      </c>
      <c r="L2004">
        <v>660</v>
      </c>
      <c r="M2004">
        <v>6</v>
      </c>
      <c r="N2004">
        <v>1</v>
      </c>
      <c r="O2004">
        <v>0</v>
      </c>
      <c r="P2004" t="s">
        <v>18</v>
      </c>
      <c r="Q2004">
        <v>2</v>
      </c>
      <c r="R2004">
        <v>0</v>
      </c>
      <c r="S2004" t="s">
        <v>19</v>
      </c>
      <c r="T2004">
        <v>0</v>
      </c>
      <c r="U2004">
        <v>3</v>
      </c>
    </row>
    <row r="2005" spans="1:21" x14ac:dyDescent="0.25">
      <c r="A2005" t="str">
        <f>"10545033"</f>
        <v>10545033</v>
      </c>
      <c r="B2005" t="s">
        <v>15</v>
      </c>
      <c r="C2005" s="1">
        <v>43809</v>
      </c>
      <c r="D2005" s="2">
        <f>YEAR(C2005)</f>
        <v>2019</v>
      </c>
      <c r="E2005">
        <v>105000</v>
      </c>
      <c r="F2005" t="s">
        <v>85</v>
      </c>
      <c r="G2005">
        <v>1935</v>
      </c>
      <c r="H2005">
        <v>40218</v>
      </c>
      <c r="I2005" t="s">
        <v>575</v>
      </c>
      <c r="J2005" t="str">
        <f>"2"</f>
        <v>2</v>
      </c>
      <c r="K2005">
        <v>60002</v>
      </c>
      <c r="L2005">
        <v>800</v>
      </c>
      <c r="M2005">
        <v>4</v>
      </c>
      <c r="N2005">
        <v>1</v>
      </c>
      <c r="O2005">
        <v>0</v>
      </c>
      <c r="P2005" t="s">
        <v>18</v>
      </c>
      <c r="Q2005">
        <v>1</v>
      </c>
      <c r="R2005">
        <v>0</v>
      </c>
      <c r="S2005" t="s">
        <v>19</v>
      </c>
      <c r="T2005">
        <v>0</v>
      </c>
      <c r="U2005">
        <v>3</v>
      </c>
    </row>
    <row r="2006" spans="1:21" x14ac:dyDescent="0.25">
      <c r="A2006" t="str">
        <f>"10709107"</f>
        <v>10709107</v>
      </c>
      <c r="B2006" t="s">
        <v>15</v>
      </c>
      <c r="C2006" s="1">
        <v>43984</v>
      </c>
      <c r="D2006" s="2">
        <f>YEAR(C2006)</f>
        <v>2020</v>
      </c>
      <c r="E2006">
        <v>84000</v>
      </c>
      <c r="F2006" t="s">
        <v>85</v>
      </c>
      <c r="G2006">
        <v>1973</v>
      </c>
      <c r="H2006">
        <v>306</v>
      </c>
      <c r="I2006" t="s">
        <v>52</v>
      </c>
      <c r="J2006" t="str">
        <f>"2"</f>
        <v>2</v>
      </c>
      <c r="K2006">
        <v>60002</v>
      </c>
      <c r="L2006">
        <v>825</v>
      </c>
      <c r="M2006">
        <v>8</v>
      </c>
      <c r="N2006">
        <v>1</v>
      </c>
      <c r="O2006">
        <v>1</v>
      </c>
      <c r="P2006" t="s">
        <v>79</v>
      </c>
      <c r="Q2006">
        <v>4</v>
      </c>
      <c r="R2006">
        <v>0</v>
      </c>
      <c r="S2006" t="s">
        <v>19</v>
      </c>
      <c r="T2006">
        <v>0</v>
      </c>
      <c r="U2006">
        <v>3</v>
      </c>
    </row>
    <row r="2007" spans="1:21" x14ac:dyDescent="0.25">
      <c r="A2007" t="str">
        <f>"10373397"</f>
        <v>10373397</v>
      </c>
      <c r="B2007" t="s">
        <v>15</v>
      </c>
      <c r="C2007" s="1">
        <v>43643</v>
      </c>
      <c r="D2007" s="2">
        <f>YEAR(C2007)</f>
        <v>2019</v>
      </c>
      <c r="E2007">
        <v>136000</v>
      </c>
      <c r="F2007" t="s">
        <v>85</v>
      </c>
      <c r="G2007">
        <v>1970</v>
      </c>
      <c r="H2007">
        <v>25124</v>
      </c>
      <c r="I2007" t="s">
        <v>224</v>
      </c>
      <c r="J2007" t="str">
        <f>"2"</f>
        <v>2</v>
      </c>
      <c r="K2007">
        <v>60002</v>
      </c>
      <c r="L2007">
        <v>852</v>
      </c>
      <c r="M2007">
        <v>6</v>
      </c>
      <c r="N2007">
        <v>1</v>
      </c>
      <c r="O2007">
        <v>0</v>
      </c>
      <c r="P2007" t="s">
        <v>18</v>
      </c>
      <c r="Q2007">
        <v>2</v>
      </c>
      <c r="R2007">
        <v>0</v>
      </c>
      <c r="S2007" t="s">
        <v>19</v>
      </c>
      <c r="T2007">
        <v>0</v>
      </c>
      <c r="U2007">
        <v>3</v>
      </c>
    </row>
    <row r="2008" spans="1:21" x14ac:dyDescent="0.25">
      <c r="A2008" t="str">
        <f>"10771073"</f>
        <v>10771073</v>
      </c>
      <c r="B2008" t="s">
        <v>15</v>
      </c>
      <c r="C2008" s="1">
        <v>44074</v>
      </c>
      <c r="D2008" s="2">
        <f>YEAR(C2008)</f>
        <v>2020</v>
      </c>
      <c r="E2008">
        <v>108000</v>
      </c>
      <c r="F2008" t="s">
        <v>85</v>
      </c>
      <c r="G2008">
        <v>1965</v>
      </c>
      <c r="H2008">
        <v>42761</v>
      </c>
      <c r="I2008" t="s">
        <v>570</v>
      </c>
      <c r="J2008" t="str">
        <f>"2"</f>
        <v>2</v>
      </c>
      <c r="K2008">
        <v>60002</v>
      </c>
      <c r="L2008">
        <v>896</v>
      </c>
      <c r="M2008">
        <v>5</v>
      </c>
      <c r="N2008">
        <v>1</v>
      </c>
      <c r="O2008">
        <v>0</v>
      </c>
      <c r="P2008" t="s">
        <v>18</v>
      </c>
      <c r="Q2008">
        <v>2</v>
      </c>
      <c r="R2008">
        <v>0</v>
      </c>
      <c r="S2008" t="s">
        <v>19</v>
      </c>
      <c r="T2008">
        <v>0</v>
      </c>
      <c r="U2008">
        <v>3</v>
      </c>
    </row>
    <row r="2009" spans="1:21" x14ac:dyDescent="0.25">
      <c r="A2009" t="str">
        <f>"10687504"</f>
        <v>10687504</v>
      </c>
      <c r="B2009" t="s">
        <v>15</v>
      </c>
      <c r="C2009" s="1">
        <v>44033</v>
      </c>
      <c r="D2009" s="2">
        <f>YEAR(C2009)</f>
        <v>2020</v>
      </c>
      <c r="E2009">
        <v>98000</v>
      </c>
      <c r="F2009" t="s">
        <v>85</v>
      </c>
      <c r="G2009">
        <v>1958</v>
      </c>
      <c r="H2009">
        <v>261</v>
      </c>
      <c r="I2009" t="s">
        <v>158</v>
      </c>
      <c r="J2009" t="str">
        <f>"2"</f>
        <v>2</v>
      </c>
      <c r="K2009">
        <v>60002</v>
      </c>
      <c r="L2009">
        <v>900</v>
      </c>
      <c r="M2009">
        <v>4</v>
      </c>
      <c r="N2009">
        <v>1</v>
      </c>
      <c r="O2009">
        <v>0</v>
      </c>
      <c r="P2009" t="s">
        <v>18</v>
      </c>
      <c r="Q2009">
        <v>2</v>
      </c>
      <c r="R2009">
        <v>0</v>
      </c>
      <c r="S2009" t="s">
        <v>19</v>
      </c>
      <c r="T2009">
        <v>0</v>
      </c>
      <c r="U2009">
        <v>3</v>
      </c>
    </row>
    <row r="2010" spans="1:21" x14ac:dyDescent="0.25">
      <c r="A2010" t="str">
        <f>"10489103"</f>
        <v>10489103</v>
      </c>
      <c r="B2010" t="s">
        <v>15</v>
      </c>
      <c r="C2010" s="1">
        <v>44042</v>
      </c>
      <c r="D2010" s="2">
        <f>YEAR(C2010)</f>
        <v>2020</v>
      </c>
      <c r="E2010">
        <v>115000</v>
      </c>
      <c r="F2010" t="s">
        <v>85</v>
      </c>
      <c r="G2010">
        <v>1950</v>
      </c>
      <c r="H2010">
        <v>25044</v>
      </c>
      <c r="I2010" t="s">
        <v>130</v>
      </c>
      <c r="J2010" t="str">
        <f>"2"</f>
        <v>2</v>
      </c>
      <c r="K2010">
        <v>60002</v>
      </c>
      <c r="L2010">
        <v>1158</v>
      </c>
      <c r="M2010">
        <v>6</v>
      </c>
      <c r="N2010">
        <v>2</v>
      </c>
      <c r="O2010">
        <v>0</v>
      </c>
      <c r="P2010" t="s">
        <v>18</v>
      </c>
      <c r="Q2010">
        <v>2</v>
      </c>
      <c r="R2010">
        <v>0</v>
      </c>
      <c r="S2010" t="s">
        <v>19</v>
      </c>
      <c r="T2010">
        <v>0</v>
      </c>
      <c r="U2010">
        <v>3</v>
      </c>
    </row>
    <row r="2011" spans="1:21" x14ac:dyDescent="0.25">
      <c r="A2011" t="str">
        <f>"10854768"</f>
        <v>10854768</v>
      </c>
      <c r="B2011" t="s">
        <v>15</v>
      </c>
      <c r="C2011" s="1">
        <v>44137</v>
      </c>
      <c r="D2011" s="2">
        <f>YEAR(C2011)</f>
        <v>2020</v>
      </c>
      <c r="E2011">
        <v>150000</v>
      </c>
      <c r="F2011" t="s">
        <v>85</v>
      </c>
      <c r="G2011">
        <v>1960</v>
      </c>
      <c r="H2011">
        <v>26570</v>
      </c>
      <c r="I2011" t="s">
        <v>538</v>
      </c>
      <c r="J2011" t="str">
        <f>"2"</f>
        <v>2</v>
      </c>
      <c r="K2011">
        <v>60002</v>
      </c>
      <c r="L2011">
        <v>1204</v>
      </c>
      <c r="M2011">
        <v>5</v>
      </c>
      <c r="N2011">
        <v>1</v>
      </c>
      <c r="O2011">
        <v>0</v>
      </c>
      <c r="P2011" t="s">
        <v>18</v>
      </c>
      <c r="Q2011">
        <v>2</v>
      </c>
      <c r="R2011">
        <v>0</v>
      </c>
      <c r="S2011" t="s">
        <v>19</v>
      </c>
      <c r="T2011">
        <v>0</v>
      </c>
      <c r="U2011">
        <v>3</v>
      </c>
    </row>
    <row r="2012" spans="1:21" x14ac:dyDescent="0.25">
      <c r="A2012" t="str">
        <f>"10775760"</f>
        <v>10775760</v>
      </c>
      <c r="B2012" t="s">
        <v>15</v>
      </c>
      <c r="C2012" s="1">
        <v>44117</v>
      </c>
      <c r="D2012" s="2">
        <f>YEAR(C2012)</f>
        <v>2020</v>
      </c>
      <c r="E2012">
        <v>160000</v>
      </c>
      <c r="F2012" t="s">
        <v>85</v>
      </c>
      <c r="G2012">
        <v>1963</v>
      </c>
      <c r="H2012">
        <v>22225</v>
      </c>
      <c r="I2012" t="s">
        <v>660</v>
      </c>
      <c r="J2012" t="str">
        <f>"2"</f>
        <v>2</v>
      </c>
      <c r="K2012">
        <v>60002</v>
      </c>
      <c r="L2012">
        <v>1298</v>
      </c>
      <c r="M2012">
        <v>6</v>
      </c>
      <c r="N2012">
        <v>1</v>
      </c>
      <c r="O2012">
        <v>0</v>
      </c>
      <c r="P2012" t="s">
        <v>18</v>
      </c>
      <c r="Q2012">
        <v>3</v>
      </c>
      <c r="R2012">
        <v>0</v>
      </c>
      <c r="S2012" t="s">
        <v>19</v>
      </c>
      <c r="T2012">
        <v>0</v>
      </c>
      <c r="U2012">
        <v>3</v>
      </c>
    </row>
    <row r="2013" spans="1:21" x14ac:dyDescent="0.25">
      <c r="A2013" t="str">
        <f>"10335653"</f>
        <v>10335653</v>
      </c>
      <c r="B2013" t="s">
        <v>15</v>
      </c>
      <c r="C2013" s="1">
        <v>43711</v>
      </c>
      <c r="D2013" s="2">
        <f>YEAR(C2013)</f>
        <v>2019</v>
      </c>
      <c r="E2013">
        <v>369500</v>
      </c>
      <c r="F2013" t="s">
        <v>85</v>
      </c>
      <c r="G2013" t="s">
        <v>560</v>
      </c>
      <c r="H2013">
        <v>43411</v>
      </c>
      <c r="I2013" t="s">
        <v>570</v>
      </c>
      <c r="J2013" t="str">
        <f>"2"</f>
        <v>2</v>
      </c>
      <c r="K2013">
        <v>60002</v>
      </c>
      <c r="L2013">
        <v>1430</v>
      </c>
      <c r="M2013">
        <v>7</v>
      </c>
      <c r="N2013">
        <v>2</v>
      </c>
      <c r="O2013">
        <v>0</v>
      </c>
      <c r="P2013" t="s">
        <v>18</v>
      </c>
      <c r="Q2013">
        <v>3</v>
      </c>
      <c r="R2013">
        <v>0</v>
      </c>
      <c r="S2013" t="s">
        <v>22</v>
      </c>
      <c r="T2013">
        <v>2</v>
      </c>
      <c r="U2013">
        <v>3</v>
      </c>
    </row>
    <row r="2014" spans="1:21" x14ac:dyDescent="0.25">
      <c r="A2014" t="str">
        <f>"10820671"</f>
        <v>10820671</v>
      </c>
      <c r="B2014" t="s">
        <v>15</v>
      </c>
      <c r="C2014" s="1">
        <v>44126</v>
      </c>
      <c r="D2014" s="2">
        <f>YEAR(C2014)</f>
        <v>2020</v>
      </c>
      <c r="E2014">
        <v>115000</v>
      </c>
      <c r="F2014" t="s">
        <v>85</v>
      </c>
      <c r="G2014">
        <v>1940</v>
      </c>
      <c r="H2014">
        <v>42176</v>
      </c>
      <c r="I2014" t="s">
        <v>573</v>
      </c>
      <c r="J2014" t="str">
        <f>"2"</f>
        <v>2</v>
      </c>
      <c r="K2014">
        <v>60002</v>
      </c>
      <c r="L2014">
        <v>1529</v>
      </c>
      <c r="M2014">
        <v>5</v>
      </c>
      <c r="N2014">
        <v>1</v>
      </c>
      <c r="O2014">
        <v>0</v>
      </c>
      <c r="P2014" t="s">
        <v>18</v>
      </c>
      <c r="Q2014">
        <v>3</v>
      </c>
      <c r="R2014">
        <v>0</v>
      </c>
      <c r="S2014" t="s">
        <v>21</v>
      </c>
      <c r="T2014">
        <v>1</v>
      </c>
      <c r="U2014">
        <v>3</v>
      </c>
    </row>
    <row r="2015" spans="1:21" x14ac:dyDescent="0.25">
      <c r="A2015" t="str">
        <f>"10656028"</f>
        <v>10656028</v>
      </c>
      <c r="B2015" t="s">
        <v>15</v>
      </c>
      <c r="C2015" s="1">
        <v>43917</v>
      </c>
      <c r="D2015" s="2">
        <f>YEAR(C2015)</f>
        <v>2020</v>
      </c>
      <c r="E2015">
        <v>92000</v>
      </c>
      <c r="F2015" t="s">
        <v>85</v>
      </c>
      <c r="G2015">
        <v>1960</v>
      </c>
      <c r="H2015">
        <v>26127</v>
      </c>
      <c r="I2015" t="s">
        <v>715</v>
      </c>
      <c r="J2015" t="str">
        <f>"2"</f>
        <v>2</v>
      </c>
      <c r="K2015">
        <v>60002</v>
      </c>
      <c r="L2015">
        <v>1535</v>
      </c>
      <c r="M2015">
        <v>7</v>
      </c>
      <c r="N2015">
        <v>1</v>
      </c>
      <c r="O2015">
        <v>1</v>
      </c>
      <c r="P2015" t="s">
        <v>18</v>
      </c>
      <c r="Q2015">
        <v>3</v>
      </c>
      <c r="R2015">
        <v>0</v>
      </c>
      <c r="S2015" t="s">
        <v>19</v>
      </c>
      <c r="T2015">
        <v>0</v>
      </c>
      <c r="U2015">
        <v>3</v>
      </c>
    </row>
    <row r="2016" spans="1:21" x14ac:dyDescent="0.25">
      <c r="A2016" t="str">
        <f>"10440310"</f>
        <v>10440310</v>
      </c>
      <c r="B2016" t="s">
        <v>15</v>
      </c>
      <c r="C2016" s="1">
        <v>43724</v>
      </c>
      <c r="D2016" s="2">
        <f>YEAR(C2016)</f>
        <v>2019</v>
      </c>
      <c r="E2016">
        <v>209900</v>
      </c>
      <c r="F2016" t="s">
        <v>85</v>
      </c>
      <c r="G2016">
        <v>1962</v>
      </c>
      <c r="H2016">
        <v>249</v>
      </c>
      <c r="I2016" t="s">
        <v>572</v>
      </c>
      <c r="J2016" t="str">
        <f>"2"</f>
        <v>2</v>
      </c>
      <c r="K2016">
        <v>60002</v>
      </c>
      <c r="L2016">
        <v>1617</v>
      </c>
      <c r="M2016">
        <v>8</v>
      </c>
      <c r="N2016">
        <v>2</v>
      </c>
      <c r="O2016">
        <v>0</v>
      </c>
      <c r="P2016" t="s">
        <v>18</v>
      </c>
      <c r="Q2016">
        <v>4</v>
      </c>
      <c r="R2016">
        <v>0</v>
      </c>
      <c r="S2016" t="s">
        <v>22</v>
      </c>
      <c r="T2016">
        <v>3</v>
      </c>
      <c r="U2016">
        <v>3</v>
      </c>
    </row>
    <row r="2017" spans="1:21" x14ac:dyDescent="0.25">
      <c r="A2017" t="str">
        <f>"10665553"</f>
        <v>10665553</v>
      </c>
      <c r="B2017" t="s">
        <v>15</v>
      </c>
      <c r="C2017" s="1">
        <v>44012</v>
      </c>
      <c r="D2017" s="2">
        <f>YEAR(C2017)</f>
        <v>2020</v>
      </c>
      <c r="E2017">
        <v>169900</v>
      </c>
      <c r="F2017" t="s">
        <v>85</v>
      </c>
      <c r="G2017">
        <v>1960</v>
      </c>
      <c r="H2017">
        <v>25067</v>
      </c>
      <c r="I2017" t="s">
        <v>743</v>
      </c>
      <c r="J2017" t="str">
        <f>"2"</f>
        <v>2</v>
      </c>
      <c r="K2017">
        <v>60002</v>
      </c>
      <c r="L2017">
        <v>1665</v>
      </c>
      <c r="M2017">
        <v>5</v>
      </c>
      <c r="N2017">
        <v>2</v>
      </c>
      <c r="O2017">
        <v>0</v>
      </c>
      <c r="P2017" t="s">
        <v>18</v>
      </c>
      <c r="Q2017">
        <v>3</v>
      </c>
      <c r="R2017">
        <v>0</v>
      </c>
      <c r="S2017" t="s">
        <v>19</v>
      </c>
      <c r="T2017">
        <v>0</v>
      </c>
      <c r="U2017">
        <v>3</v>
      </c>
    </row>
    <row r="2018" spans="1:21" x14ac:dyDescent="0.25">
      <c r="A2018" t="str">
        <f>"10362558"</f>
        <v>10362558</v>
      </c>
      <c r="B2018" t="s">
        <v>15</v>
      </c>
      <c r="C2018" s="1">
        <v>43675</v>
      </c>
      <c r="D2018" s="2">
        <f>YEAR(C2018)</f>
        <v>2019</v>
      </c>
      <c r="E2018">
        <v>135000</v>
      </c>
      <c r="F2018" t="s">
        <v>85</v>
      </c>
      <c r="G2018">
        <v>1960</v>
      </c>
      <c r="H2018">
        <v>329</v>
      </c>
      <c r="I2018" t="s">
        <v>718</v>
      </c>
      <c r="J2018" t="str">
        <f>"2"</f>
        <v>2</v>
      </c>
      <c r="K2018">
        <v>60002</v>
      </c>
      <c r="L2018">
        <v>1888</v>
      </c>
      <c r="M2018">
        <v>4</v>
      </c>
      <c r="N2018">
        <v>1</v>
      </c>
      <c r="O2018">
        <v>1</v>
      </c>
      <c r="P2018" t="s">
        <v>79</v>
      </c>
      <c r="Q2018">
        <v>2</v>
      </c>
      <c r="R2018">
        <v>0</v>
      </c>
      <c r="S2018" t="s">
        <v>19</v>
      </c>
      <c r="T2018">
        <v>0</v>
      </c>
      <c r="U2018">
        <v>3</v>
      </c>
    </row>
    <row r="2019" spans="1:21" x14ac:dyDescent="0.25">
      <c r="A2019" t="str">
        <f>"10746182"</f>
        <v>10746182</v>
      </c>
      <c r="B2019" t="s">
        <v>15</v>
      </c>
      <c r="C2019" s="1">
        <v>44035</v>
      </c>
      <c r="D2019" s="2">
        <f>YEAR(C2019)</f>
        <v>2020</v>
      </c>
      <c r="E2019">
        <v>157000</v>
      </c>
      <c r="F2019" t="s">
        <v>85</v>
      </c>
      <c r="G2019" t="s">
        <v>560</v>
      </c>
      <c r="H2019">
        <v>26631</v>
      </c>
      <c r="I2019" t="s">
        <v>172</v>
      </c>
      <c r="J2019" t="str">
        <f>"2"</f>
        <v>2</v>
      </c>
      <c r="K2019">
        <v>60002</v>
      </c>
      <c r="L2019">
        <v>2433</v>
      </c>
      <c r="M2019">
        <v>7</v>
      </c>
      <c r="N2019">
        <v>1</v>
      </c>
      <c r="O2019">
        <v>0</v>
      </c>
      <c r="P2019" t="s">
        <v>18</v>
      </c>
      <c r="Q2019">
        <v>4</v>
      </c>
      <c r="R2019">
        <v>0</v>
      </c>
      <c r="S2019" t="s">
        <v>19</v>
      </c>
      <c r="T2019">
        <v>0</v>
      </c>
      <c r="U2019">
        <v>3</v>
      </c>
    </row>
    <row r="2020" spans="1:21" x14ac:dyDescent="0.25">
      <c r="A2020" t="str">
        <f>"10677789"</f>
        <v>10677789</v>
      </c>
      <c r="B2020" t="s">
        <v>15</v>
      </c>
      <c r="C2020" s="1">
        <v>44041</v>
      </c>
      <c r="D2020" s="2">
        <f>YEAR(C2020)</f>
        <v>2020</v>
      </c>
      <c r="E2020">
        <v>354900</v>
      </c>
      <c r="F2020" t="s">
        <v>85</v>
      </c>
      <c r="G2020">
        <v>2006</v>
      </c>
      <c r="H2020">
        <v>987</v>
      </c>
      <c r="I2020" t="s">
        <v>893</v>
      </c>
      <c r="J2020" t="str">
        <f>"2"</f>
        <v>2</v>
      </c>
      <c r="K2020">
        <v>60002</v>
      </c>
      <c r="L2020">
        <v>3013</v>
      </c>
      <c r="M2020">
        <v>9</v>
      </c>
      <c r="N2020">
        <v>3</v>
      </c>
      <c r="O2020">
        <v>0</v>
      </c>
      <c r="P2020" t="s">
        <v>18</v>
      </c>
      <c r="Q2020">
        <v>5</v>
      </c>
      <c r="R2020">
        <v>0</v>
      </c>
      <c r="S2020" t="s">
        <v>21</v>
      </c>
      <c r="T2020">
        <v>3</v>
      </c>
      <c r="U2020">
        <v>3</v>
      </c>
    </row>
    <row r="2021" spans="1:21" x14ac:dyDescent="0.25">
      <c r="A2021" t="str">
        <f>"10408151"</f>
        <v>10408151</v>
      </c>
      <c r="B2021" t="s">
        <v>15</v>
      </c>
      <c r="C2021" s="1">
        <v>43832</v>
      </c>
      <c r="D2021" s="2">
        <f>YEAR(C2021)</f>
        <v>2020</v>
      </c>
      <c r="E2021">
        <v>225000</v>
      </c>
      <c r="F2021" t="s">
        <v>85</v>
      </c>
      <c r="G2021">
        <v>2005</v>
      </c>
      <c r="H2021">
        <v>622</v>
      </c>
      <c r="I2021" t="s">
        <v>913</v>
      </c>
      <c r="J2021" t="str">
        <f>"2"</f>
        <v>2</v>
      </c>
      <c r="K2021">
        <v>60002</v>
      </c>
      <c r="L2021">
        <v>3380</v>
      </c>
      <c r="M2021">
        <v>9</v>
      </c>
      <c r="N2021">
        <v>3</v>
      </c>
      <c r="O2021">
        <v>1</v>
      </c>
      <c r="P2021" t="s">
        <v>79</v>
      </c>
      <c r="Q2021">
        <v>4</v>
      </c>
      <c r="R2021">
        <v>0</v>
      </c>
      <c r="S2021" t="s">
        <v>21</v>
      </c>
      <c r="T2021">
        <v>3</v>
      </c>
      <c r="U2021">
        <v>3</v>
      </c>
    </row>
    <row r="2022" spans="1:21" x14ac:dyDescent="0.25">
      <c r="A2022" t="str">
        <f>"10546128"</f>
        <v>10546128</v>
      </c>
      <c r="B2022" t="s">
        <v>15</v>
      </c>
      <c r="C2022" s="1">
        <v>43826</v>
      </c>
      <c r="D2022" s="2">
        <f>YEAR(C2022)</f>
        <v>2019</v>
      </c>
      <c r="E2022">
        <v>324500</v>
      </c>
      <c r="F2022" t="s">
        <v>85</v>
      </c>
      <c r="G2022">
        <v>2003</v>
      </c>
      <c r="H2022">
        <v>601</v>
      </c>
      <c r="I2022" t="s">
        <v>924</v>
      </c>
      <c r="J2022" t="str">
        <f>"2"</f>
        <v>2</v>
      </c>
      <c r="K2022">
        <v>60002</v>
      </c>
      <c r="L2022">
        <v>3855</v>
      </c>
      <c r="M2022">
        <v>10</v>
      </c>
      <c r="N2022">
        <v>3</v>
      </c>
      <c r="O2022">
        <v>1</v>
      </c>
      <c r="P2022" t="s">
        <v>79</v>
      </c>
      <c r="Q2022">
        <v>4</v>
      </c>
      <c r="R2022">
        <v>1</v>
      </c>
      <c r="S2022" t="s">
        <v>21</v>
      </c>
      <c r="T2022">
        <v>3</v>
      </c>
      <c r="U2022">
        <v>3</v>
      </c>
    </row>
    <row r="2023" spans="1:21" x14ac:dyDescent="0.25">
      <c r="A2023" t="str">
        <f>"10602407"</f>
        <v>10602407</v>
      </c>
      <c r="B2023" t="s">
        <v>15</v>
      </c>
      <c r="C2023" s="1">
        <v>43892</v>
      </c>
      <c r="D2023" s="2">
        <f>YEAR(C2023)</f>
        <v>2020</v>
      </c>
      <c r="E2023">
        <v>320000</v>
      </c>
      <c r="F2023" t="s">
        <v>85</v>
      </c>
      <c r="G2023">
        <v>1970</v>
      </c>
      <c r="H2023">
        <v>400</v>
      </c>
      <c r="I2023" t="s">
        <v>930</v>
      </c>
      <c r="J2023" t="str">
        <f>"2"</f>
        <v>2</v>
      </c>
      <c r="K2023">
        <v>60002</v>
      </c>
      <c r="L2023">
        <v>4581</v>
      </c>
      <c r="M2023">
        <v>12</v>
      </c>
      <c r="N2023">
        <v>3</v>
      </c>
      <c r="O2023">
        <v>1</v>
      </c>
      <c r="P2023" t="s">
        <v>18</v>
      </c>
      <c r="Q2023">
        <v>5</v>
      </c>
      <c r="R2023">
        <v>0</v>
      </c>
      <c r="S2023" t="s">
        <v>21</v>
      </c>
      <c r="T2023">
        <v>3</v>
      </c>
      <c r="U2023">
        <v>3</v>
      </c>
    </row>
    <row r="2024" spans="1:21" x14ac:dyDescent="0.25">
      <c r="A2024">
        <v>10048703</v>
      </c>
      <c r="B2024" t="s">
        <v>15</v>
      </c>
      <c r="C2024" s="1">
        <v>43472</v>
      </c>
      <c r="D2024" s="2">
        <f>YEAR(C2024)</f>
        <v>2019</v>
      </c>
      <c r="E2024">
        <v>425000</v>
      </c>
      <c r="F2024" t="s">
        <v>85</v>
      </c>
      <c r="G2024">
        <v>1954</v>
      </c>
      <c r="H2024">
        <v>9655</v>
      </c>
      <c r="I2024" t="s">
        <v>112</v>
      </c>
      <c r="J2024">
        <v>76</v>
      </c>
      <c r="K2024">
        <v>60076</v>
      </c>
      <c r="L2024">
        <v>2861</v>
      </c>
      <c r="M2024">
        <v>10</v>
      </c>
      <c r="N2024">
        <v>3</v>
      </c>
      <c r="O2024">
        <v>0</v>
      </c>
      <c r="P2024" t="s">
        <v>18</v>
      </c>
      <c r="Q2024">
        <v>6</v>
      </c>
      <c r="R2024">
        <v>0</v>
      </c>
      <c r="S2024" t="s">
        <v>19</v>
      </c>
      <c r="T2024">
        <v>0</v>
      </c>
      <c r="U2024">
        <v>4</v>
      </c>
    </row>
    <row r="2025" spans="1:21" x14ac:dyDescent="0.25">
      <c r="A2025">
        <v>9809832</v>
      </c>
      <c r="B2025" t="s">
        <v>15</v>
      </c>
      <c r="C2025" s="1">
        <v>43231</v>
      </c>
      <c r="D2025" s="2">
        <f>YEAR(C2025)</f>
        <v>2018</v>
      </c>
      <c r="E2025">
        <v>469000</v>
      </c>
      <c r="F2025" t="s">
        <v>85</v>
      </c>
      <c r="G2025">
        <v>1955</v>
      </c>
      <c r="H2025">
        <v>9330</v>
      </c>
      <c r="I2025" t="s">
        <v>97</v>
      </c>
      <c r="J2025">
        <v>76</v>
      </c>
      <c r="K2025">
        <v>60076</v>
      </c>
      <c r="L2025">
        <v>2008</v>
      </c>
      <c r="M2025">
        <v>9</v>
      </c>
      <c r="N2025">
        <v>2</v>
      </c>
      <c r="O2025">
        <v>0</v>
      </c>
      <c r="P2025" t="s">
        <v>18</v>
      </c>
      <c r="Q2025">
        <v>4</v>
      </c>
      <c r="R2025">
        <v>0</v>
      </c>
      <c r="S2025" t="s">
        <v>19</v>
      </c>
      <c r="T2025">
        <v>0</v>
      </c>
      <c r="U2025">
        <v>4</v>
      </c>
    </row>
    <row r="2026" spans="1:21" x14ac:dyDescent="0.25">
      <c r="A2026">
        <v>9398321</v>
      </c>
      <c r="B2026" t="s">
        <v>15</v>
      </c>
      <c r="C2026" s="1">
        <v>42810</v>
      </c>
      <c r="D2026" s="2">
        <f>YEAR(C2026)</f>
        <v>2017</v>
      </c>
      <c r="E2026">
        <v>330000</v>
      </c>
      <c r="F2026" t="s">
        <v>85</v>
      </c>
      <c r="G2026">
        <v>1956</v>
      </c>
      <c r="H2026">
        <v>7950</v>
      </c>
      <c r="I2026" t="s">
        <v>98</v>
      </c>
      <c r="J2026">
        <v>76</v>
      </c>
      <c r="K2026">
        <v>60076</v>
      </c>
      <c r="L2026">
        <v>3568</v>
      </c>
      <c r="M2026">
        <v>11</v>
      </c>
      <c r="N2026">
        <v>3</v>
      </c>
      <c r="O2026">
        <v>0</v>
      </c>
      <c r="P2026" t="s">
        <v>18</v>
      </c>
      <c r="Q2026">
        <v>4</v>
      </c>
      <c r="R2026">
        <v>0</v>
      </c>
      <c r="S2026" t="s">
        <v>19</v>
      </c>
      <c r="T2026">
        <v>0</v>
      </c>
      <c r="U2026">
        <v>4</v>
      </c>
    </row>
    <row r="2027" spans="1:21" x14ac:dyDescent="0.25">
      <c r="A2027">
        <v>9712078</v>
      </c>
      <c r="B2027" t="s">
        <v>15</v>
      </c>
      <c r="C2027" s="1">
        <v>43007</v>
      </c>
      <c r="D2027" s="2">
        <f>YEAR(C2027)</f>
        <v>2017</v>
      </c>
      <c r="E2027">
        <v>260000</v>
      </c>
      <c r="F2027" t="s">
        <v>85</v>
      </c>
      <c r="G2027">
        <v>1956</v>
      </c>
      <c r="H2027">
        <v>3854</v>
      </c>
      <c r="I2027" t="s">
        <v>221</v>
      </c>
      <c r="J2027">
        <v>76</v>
      </c>
      <c r="K2027">
        <v>60076</v>
      </c>
      <c r="L2027">
        <v>1658</v>
      </c>
      <c r="M2027">
        <v>9</v>
      </c>
      <c r="N2027">
        <v>2</v>
      </c>
      <c r="O2027">
        <v>0</v>
      </c>
      <c r="P2027" t="s">
        <v>18</v>
      </c>
      <c r="Q2027">
        <v>4</v>
      </c>
      <c r="R2027">
        <v>0</v>
      </c>
      <c r="S2027" t="s">
        <v>19</v>
      </c>
      <c r="T2027">
        <v>0</v>
      </c>
      <c r="U2027">
        <v>4</v>
      </c>
    </row>
    <row r="2028" spans="1:21" x14ac:dyDescent="0.25">
      <c r="A2028">
        <v>9491626</v>
      </c>
      <c r="B2028" t="s">
        <v>15</v>
      </c>
      <c r="C2028" s="1">
        <v>42832</v>
      </c>
      <c r="D2028" s="2">
        <f>YEAR(C2028)</f>
        <v>2017</v>
      </c>
      <c r="E2028">
        <v>340000</v>
      </c>
      <c r="F2028" t="s">
        <v>85</v>
      </c>
      <c r="G2028">
        <v>1956</v>
      </c>
      <c r="H2028">
        <v>8932</v>
      </c>
      <c r="I2028" t="s">
        <v>222</v>
      </c>
      <c r="J2028">
        <v>76</v>
      </c>
      <c r="K2028">
        <v>60076</v>
      </c>
      <c r="L2028">
        <v>1589</v>
      </c>
      <c r="M2028">
        <v>9</v>
      </c>
      <c r="N2028">
        <v>2</v>
      </c>
      <c r="O2028">
        <v>0</v>
      </c>
      <c r="P2028" t="s">
        <v>18</v>
      </c>
      <c r="Q2028">
        <v>4</v>
      </c>
      <c r="R2028">
        <v>0</v>
      </c>
      <c r="S2028" t="s">
        <v>19</v>
      </c>
      <c r="T2028">
        <v>0</v>
      </c>
      <c r="U2028">
        <v>4</v>
      </c>
    </row>
    <row r="2029" spans="1:21" x14ac:dyDescent="0.25">
      <c r="A2029">
        <v>9914048</v>
      </c>
      <c r="B2029" t="s">
        <v>15</v>
      </c>
      <c r="C2029" s="1">
        <v>43287</v>
      </c>
      <c r="D2029" s="2">
        <f>YEAR(C2029)</f>
        <v>2018</v>
      </c>
      <c r="E2029">
        <v>345000</v>
      </c>
      <c r="F2029" t="s">
        <v>85</v>
      </c>
      <c r="G2029">
        <v>1959</v>
      </c>
      <c r="H2029">
        <v>9518</v>
      </c>
      <c r="I2029" t="s">
        <v>102</v>
      </c>
      <c r="J2029">
        <v>76</v>
      </c>
      <c r="K2029">
        <v>60076</v>
      </c>
      <c r="L2029">
        <v>2180</v>
      </c>
      <c r="M2029">
        <v>8</v>
      </c>
      <c r="N2029">
        <v>2</v>
      </c>
      <c r="O2029">
        <v>0</v>
      </c>
      <c r="P2029" t="s">
        <v>18</v>
      </c>
      <c r="Q2029">
        <v>4</v>
      </c>
      <c r="R2029">
        <v>0</v>
      </c>
      <c r="S2029" t="s">
        <v>19</v>
      </c>
      <c r="T2029">
        <v>0</v>
      </c>
      <c r="U2029">
        <v>4</v>
      </c>
    </row>
    <row r="2030" spans="1:21" x14ac:dyDescent="0.25">
      <c r="A2030">
        <v>9488656</v>
      </c>
      <c r="B2030" t="s">
        <v>15</v>
      </c>
      <c r="C2030" s="1">
        <v>42797</v>
      </c>
      <c r="D2030" s="2">
        <f>YEAR(C2030)</f>
        <v>2017</v>
      </c>
      <c r="E2030">
        <v>255000</v>
      </c>
      <c r="F2030" t="s">
        <v>85</v>
      </c>
      <c r="G2030">
        <v>1959</v>
      </c>
      <c r="H2030">
        <v>9233</v>
      </c>
      <c r="I2030" t="s">
        <v>28</v>
      </c>
      <c r="J2030">
        <v>76</v>
      </c>
      <c r="K2030">
        <v>60076</v>
      </c>
      <c r="L2030">
        <v>1350</v>
      </c>
      <c r="M2030">
        <v>6</v>
      </c>
      <c r="N2030">
        <v>2</v>
      </c>
      <c r="O2030">
        <v>0</v>
      </c>
      <c r="P2030" t="s">
        <v>18</v>
      </c>
      <c r="Q2030">
        <v>3</v>
      </c>
      <c r="R2030">
        <v>0</v>
      </c>
      <c r="S2030" t="s">
        <v>19</v>
      </c>
      <c r="T2030">
        <v>0</v>
      </c>
      <c r="U2030">
        <v>4</v>
      </c>
    </row>
    <row r="2031" spans="1:21" x14ac:dyDescent="0.25">
      <c r="A2031">
        <v>9511879</v>
      </c>
      <c r="B2031" t="s">
        <v>15</v>
      </c>
      <c r="C2031" s="1">
        <v>42853</v>
      </c>
      <c r="D2031" s="2">
        <f>YEAR(C2031)</f>
        <v>2017</v>
      </c>
      <c r="E2031">
        <v>387500</v>
      </c>
      <c r="F2031" t="s">
        <v>85</v>
      </c>
      <c r="G2031">
        <v>1964</v>
      </c>
      <c r="H2031">
        <v>1817</v>
      </c>
      <c r="I2031" t="s">
        <v>235</v>
      </c>
      <c r="J2031">
        <v>62</v>
      </c>
      <c r="K2031">
        <v>60062</v>
      </c>
      <c r="L2031">
        <v>1552</v>
      </c>
      <c r="M2031">
        <v>8</v>
      </c>
      <c r="N2031">
        <v>2</v>
      </c>
      <c r="O2031">
        <v>0</v>
      </c>
      <c r="P2031" t="s">
        <v>18</v>
      </c>
      <c r="Q2031">
        <v>3</v>
      </c>
      <c r="R2031">
        <v>0</v>
      </c>
      <c r="S2031" t="s">
        <v>21</v>
      </c>
      <c r="T2031">
        <v>1</v>
      </c>
      <c r="U2031">
        <v>4</v>
      </c>
    </row>
    <row r="2032" spans="1:21" x14ac:dyDescent="0.25">
      <c r="A2032">
        <v>9640890</v>
      </c>
      <c r="B2032" t="s">
        <v>15</v>
      </c>
      <c r="C2032" s="1">
        <v>43025</v>
      </c>
      <c r="D2032" s="2">
        <f>YEAR(C2032)</f>
        <v>2017</v>
      </c>
      <c r="E2032">
        <v>300000</v>
      </c>
      <c r="F2032" t="s">
        <v>85</v>
      </c>
      <c r="G2032">
        <v>1965</v>
      </c>
      <c r="H2032">
        <v>1788</v>
      </c>
      <c r="I2032" t="s">
        <v>96</v>
      </c>
      <c r="J2032">
        <v>62</v>
      </c>
      <c r="K2032">
        <v>60062</v>
      </c>
      <c r="L2032">
        <v>1117</v>
      </c>
      <c r="M2032">
        <v>8</v>
      </c>
      <c r="N2032">
        <v>1</v>
      </c>
      <c r="O2032">
        <v>1</v>
      </c>
      <c r="P2032" t="s">
        <v>18</v>
      </c>
      <c r="Q2032">
        <v>4</v>
      </c>
      <c r="R2032">
        <v>0</v>
      </c>
      <c r="S2032" t="s">
        <v>21</v>
      </c>
      <c r="T2032">
        <v>2</v>
      </c>
      <c r="U2032">
        <v>4</v>
      </c>
    </row>
    <row r="2033" spans="1:21" x14ac:dyDescent="0.25">
      <c r="A2033">
        <v>10038123</v>
      </c>
      <c r="B2033" t="s">
        <v>15</v>
      </c>
      <c r="C2033" s="1">
        <v>43360</v>
      </c>
      <c r="D2033" s="2">
        <f>YEAR(C2033)</f>
        <v>2018</v>
      </c>
      <c r="E2033">
        <v>236500</v>
      </c>
      <c r="F2033" t="s">
        <v>85</v>
      </c>
      <c r="G2033">
        <v>1965</v>
      </c>
      <c r="H2033">
        <v>4150</v>
      </c>
      <c r="I2033" t="s">
        <v>38</v>
      </c>
      <c r="J2033">
        <v>76</v>
      </c>
      <c r="K2033">
        <v>60076</v>
      </c>
      <c r="L2033">
        <v>1020</v>
      </c>
      <c r="M2033">
        <v>6</v>
      </c>
      <c r="N2033">
        <v>1</v>
      </c>
      <c r="O2033">
        <v>0</v>
      </c>
      <c r="P2033" t="s">
        <v>18</v>
      </c>
      <c r="Q2033">
        <v>3</v>
      </c>
      <c r="R2033">
        <v>0</v>
      </c>
      <c r="S2033" t="s">
        <v>19</v>
      </c>
      <c r="T2033">
        <v>0</v>
      </c>
      <c r="U2033">
        <v>4</v>
      </c>
    </row>
    <row r="2034" spans="1:21" x14ac:dyDescent="0.25">
      <c r="A2034">
        <v>9607859</v>
      </c>
      <c r="B2034" t="s">
        <v>15</v>
      </c>
      <c r="C2034" s="1">
        <v>42926</v>
      </c>
      <c r="D2034" s="2">
        <f>YEAR(C2034)</f>
        <v>2017</v>
      </c>
      <c r="E2034">
        <v>425500</v>
      </c>
      <c r="F2034" t="s">
        <v>85</v>
      </c>
      <c r="G2034">
        <v>1968</v>
      </c>
      <c r="H2034">
        <v>3849</v>
      </c>
      <c r="I2034" t="s">
        <v>309</v>
      </c>
      <c r="J2034">
        <v>62</v>
      </c>
      <c r="K2034">
        <v>60062</v>
      </c>
      <c r="L2034">
        <v>2636</v>
      </c>
      <c r="M2034">
        <v>8</v>
      </c>
      <c r="N2034">
        <v>2</v>
      </c>
      <c r="O2034">
        <v>1</v>
      </c>
      <c r="P2034" t="s">
        <v>18</v>
      </c>
      <c r="Q2034">
        <v>4</v>
      </c>
      <c r="R2034">
        <v>0</v>
      </c>
      <c r="S2034" t="s">
        <v>21</v>
      </c>
      <c r="T2034">
        <v>2.5</v>
      </c>
      <c r="U2034">
        <v>4</v>
      </c>
    </row>
    <row r="2035" spans="1:21" x14ac:dyDescent="0.25">
      <c r="A2035">
        <v>9941614</v>
      </c>
      <c r="B2035" t="s">
        <v>15</v>
      </c>
      <c r="C2035" s="1">
        <v>43300</v>
      </c>
      <c r="D2035" s="2">
        <f>YEAR(C2035)</f>
        <v>2018</v>
      </c>
      <c r="E2035">
        <v>275000</v>
      </c>
      <c r="F2035" t="s">
        <v>85</v>
      </c>
      <c r="G2035">
        <v>1972</v>
      </c>
      <c r="H2035">
        <v>9614</v>
      </c>
      <c r="I2035" t="s">
        <v>130</v>
      </c>
      <c r="J2035">
        <v>76</v>
      </c>
      <c r="K2035">
        <v>60076</v>
      </c>
      <c r="L2035">
        <v>2612</v>
      </c>
      <c r="M2035">
        <v>8</v>
      </c>
      <c r="N2035">
        <v>2</v>
      </c>
      <c r="O2035">
        <v>1</v>
      </c>
      <c r="P2035" t="s">
        <v>18</v>
      </c>
      <c r="Q2035">
        <v>4</v>
      </c>
      <c r="R2035">
        <v>0</v>
      </c>
      <c r="S2035" t="s">
        <v>19</v>
      </c>
      <c r="T2035">
        <v>0</v>
      </c>
      <c r="U2035">
        <v>4</v>
      </c>
    </row>
    <row r="2036" spans="1:21" x14ac:dyDescent="0.25">
      <c r="A2036">
        <v>9857649</v>
      </c>
      <c r="B2036" t="s">
        <v>15</v>
      </c>
      <c r="C2036" s="1">
        <v>43271</v>
      </c>
      <c r="D2036" s="2">
        <f>YEAR(C2036)</f>
        <v>2018</v>
      </c>
      <c r="E2036">
        <v>629000</v>
      </c>
      <c r="F2036" t="s">
        <v>85</v>
      </c>
      <c r="G2036">
        <v>1972</v>
      </c>
      <c r="H2036">
        <v>2606</v>
      </c>
      <c r="I2036" t="s">
        <v>116</v>
      </c>
      <c r="J2036">
        <v>62</v>
      </c>
      <c r="K2036">
        <v>60062</v>
      </c>
      <c r="L2036">
        <v>2520</v>
      </c>
      <c r="M2036">
        <v>9</v>
      </c>
      <c r="N2036">
        <v>2</v>
      </c>
      <c r="O2036">
        <v>1</v>
      </c>
      <c r="P2036" t="s">
        <v>18</v>
      </c>
      <c r="Q2036">
        <v>4</v>
      </c>
      <c r="R2036">
        <v>0</v>
      </c>
      <c r="S2036" t="s">
        <v>21</v>
      </c>
      <c r="T2036">
        <v>2</v>
      </c>
      <c r="U2036">
        <v>4</v>
      </c>
    </row>
    <row r="2037" spans="1:21" x14ac:dyDescent="0.25">
      <c r="A2037">
        <v>9685145</v>
      </c>
      <c r="B2037" t="s">
        <v>15</v>
      </c>
      <c r="C2037" s="1">
        <v>42969</v>
      </c>
      <c r="D2037" s="2">
        <f>YEAR(C2037)</f>
        <v>2017</v>
      </c>
      <c r="E2037">
        <v>360000</v>
      </c>
      <c r="F2037" t="s">
        <v>85</v>
      </c>
      <c r="G2037">
        <v>1955</v>
      </c>
      <c r="H2037">
        <v>306</v>
      </c>
      <c r="I2037" t="s">
        <v>462</v>
      </c>
      <c r="J2037">
        <v>62</v>
      </c>
      <c r="K2037">
        <v>60062</v>
      </c>
      <c r="L2037">
        <v>1114</v>
      </c>
      <c r="M2037">
        <v>7</v>
      </c>
      <c r="N2037">
        <v>2</v>
      </c>
      <c r="O2037">
        <v>0</v>
      </c>
      <c r="P2037" t="s">
        <v>79</v>
      </c>
      <c r="Q2037">
        <v>3</v>
      </c>
      <c r="R2037">
        <v>0</v>
      </c>
      <c r="S2037" t="s">
        <v>19</v>
      </c>
      <c r="T2037">
        <v>0</v>
      </c>
      <c r="U2037">
        <v>4</v>
      </c>
    </row>
    <row r="2038" spans="1:21" x14ac:dyDescent="0.25">
      <c r="A2038">
        <v>9469616</v>
      </c>
      <c r="B2038" t="s">
        <v>15</v>
      </c>
      <c r="C2038" s="1">
        <v>42807</v>
      </c>
      <c r="D2038" s="2">
        <f>YEAR(C2038)</f>
        <v>2017</v>
      </c>
      <c r="E2038">
        <v>349000</v>
      </c>
      <c r="F2038" t="s">
        <v>85</v>
      </c>
      <c r="G2038">
        <v>1956</v>
      </c>
      <c r="H2038">
        <v>4240</v>
      </c>
      <c r="I2038" t="s">
        <v>63</v>
      </c>
      <c r="J2038">
        <v>76</v>
      </c>
      <c r="K2038">
        <v>60076</v>
      </c>
      <c r="L2038">
        <v>1303</v>
      </c>
      <c r="M2038">
        <v>9</v>
      </c>
      <c r="N2038">
        <v>3</v>
      </c>
      <c r="O2038">
        <v>0</v>
      </c>
      <c r="P2038" t="s">
        <v>79</v>
      </c>
      <c r="Q2038">
        <v>3</v>
      </c>
      <c r="R2038">
        <v>0</v>
      </c>
      <c r="S2038" t="s">
        <v>19</v>
      </c>
      <c r="T2038">
        <v>0</v>
      </c>
      <c r="U2038">
        <v>4</v>
      </c>
    </row>
    <row r="2039" spans="1:21" x14ac:dyDescent="0.25">
      <c r="A2039">
        <v>9724298</v>
      </c>
      <c r="B2039" t="s">
        <v>15</v>
      </c>
      <c r="C2039" s="1">
        <v>43035</v>
      </c>
      <c r="D2039" s="2">
        <f>YEAR(C2039)</f>
        <v>2017</v>
      </c>
      <c r="E2039">
        <v>280000</v>
      </c>
      <c r="F2039" t="s">
        <v>85</v>
      </c>
      <c r="G2039">
        <v>1956</v>
      </c>
      <c r="H2039">
        <v>8420</v>
      </c>
      <c r="I2039" t="s">
        <v>202</v>
      </c>
      <c r="J2039">
        <v>76</v>
      </c>
      <c r="K2039">
        <v>60076</v>
      </c>
      <c r="L2039">
        <v>1299</v>
      </c>
      <c r="M2039">
        <v>8</v>
      </c>
      <c r="N2039">
        <v>2</v>
      </c>
      <c r="O2039">
        <v>1</v>
      </c>
      <c r="P2039" t="s">
        <v>79</v>
      </c>
      <c r="Q2039">
        <v>3</v>
      </c>
      <c r="R2039">
        <v>1</v>
      </c>
      <c r="S2039" t="s">
        <v>19</v>
      </c>
      <c r="T2039">
        <v>0</v>
      </c>
      <c r="U2039">
        <v>4</v>
      </c>
    </row>
    <row r="2040" spans="1:21" x14ac:dyDescent="0.25">
      <c r="A2040">
        <v>9794166</v>
      </c>
      <c r="B2040" t="s">
        <v>15</v>
      </c>
      <c r="C2040" s="1">
        <v>43139</v>
      </c>
      <c r="D2040" s="2">
        <f>YEAR(C2040)</f>
        <v>2018</v>
      </c>
      <c r="E2040">
        <v>261500</v>
      </c>
      <c r="F2040" t="s">
        <v>85</v>
      </c>
      <c r="G2040">
        <v>1957</v>
      </c>
      <c r="H2040">
        <v>9452</v>
      </c>
      <c r="I2040" t="s">
        <v>474</v>
      </c>
      <c r="J2040">
        <v>76</v>
      </c>
      <c r="K2040">
        <v>60077</v>
      </c>
      <c r="L2040">
        <v>1103</v>
      </c>
      <c r="M2040">
        <v>7</v>
      </c>
      <c r="N2040">
        <v>2</v>
      </c>
      <c r="O2040">
        <v>0</v>
      </c>
      <c r="P2040" t="s">
        <v>79</v>
      </c>
      <c r="Q2040">
        <v>3</v>
      </c>
      <c r="R2040">
        <v>0</v>
      </c>
      <c r="S2040" t="s">
        <v>19</v>
      </c>
      <c r="T2040">
        <v>0</v>
      </c>
      <c r="U2040">
        <v>4</v>
      </c>
    </row>
    <row r="2041" spans="1:21" x14ac:dyDescent="0.25">
      <c r="A2041">
        <v>9922444</v>
      </c>
      <c r="B2041" t="s">
        <v>15</v>
      </c>
      <c r="C2041" s="1">
        <v>43306</v>
      </c>
      <c r="D2041" s="2">
        <f>YEAR(C2041)</f>
        <v>2018</v>
      </c>
      <c r="E2041">
        <v>415000</v>
      </c>
      <c r="F2041" t="s">
        <v>85</v>
      </c>
      <c r="G2041">
        <v>1959</v>
      </c>
      <c r="H2041">
        <v>9233</v>
      </c>
      <c r="I2041" t="s">
        <v>28</v>
      </c>
      <c r="J2041">
        <v>76</v>
      </c>
      <c r="K2041">
        <v>60076</v>
      </c>
      <c r="L2041">
        <v>2403</v>
      </c>
      <c r="M2041">
        <v>9</v>
      </c>
      <c r="N2041">
        <v>3</v>
      </c>
      <c r="O2041">
        <v>0</v>
      </c>
      <c r="P2041" t="s">
        <v>79</v>
      </c>
      <c r="Q2041">
        <v>4</v>
      </c>
      <c r="R2041">
        <v>0</v>
      </c>
      <c r="S2041" t="s">
        <v>19</v>
      </c>
      <c r="T2041">
        <v>0</v>
      </c>
      <c r="U2041">
        <v>4</v>
      </c>
    </row>
    <row r="2042" spans="1:21" x14ac:dyDescent="0.25">
      <c r="A2042">
        <v>9666564</v>
      </c>
      <c r="B2042" t="s">
        <v>15</v>
      </c>
      <c r="C2042" s="1">
        <v>42937</v>
      </c>
      <c r="D2042" s="2">
        <f>YEAR(C2042)</f>
        <v>2017</v>
      </c>
      <c r="E2042">
        <v>409500</v>
      </c>
      <c r="F2042" t="s">
        <v>85</v>
      </c>
      <c r="G2042">
        <v>1959</v>
      </c>
      <c r="H2042">
        <v>9233</v>
      </c>
      <c r="I2042" t="s">
        <v>28</v>
      </c>
      <c r="J2042">
        <v>76</v>
      </c>
      <c r="K2042">
        <v>60076</v>
      </c>
      <c r="L2042">
        <v>1450</v>
      </c>
      <c r="M2042">
        <v>9</v>
      </c>
      <c r="N2042">
        <v>3</v>
      </c>
      <c r="O2042">
        <v>0</v>
      </c>
      <c r="P2042" t="s">
        <v>79</v>
      </c>
      <c r="Q2042">
        <v>3</v>
      </c>
      <c r="R2042">
        <v>2</v>
      </c>
      <c r="S2042" t="s">
        <v>19</v>
      </c>
      <c r="T2042">
        <v>0</v>
      </c>
      <c r="U2042">
        <v>4</v>
      </c>
    </row>
    <row r="2043" spans="1:21" x14ac:dyDescent="0.25">
      <c r="A2043">
        <v>9635211</v>
      </c>
      <c r="B2043" t="s">
        <v>15</v>
      </c>
      <c r="C2043" s="1">
        <v>42940</v>
      </c>
      <c r="D2043" s="2">
        <f>YEAR(C2043)</f>
        <v>2017</v>
      </c>
      <c r="E2043">
        <v>349000</v>
      </c>
      <c r="F2043" t="s">
        <v>85</v>
      </c>
      <c r="G2043">
        <v>1959</v>
      </c>
      <c r="H2043">
        <v>9313</v>
      </c>
      <c r="I2043" t="s">
        <v>89</v>
      </c>
      <c r="J2043">
        <v>76</v>
      </c>
      <c r="K2043">
        <v>60076</v>
      </c>
      <c r="L2043">
        <v>1302</v>
      </c>
      <c r="M2043">
        <v>7</v>
      </c>
      <c r="N2043">
        <v>2</v>
      </c>
      <c r="O2043">
        <v>0</v>
      </c>
      <c r="P2043" t="s">
        <v>79</v>
      </c>
      <c r="Q2043">
        <v>3</v>
      </c>
      <c r="R2043">
        <v>0</v>
      </c>
      <c r="S2043" t="s">
        <v>19</v>
      </c>
      <c r="T2043">
        <v>0</v>
      </c>
      <c r="U2043">
        <v>4</v>
      </c>
    </row>
    <row r="2044" spans="1:21" x14ac:dyDescent="0.25">
      <c r="A2044">
        <v>10033602</v>
      </c>
      <c r="B2044" t="s">
        <v>15</v>
      </c>
      <c r="C2044" s="1">
        <v>43411</v>
      </c>
      <c r="D2044" s="2">
        <f>YEAR(C2044)</f>
        <v>2018</v>
      </c>
      <c r="E2044">
        <v>295000</v>
      </c>
      <c r="F2044" t="s">
        <v>85</v>
      </c>
      <c r="G2044">
        <v>1966</v>
      </c>
      <c r="H2044">
        <v>4960</v>
      </c>
      <c r="I2044" t="s">
        <v>38</v>
      </c>
      <c r="J2044">
        <v>76</v>
      </c>
      <c r="K2044">
        <v>60077</v>
      </c>
      <c r="L2044">
        <v>1404</v>
      </c>
      <c r="M2044">
        <v>7</v>
      </c>
      <c r="N2044">
        <v>2</v>
      </c>
      <c r="O2044">
        <v>0</v>
      </c>
      <c r="P2044" t="s">
        <v>79</v>
      </c>
      <c r="Q2044">
        <v>3</v>
      </c>
      <c r="R2044">
        <v>0</v>
      </c>
      <c r="S2044" t="s">
        <v>19</v>
      </c>
      <c r="T2044">
        <v>0</v>
      </c>
      <c r="U2044">
        <v>4</v>
      </c>
    </row>
    <row r="2045" spans="1:21" x14ac:dyDescent="0.25">
      <c r="A2045">
        <v>10098702</v>
      </c>
      <c r="B2045" t="s">
        <v>15</v>
      </c>
      <c r="C2045" s="1">
        <v>43511</v>
      </c>
      <c r="D2045" s="2">
        <f>YEAR(C2045)</f>
        <v>2019</v>
      </c>
      <c r="E2045">
        <v>818000</v>
      </c>
      <c r="F2045" t="s">
        <v>85</v>
      </c>
      <c r="G2045">
        <v>1992</v>
      </c>
      <c r="H2045">
        <v>3160</v>
      </c>
      <c r="I2045" t="s">
        <v>520</v>
      </c>
      <c r="J2045">
        <v>62</v>
      </c>
      <c r="K2045">
        <v>60062</v>
      </c>
      <c r="L2045">
        <v>4484</v>
      </c>
      <c r="M2045">
        <v>12</v>
      </c>
      <c r="N2045">
        <v>4</v>
      </c>
      <c r="O2045">
        <v>1</v>
      </c>
      <c r="P2045" t="s">
        <v>79</v>
      </c>
      <c r="Q2045">
        <v>4</v>
      </c>
      <c r="R2045">
        <v>0</v>
      </c>
      <c r="S2045" t="s">
        <v>21</v>
      </c>
      <c r="T2045">
        <v>3</v>
      </c>
      <c r="U2045">
        <v>4</v>
      </c>
    </row>
    <row r="2046" spans="1:21" x14ac:dyDescent="0.25">
      <c r="A2046">
        <v>9743425</v>
      </c>
      <c r="B2046" t="s">
        <v>15</v>
      </c>
      <c r="C2046" s="1">
        <v>43067</v>
      </c>
      <c r="D2046" s="2">
        <f>YEAR(C2046)</f>
        <v>2017</v>
      </c>
      <c r="E2046">
        <v>1095000</v>
      </c>
      <c r="F2046" t="s">
        <v>85</v>
      </c>
      <c r="G2046">
        <v>2010</v>
      </c>
      <c r="H2046">
        <v>9140</v>
      </c>
      <c r="I2046" t="s">
        <v>101</v>
      </c>
      <c r="J2046">
        <v>76</v>
      </c>
      <c r="K2046">
        <v>60076</v>
      </c>
      <c r="L2046">
        <v>5000</v>
      </c>
      <c r="M2046">
        <v>12</v>
      </c>
      <c r="N2046">
        <v>5</v>
      </c>
      <c r="O2046">
        <v>2</v>
      </c>
      <c r="P2046" t="s">
        <v>79</v>
      </c>
      <c r="Q2046">
        <v>5</v>
      </c>
      <c r="R2046">
        <v>1</v>
      </c>
      <c r="S2046" t="s">
        <v>21</v>
      </c>
      <c r="T2046">
        <v>2</v>
      </c>
      <c r="U2046">
        <v>4</v>
      </c>
    </row>
    <row r="2047" spans="1:21" x14ac:dyDescent="0.25">
      <c r="A2047" t="str">
        <f>"10646162"</f>
        <v>10646162</v>
      </c>
      <c r="B2047" t="s">
        <v>15</v>
      </c>
      <c r="C2047" s="1">
        <v>44053</v>
      </c>
      <c r="D2047" s="2">
        <f>YEAR(C2047)</f>
        <v>2020</v>
      </c>
      <c r="E2047">
        <v>75000</v>
      </c>
      <c r="F2047" t="s">
        <v>85</v>
      </c>
      <c r="G2047">
        <v>1960</v>
      </c>
      <c r="H2047">
        <v>42032</v>
      </c>
      <c r="I2047" t="s">
        <v>577</v>
      </c>
      <c r="J2047" t="str">
        <f>"2"</f>
        <v>2</v>
      </c>
      <c r="K2047">
        <v>60002</v>
      </c>
      <c r="L2047">
        <v>832</v>
      </c>
      <c r="M2047">
        <v>5</v>
      </c>
      <c r="N2047">
        <v>1</v>
      </c>
      <c r="O2047">
        <v>0</v>
      </c>
      <c r="P2047" t="s">
        <v>18</v>
      </c>
      <c r="Q2047">
        <v>2</v>
      </c>
      <c r="R2047">
        <v>0</v>
      </c>
      <c r="S2047" t="s">
        <v>19</v>
      </c>
      <c r="T2047">
        <v>0</v>
      </c>
      <c r="U2047">
        <v>4</v>
      </c>
    </row>
    <row r="2048" spans="1:21" x14ac:dyDescent="0.25">
      <c r="A2048" t="str">
        <f>"10439159"</f>
        <v>10439159</v>
      </c>
      <c r="B2048" t="s">
        <v>15</v>
      </c>
      <c r="C2048" s="1">
        <v>43781</v>
      </c>
      <c r="D2048" s="2">
        <f>YEAR(C2048)</f>
        <v>2019</v>
      </c>
      <c r="E2048">
        <v>123000</v>
      </c>
      <c r="F2048" t="s">
        <v>85</v>
      </c>
      <c r="G2048">
        <v>1960</v>
      </c>
      <c r="H2048">
        <v>41716</v>
      </c>
      <c r="I2048" t="s">
        <v>582</v>
      </c>
      <c r="J2048" t="str">
        <f>"2"</f>
        <v>2</v>
      </c>
      <c r="K2048">
        <v>60002</v>
      </c>
      <c r="L2048">
        <v>864</v>
      </c>
      <c r="M2048">
        <v>4</v>
      </c>
      <c r="N2048">
        <v>1</v>
      </c>
      <c r="O2048">
        <v>0</v>
      </c>
      <c r="P2048" t="s">
        <v>18</v>
      </c>
      <c r="Q2048">
        <v>2</v>
      </c>
      <c r="R2048">
        <v>0</v>
      </c>
      <c r="S2048" t="s">
        <v>19</v>
      </c>
      <c r="T2048">
        <v>0</v>
      </c>
      <c r="U2048">
        <v>4</v>
      </c>
    </row>
    <row r="2049" spans="1:21" x14ac:dyDescent="0.25">
      <c r="A2049" t="str">
        <f>"10481257"</f>
        <v>10481257</v>
      </c>
      <c r="B2049" t="s">
        <v>15</v>
      </c>
      <c r="C2049" s="1">
        <v>43833</v>
      </c>
      <c r="D2049" s="2">
        <f>YEAR(C2049)</f>
        <v>2020</v>
      </c>
      <c r="E2049">
        <v>113000</v>
      </c>
      <c r="F2049" t="s">
        <v>85</v>
      </c>
      <c r="G2049">
        <v>1957</v>
      </c>
      <c r="H2049">
        <v>25171</v>
      </c>
      <c r="I2049" t="s">
        <v>224</v>
      </c>
      <c r="J2049" t="str">
        <f>"2"</f>
        <v>2</v>
      </c>
      <c r="K2049">
        <v>60002</v>
      </c>
      <c r="L2049">
        <v>876</v>
      </c>
      <c r="M2049">
        <v>6</v>
      </c>
      <c r="N2049">
        <v>1</v>
      </c>
      <c r="O2049">
        <v>0</v>
      </c>
      <c r="P2049" t="s">
        <v>18</v>
      </c>
      <c r="Q2049">
        <v>3</v>
      </c>
      <c r="R2049">
        <v>0</v>
      </c>
      <c r="S2049" t="s">
        <v>22</v>
      </c>
      <c r="T2049">
        <v>2</v>
      </c>
      <c r="U2049">
        <v>4</v>
      </c>
    </row>
    <row r="2050" spans="1:21" x14ac:dyDescent="0.25">
      <c r="A2050" t="str">
        <f>"10270451"</f>
        <v>10270451</v>
      </c>
      <c r="B2050" t="s">
        <v>15</v>
      </c>
      <c r="C2050" s="1">
        <v>43648</v>
      </c>
      <c r="D2050" s="2">
        <f>YEAR(C2050)</f>
        <v>2019</v>
      </c>
      <c r="E2050">
        <v>113300</v>
      </c>
      <c r="F2050" t="s">
        <v>85</v>
      </c>
      <c r="G2050">
        <v>1957</v>
      </c>
      <c r="H2050">
        <v>42571</v>
      </c>
      <c r="I2050" t="s">
        <v>592</v>
      </c>
      <c r="J2050" t="str">
        <f>"2"</f>
        <v>2</v>
      </c>
      <c r="K2050">
        <v>60002</v>
      </c>
      <c r="L2050">
        <v>960</v>
      </c>
      <c r="M2050">
        <v>4</v>
      </c>
      <c r="N2050">
        <v>1</v>
      </c>
      <c r="O2050">
        <v>0</v>
      </c>
      <c r="P2050" t="s">
        <v>18</v>
      </c>
      <c r="Q2050">
        <v>1</v>
      </c>
      <c r="R2050">
        <v>0</v>
      </c>
      <c r="S2050" t="s">
        <v>19</v>
      </c>
      <c r="T2050">
        <v>0</v>
      </c>
      <c r="U2050">
        <v>4</v>
      </c>
    </row>
    <row r="2051" spans="1:21" x14ac:dyDescent="0.25">
      <c r="A2051" t="str">
        <f>"10502162"</f>
        <v>10502162</v>
      </c>
      <c r="B2051" t="s">
        <v>15</v>
      </c>
      <c r="C2051" s="1">
        <v>43742</v>
      </c>
      <c r="D2051" s="2">
        <f>YEAR(C2051)</f>
        <v>2019</v>
      </c>
      <c r="E2051">
        <v>135000</v>
      </c>
      <c r="F2051" t="s">
        <v>85</v>
      </c>
      <c r="G2051">
        <v>1960</v>
      </c>
      <c r="H2051">
        <v>41672</v>
      </c>
      <c r="I2051" t="s">
        <v>582</v>
      </c>
      <c r="J2051" t="str">
        <f>"2"</f>
        <v>2</v>
      </c>
      <c r="K2051">
        <v>60002</v>
      </c>
      <c r="L2051">
        <v>980</v>
      </c>
      <c r="M2051">
        <v>5</v>
      </c>
      <c r="N2051">
        <v>1</v>
      </c>
      <c r="O2051">
        <v>0</v>
      </c>
      <c r="P2051" t="s">
        <v>18</v>
      </c>
      <c r="Q2051">
        <v>2</v>
      </c>
      <c r="R2051">
        <v>0</v>
      </c>
      <c r="S2051" t="s">
        <v>19</v>
      </c>
      <c r="T2051">
        <v>0</v>
      </c>
      <c r="U2051">
        <v>4</v>
      </c>
    </row>
    <row r="2052" spans="1:21" x14ac:dyDescent="0.25">
      <c r="A2052" t="str">
        <f>"10839697"</f>
        <v>10839697</v>
      </c>
      <c r="B2052" t="s">
        <v>15</v>
      </c>
      <c r="C2052" s="1">
        <v>44127</v>
      </c>
      <c r="D2052" s="2">
        <f>YEAR(C2052)</f>
        <v>2020</v>
      </c>
      <c r="E2052">
        <v>130000</v>
      </c>
      <c r="F2052" t="s">
        <v>85</v>
      </c>
      <c r="G2052">
        <v>1965</v>
      </c>
      <c r="H2052">
        <v>26578</v>
      </c>
      <c r="I2052" t="s">
        <v>538</v>
      </c>
      <c r="J2052" t="str">
        <f>"2"</f>
        <v>2</v>
      </c>
      <c r="K2052">
        <v>60002</v>
      </c>
      <c r="L2052">
        <v>982</v>
      </c>
      <c r="M2052">
        <v>5</v>
      </c>
      <c r="N2052">
        <v>1</v>
      </c>
      <c r="O2052">
        <v>0</v>
      </c>
      <c r="P2052" t="s">
        <v>18</v>
      </c>
      <c r="Q2052">
        <v>3</v>
      </c>
      <c r="R2052">
        <v>0</v>
      </c>
      <c r="S2052" t="s">
        <v>19</v>
      </c>
      <c r="T2052">
        <v>0</v>
      </c>
      <c r="U2052">
        <v>4</v>
      </c>
    </row>
    <row r="2053" spans="1:21" x14ac:dyDescent="0.25">
      <c r="A2053" t="str">
        <f>"10385937"</f>
        <v>10385937</v>
      </c>
      <c r="B2053" t="s">
        <v>15</v>
      </c>
      <c r="C2053" s="1">
        <v>43656</v>
      </c>
      <c r="D2053" s="2">
        <f>YEAR(C2053)</f>
        <v>2019</v>
      </c>
      <c r="E2053">
        <v>112000</v>
      </c>
      <c r="F2053" t="s">
        <v>85</v>
      </c>
      <c r="G2053">
        <v>1960</v>
      </c>
      <c r="H2053">
        <v>26371</v>
      </c>
      <c r="I2053" t="s">
        <v>589</v>
      </c>
      <c r="J2053" t="str">
        <f>"2"</f>
        <v>2</v>
      </c>
      <c r="K2053">
        <v>60002</v>
      </c>
      <c r="L2053">
        <v>1000</v>
      </c>
      <c r="M2053">
        <v>5</v>
      </c>
      <c r="N2053">
        <v>1</v>
      </c>
      <c r="O2053">
        <v>0</v>
      </c>
      <c r="P2053" t="s">
        <v>18</v>
      </c>
      <c r="Q2053">
        <v>3</v>
      </c>
      <c r="R2053">
        <v>0</v>
      </c>
      <c r="S2053" t="s">
        <v>19</v>
      </c>
      <c r="T2053">
        <v>0</v>
      </c>
      <c r="U2053">
        <v>4</v>
      </c>
    </row>
    <row r="2054" spans="1:21" x14ac:dyDescent="0.25">
      <c r="A2054" t="str">
        <f>"10845439"</f>
        <v>10845439</v>
      </c>
      <c r="B2054" t="s">
        <v>15</v>
      </c>
      <c r="C2054" s="1">
        <v>44119</v>
      </c>
      <c r="D2054" s="2">
        <f>YEAR(C2054)</f>
        <v>2020</v>
      </c>
      <c r="E2054">
        <v>141000</v>
      </c>
      <c r="F2054" t="s">
        <v>85</v>
      </c>
      <c r="G2054">
        <v>1950</v>
      </c>
      <c r="H2054">
        <v>26472</v>
      </c>
      <c r="I2054" t="s">
        <v>589</v>
      </c>
      <c r="J2054" t="str">
        <f>"2"</f>
        <v>2</v>
      </c>
      <c r="K2054">
        <v>60002</v>
      </c>
      <c r="L2054">
        <v>1044</v>
      </c>
      <c r="M2054">
        <v>6</v>
      </c>
      <c r="N2054">
        <v>1</v>
      </c>
      <c r="O2054">
        <v>0</v>
      </c>
      <c r="P2054" t="s">
        <v>18</v>
      </c>
      <c r="Q2054">
        <v>3</v>
      </c>
      <c r="R2054">
        <v>0</v>
      </c>
      <c r="S2054" t="s">
        <v>19</v>
      </c>
      <c r="T2054">
        <v>0</v>
      </c>
      <c r="U2054">
        <v>4</v>
      </c>
    </row>
    <row r="2055" spans="1:21" x14ac:dyDescent="0.25">
      <c r="A2055" t="str">
        <f>"10636593"</f>
        <v>10636593</v>
      </c>
      <c r="B2055" t="s">
        <v>15</v>
      </c>
      <c r="C2055" s="1">
        <v>43921</v>
      </c>
      <c r="D2055" s="2">
        <f>YEAR(C2055)</f>
        <v>2020</v>
      </c>
      <c r="E2055">
        <v>159900</v>
      </c>
      <c r="F2055" t="s">
        <v>85</v>
      </c>
      <c r="G2055">
        <v>1973</v>
      </c>
      <c r="H2055">
        <v>309</v>
      </c>
      <c r="I2055" t="s">
        <v>604</v>
      </c>
      <c r="J2055" t="str">
        <f>"2"</f>
        <v>2</v>
      </c>
      <c r="K2055">
        <v>60002</v>
      </c>
      <c r="L2055">
        <v>1056</v>
      </c>
      <c r="M2055">
        <v>8</v>
      </c>
      <c r="N2055">
        <v>2</v>
      </c>
      <c r="O2055">
        <v>0</v>
      </c>
      <c r="P2055" t="s">
        <v>79</v>
      </c>
      <c r="Q2055">
        <v>4</v>
      </c>
      <c r="R2055">
        <v>0</v>
      </c>
      <c r="S2055" t="s">
        <v>19</v>
      </c>
      <c r="T2055">
        <v>0</v>
      </c>
      <c r="U2055">
        <v>4</v>
      </c>
    </row>
    <row r="2056" spans="1:21" x14ac:dyDescent="0.25">
      <c r="A2056" t="str">
        <f>"10608185"</f>
        <v>10608185</v>
      </c>
      <c r="B2056" t="s">
        <v>15</v>
      </c>
      <c r="C2056" s="1">
        <v>43875</v>
      </c>
      <c r="D2056" s="2">
        <f>YEAR(C2056)</f>
        <v>2020</v>
      </c>
      <c r="E2056">
        <v>205000</v>
      </c>
      <c r="F2056" t="s">
        <v>85</v>
      </c>
      <c r="G2056">
        <v>1957</v>
      </c>
      <c r="H2056">
        <v>41931</v>
      </c>
      <c r="I2056" t="s">
        <v>610</v>
      </c>
      <c r="J2056" t="str">
        <f>"2"</f>
        <v>2</v>
      </c>
      <c r="K2056">
        <v>60002</v>
      </c>
      <c r="L2056">
        <v>1068</v>
      </c>
      <c r="M2056">
        <v>5</v>
      </c>
      <c r="N2056">
        <v>2</v>
      </c>
      <c r="O2056">
        <v>0</v>
      </c>
      <c r="P2056" t="s">
        <v>79</v>
      </c>
      <c r="Q2056">
        <v>2</v>
      </c>
      <c r="R2056">
        <v>0</v>
      </c>
      <c r="S2056" t="s">
        <v>19</v>
      </c>
      <c r="T2056">
        <v>0</v>
      </c>
      <c r="U2056">
        <v>4</v>
      </c>
    </row>
    <row r="2057" spans="1:21" x14ac:dyDescent="0.25">
      <c r="A2057" t="str">
        <f>"10715681"</f>
        <v>10715681</v>
      </c>
      <c r="B2057" t="s">
        <v>15</v>
      </c>
      <c r="C2057" s="1">
        <v>44022</v>
      </c>
      <c r="D2057" s="2">
        <f>YEAR(C2057)</f>
        <v>2020</v>
      </c>
      <c r="E2057">
        <v>164900</v>
      </c>
      <c r="F2057" t="s">
        <v>85</v>
      </c>
      <c r="G2057">
        <v>1920</v>
      </c>
      <c r="H2057">
        <v>26737</v>
      </c>
      <c r="I2057" t="s">
        <v>625</v>
      </c>
      <c r="J2057" t="str">
        <f>"2"</f>
        <v>2</v>
      </c>
      <c r="K2057">
        <v>60002</v>
      </c>
      <c r="L2057">
        <v>1178</v>
      </c>
      <c r="M2057">
        <v>8</v>
      </c>
      <c r="N2057">
        <v>2</v>
      </c>
      <c r="O2057">
        <v>0</v>
      </c>
      <c r="P2057" t="s">
        <v>18</v>
      </c>
      <c r="Q2057">
        <v>4</v>
      </c>
      <c r="R2057">
        <v>0</v>
      </c>
      <c r="S2057" t="s">
        <v>22</v>
      </c>
      <c r="T2057">
        <v>1.5</v>
      </c>
      <c r="U2057">
        <v>4</v>
      </c>
    </row>
    <row r="2058" spans="1:21" x14ac:dyDescent="0.25">
      <c r="A2058" t="str">
        <f>"10688172"</f>
        <v>10688172</v>
      </c>
      <c r="B2058" t="s">
        <v>15</v>
      </c>
      <c r="C2058" s="1">
        <v>43955</v>
      </c>
      <c r="D2058" s="2">
        <f>YEAR(C2058)</f>
        <v>2020</v>
      </c>
      <c r="E2058">
        <v>211500</v>
      </c>
      <c r="F2058" t="s">
        <v>85</v>
      </c>
      <c r="G2058">
        <v>1965</v>
      </c>
      <c r="H2058">
        <v>20581</v>
      </c>
      <c r="I2058" t="s">
        <v>663</v>
      </c>
      <c r="J2058" t="str">
        <f>"2"</f>
        <v>2</v>
      </c>
      <c r="K2058">
        <v>60002</v>
      </c>
      <c r="L2058">
        <v>1312</v>
      </c>
      <c r="M2058">
        <v>6</v>
      </c>
      <c r="N2058">
        <v>1</v>
      </c>
      <c r="O2058">
        <v>0</v>
      </c>
      <c r="P2058" t="s">
        <v>18</v>
      </c>
      <c r="Q2058">
        <v>3</v>
      </c>
      <c r="R2058">
        <v>0</v>
      </c>
      <c r="S2058" t="s">
        <v>21</v>
      </c>
      <c r="T2058">
        <v>2</v>
      </c>
      <c r="U2058">
        <v>4</v>
      </c>
    </row>
    <row r="2059" spans="1:21" x14ac:dyDescent="0.25">
      <c r="A2059" t="str">
        <f>"10923074"</f>
        <v>10923074</v>
      </c>
      <c r="B2059" t="s">
        <v>15</v>
      </c>
      <c r="C2059" s="1">
        <v>44186</v>
      </c>
      <c r="D2059" s="2">
        <f>YEAR(C2059)</f>
        <v>2020</v>
      </c>
      <c r="E2059">
        <v>141000</v>
      </c>
      <c r="F2059" t="s">
        <v>85</v>
      </c>
      <c r="G2059">
        <v>1950</v>
      </c>
      <c r="H2059">
        <v>25033</v>
      </c>
      <c r="I2059" t="s">
        <v>672</v>
      </c>
      <c r="J2059" t="str">
        <f>"2"</f>
        <v>2</v>
      </c>
      <c r="K2059">
        <v>60002</v>
      </c>
      <c r="L2059">
        <v>1344</v>
      </c>
      <c r="M2059">
        <v>6</v>
      </c>
      <c r="N2059">
        <v>1</v>
      </c>
      <c r="O2059">
        <v>0</v>
      </c>
      <c r="P2059" t="s">
        <v>18</v>
      </c>
      <c r="Q2059">
        <v>2</v>
      </c>
      <c r="R2059">
        <v>0</v>
      </c>
      <c r="S2059" t="s">
        <v>19</v>
      </c>
      <c r="T2059">
        <v>0</v>
      </c>
      <c r="U2059">
        <v>4</v>
      </c>
    </row>
    <row r="2060" spans="1:21" x14ac:dyDescent="0.25">
      <c r="A2060" t="str">
        <f>"10813540"</f>
        <v>10813540</v>
      </c>
      <c r="B2060" t="s">
        <v>15</v>
      </c>
      <c r="C2060" s="1">
        <v>44098</v>
      </c>
      <c r="D2060" s="2">
        <f>YEAR(C2060)</f>
        <v>2020</v>
      </c>
      <c r="E2060">
        <v>118500</v>
      </c>
      <c r="F2060" t="s">
        <v>85</v>
      </c>
      <c r="G2060">
        <v>1950</v>
      </c>
      <c r="H2060">
        <v>1019</v>
      </c>
      <c r="I2060" t="s">
        <v>38</v>
      </c>
      <c r="J2060" t="str">
        <f>"2"</f>
        <v>2</v>
      </c>
      <c r="K2060">
        <v>60002</v>
      </c>
      <c r="L2060">
        <v>1366</v>
      </c>
      <c r="M2060">
        <v>7</v>
      </c>
      <c r="N2060">
        <v>1</v>
      </c>
      <c r="O2060">
        <v>0</v>
      </c>
      <c r="P2060" t="s">
        <v>18</v>
      </c>
      <c r="Q2060">
        <v>3</v>
      </c>
      <c r="R2060">
        <v>0</v>
      </c>
      <c r="S2060" t="s">
        <v>22</v>
      </c>
      <c r="T2060">
        <v>2</v>
      </c>
      <c r="U2060">
        <v>4</v>
      </c>
    </row>
    <row r="2061" spans="1:21" x14ac:dyDescent="0.25">
      <c r="A2061" t="str">
        <f>"10597682"</f>
        <v>10597682</v>
      </c>
      <c r="B2061" t="s">
        <v>15</v>
      </c>
      <c r="C2061" s="1">
        <v>43847</v>
      </c>
      <c r="D2061" s="2">
        <f>YEAR(C2061)</f>
        <v>2020</v>
      </c>
      <c r="E2061">
        <v>224900</v>
      </c>
      <c r="F2061" t="s">
        <v>85</v>
      </c>
      <c r="G2061">
        <v>1960</v>
      </c>
      <c r="H2061">
        <v>40568</v>
      </c>
      <c r="I2061" t="s">
        <v>681</v>
      </c>
      <c r="J2061" t="str">
        <f>"2"</f>
        <v>2</v>
      </c>
      <c r="K2061">
        <v>60002</v>
      </c>
      <c r="L2061">
        <v>1378</v>
      </c>
      <c r="M2061">
        <v>7</v>
      </c>
      <c r="N2061">
        <v>1</v>
      </c>
      <c r="O2061">
        <v>0</v>
      </c>
      <c r="P2061" t="s">
        <v>18</v>
      </c>
      <c r="Q2061">
        <v>2</v>
      </c>
      <c r="R2061">
        <v>0</v>
      </c>
      <c r="S2061" t="s">
        <v>21</v>
      </c>
      <c r="T2061">
        <v>2.5</v>
      </c>
      <c r="U2061">
        <v>4</v>
      </c>
    </row>
    <row r="2062" spans="1:21" x14ac:dyDescent="0.25">
      <c r="A2062" t="str">
        <f>"10552186"</f>
        <v>10552186</v>
      </c>
      <c r="B2062" t="s">
        <v>15</v>
      </c>
      <c r="C2062" s="1">
        <v>43819</v>
      </c>
      <c r="D2062" s="2">
        <f>YEAR(C2062)</f>
        <v>2019</v>
      </c>
      <c r="E2062">
        <v>169900</v>
      </c>
      <c r="F2062" t="s">
        <v>85</v>
      </c>
      <c r="G2062">
        <v>1977</v>
      </c>
      <c r="H2062">
        <v>316</v>
      </c>
      <c r="I2062" t="s">
        <v>673</v>
      </c>
      <c r="J2062" t="str">
        <f>"2"</f>
        <v>2</v>
      </c>
      <c r="K2062">
        <v>60002</v>
      </c>
      <c r="L2062">
        <v>1416</v>
      </c>
      <c r="M2062">
        <v>9</v>
      </c>
      <c r="N2062">
        <v>1</v>
      </c>
      <c r="O2062">
        <v>1</v>
      </c>
      <c r="P2062" t="s">
        <v>18</v>
      </c>
      <c r="Q2062">
        <v>3</v>
      </c>
      <c r="R2062">
        <v>0</v>
      </c>
      <c r="S2062" t="s">
        <v>21</v>
      </c>
      <c r="T2062">
        <v>2</v>
      </c>
      <c r="U2062">
        <v>4</v>
      </c>
    </row>
    <row r="2063" spans="1:21" x14ac:dyDescent="0.25">
      <c r="A2063" t="str">
        <f>"10839005"</f>
        <v>10839005</v>
      </c>
      <c r="B2063" t="s">
        <v>15</v>
      </c>
      <c r="C2063" s="1">
        <v>44145</v>
      </c>
      <c r="D2063" s="2">
        <f>YEAR(C2063)</f>
        <v>2020</v>
      </c>
      <c r="E2063">
        <v>102001</v>
      </c>
      <c r="F2063" t="s">
        <v>85</v>
      </c>
      <c r="G2063">
        <v>1965</v>
      </c>
      <c r="H2063">
        <v>22493</v>
      </c>
      <c r="I2063" t="s">
        <v>401</v>
      </c>
      <c r="J2063" t="str">
        <f>"2"</f>
        <v>2</v>
      </c>
      <c r="K2063">
        <v>60002</v>
      </c>
      <c r="L2063">
        <v>1431</v>
      </c>
      <c r="M2063">
        <v>6</v>
      </c>
      <c r="N2063">
        <v>1</v>
      </c>
      <c r="O2063">
        <v>1</v>
      </c>
      <c r="P2063" t="s">
        <v>18</v>
      </c>
      <c r="Q2063">
        <v>3</v>
      </c>
      <c r="R2063">
        <v>0</v>
      </c>
      <c r="S2063" t="s">
        <v>19</v>
      </c>
      <c r="T2063">
        <v>0</v>
      </c>
      <c r="U2063">
        <v>4</v>
      </c>
    </row>
    <row r="2064" spans="1:21" x14ac:dyDescent="0.25">
      <c r="A2064" t="str">
        <f>"10713692"</f>
        <v>10713692</v>
      </c>
      <c r="B2064" t="s">
        <v>15</v>
      </c>
      <c r="C2064" s="1">
        <v>44027</v>
      </c>
      <c r="D2064" s="2">
        <f>YEAR(C2064)</f>
        <v>2020</v>
      </c>
      <c r="E2064">
        <v>165000</v>
      </c>
      <c r="F2064" t="s">
        <v>85</v>
      </c>
      <c r="G2064">
        <v>1960</v>
      </c>
      <c r="H2064">
        <v>25778</v>
      </c>
      <c r="I2064" t="s">
        <v>711</v>
      </c>
      <c r="J2064" t="str">
        <f>"2"</f>
        <v>2</v>
      </c>
      <c r="K2064">
        <v>60002</v>
      </c>
      <c r="L2064">
        <v>1518</v>
      </c>
      <c r="M2064">
        <v>5</v>
      </c>
      <c r="N2064">
        <v>2</v>
      </c>
      <c r="O2064">
        <v>0</v>
      </c>
      <c r="P2064" t="s">
        <v>18</v>
      </c>
      <c r="Q2064">
        <v>3</v>
      </c>
      <c r="R2064">
        <v>0</v>
      </c>
      <c r="S2064" t="s">
        <v>22</v>
      </c>
      <c r="T2064">
        <v>2</v>
      </c>
      <c r="U2064">
        <v>4</v>
      </c>
    </row>
    <row r="2065" spans="1:21" x14ac:dyDescent="0.25">
      <c r="A2065" t="str">
        <f>"10143214"</f>
        <v>10143214</v>
      </c>
      <c r="B2065" t="s">
        <v>15</v>
      </c>
      <c r="C2065" s="1">
        <v>43637</v>
      </c>
      <c r="D2065" s="2">
        <f>YEAR(C2065)</f>
        <v>2019</v>
      </c>
      <c r="E2065">
        <v>210000</v>
      </c>
      <c r="F2065" t="s">
        <v>85</v>
      </c>
      <c r="G2065">
        <v>1998</v>
      </c>
      <c r="H2065">
        <v>1385</v>
      </c>
      <c r="I2065" t="s">
        <v>732</v>
      </c>
      <c r="J2065" t="str">
        <f>"2"</f>
        <v>2</v>
      </c>
      <c r="K2065">
        <v>60002</v>
      </c>
      <c r="L2065">
        <v>1607</v>
      </c>
      <c r="M2065">
        <v>7</v>
      </c>
      <c r="N2065">
        <v>2</v>
      </c>
      <c r="O2065">
        <v>0</v>
      </c>
      <c r="P2065" t="s">
        <v>18</v>
      </c>
      <c r="Q2065">
        <v>3</v>
      </c>
      <c r="R2065">
        <v>0</v>
      </c>
      <c r="S2065" t="s">
        <v>21</v>
      </c>
      <c r="T2065">
        <v>2</v>
      </c>
      <c r="U2065">
        <v>4</v>
      </c>
    </row>
    <row r="2066" spans="1:21" x14ac:dyDescent="0.25">
      <c r="A2066" t="str">
        <f>"10843227"</f>
        <v>10843227</v>
      </c>
      <c r="B2066" t="s">
        <v>15</v>
      </c>
      <c r="C2066" s="1">
        <v>44133</v>
      </c>
      <c r="D2066" s="2">
        <f>YEAR(C2066)</f>
        <v>2020</v>
      </c>
      <c r="E2066">
        <v>205000</v>
      </c>
      <c r="F2066" t="s">
        <v>85</v>
      </c>
      <c r="G2066">
        <v>1960</v>
      </c>
      <c r="H2066">
        <v>26369</v>
      </c>
      <c r="I2066" t="s">
        <v>586</v>
      </c>
      <c r="J2066" t="str">
        <f>"2"</f>
        <v>2</v>
      </c>
      <c r="K2066">
        <v>60002</v>
      </c>
      <c r="L2066">
        <v>1634</v>
      </c>
      <c r="M2066">
        <v>6</v>
      </c>
      <c r="N2066">
        <v>2</v>
      </c>
      <c r="O2066">
        <v>0</v>
      </c>
      <c r="P2066" t="s">
        <v>18</v>
      </c>
      <c r="Q2066">
        <v>3</v>
      </c>
      <c r="R2066">
        <v>0</v>
      </c>
      <c r="S2066" t="s">
        <v>22</v>
      </c>
      <c r="T2066">
        <v>4</v>
      </c>
      <c r="U2066">
        <v>4</v>
      </c>
    </row>
    <row r="2067" spans="1:21" x14ac:dyDescent="0.25">
      <c r="A2067" t="str">
        <f>"10152472"</f>
        <v>10152472</v>
      </c>
      <c r="B2067" t="s">
        <v>15</v>
      </c>
      <c r="C2067" s="1">
        <v>43724</v>
      </c>
      <c r="D2067" s="2">
        <f>YEAR(C2067)</f>
        <v>2019</v>
      </c>
      <c r="E2067">
        <v>125000</v>
      </c>
      <c r="F2067" t="s">
        <v>85</v>
      </c>
      <c r="G2067">
        <v>1940</v>
      </c>
      <c r="H2067">
        <v>25319</v>
      </c>
      <c r="I2067" t="s">
        <v>586</v>
      </c>
      <c r="J2067" t="str">
        <f>"2"</f>
        <v>2</v>
      </c>
      <c r="K2067">
        <v>60002</v>
      </c>
      <c r="L2067">
        <v>1640</v>
      </c>
      <c r="M2067">
        <v>5</v>
      </c>
      <c r="N2067">
        <v>1</v>
      </c>
      <c r="O2067">
        <v>1</v>
      </c>
      <c r="P2067" t="s">
        <v>18</v>
      </c>
      <c r="Q2067">
        <v>3</v>
      </c>
      <c r="R2067">
        <v>0</v>
      </c>
      <c r="S2067" t="s">
        <v>19</v>
      </c>
      <c r="T2067">
        <v>0</v>
      </c>
      <c r="U2067">
        <v>4</v>
      </c>
    </row>
    <row r="2068" spans="1:21" x14ac:dyDescent="0.25">
      <c r="A2068" t="str">
        <f>"10885348"</f>
        <v>10885348</v>
      </c>
      <c r="B2068" t="s">
        <v>15</v>
      </c>
      <c r="C2068" s="1">
        <v>44140</v>
      </c>
      <c r="D2068" s="2">
        <f>YEAR(C2068)</f>
        <v>2020</v>
      </c>
      <c r="E2068">
        <v>224900</v>
      </c>
      <c r="F2068" t="s">
        <v>85</v>
      </c>
      <c r="G2068">
        <v>1975</v>
      </c>
      <c r="H2068">
        <v>344</v>
      </c>
      <c r="I2068" t="s">
        <v>718</v>
      </c>
      <c r="J2068" t="str">
        <f>"2"</f>
        <v>2</v>
      </c>
      <c r="K2068">
        <v>60002</v>
      </c>
      <c r="L2068">
        <v>1656</v>
      </c>
      <c r="M2068">
        <v>9</v>
      </c>
      <c r="N2068">
        <v>2</v>
      </c>
      <c r="O2068">
        <v>1</v>
      </c>
      <c r="P2068" t="s">
        <v>79</v>
      </c>
      <c r="Q2068">
        <v>3</v>
      </c>
      <c r="R2068">
        <v>0</v>
      </c>
      <c r="S2068" t="s">
        <v>21</v>
      </c>
      <c r="T2068">
        <v>2</v>
      </c>
      <c r="U2068">
        <v>4</v>
      </c>
    </row>
    <row r="2069" spans="1:21" x14ac:dyDescent="0.25">
      <c r="A2069" t="str">
        <f>"10510425"</f>
        <v>10510425</v>
      </c>
      <c r="B2069" t="s">
        <v>15</v>
      </c>
      <c r="C2069" s="1">
        <v>43942</v>
      </c>
      <c r="D2069" s="2">
        <f>YEAR(C2069)</f>
        <v>2020</v>
      </c>
      <c r="E2069">
        <v>155000</v>
      </c>
      <c r="F2069" t="s">
        <v>85</v>
      </c>
      <c r="G2069">
        <v>1967</v>
      </c>
      <c r="H2069">
        <v>521</v>
      </c>
      <c r="I2069" t="s">
        <v>740</v>
      </c>
      <c r="J2069" t="str">
        <f>"2"</f>
        <v>2</v>
      </c>
      <c r="K2069">
        <v>60002</v>
      </c>
      <c r="L2069">
        <v>1658</v>
      </c>
      <c r="M2069">
        <v>8</v>
      </c>
      <c r="N2069">
        <v>1</v>
      </c>
      <c r="O2069">
        <v>1</v>
      </c>
      <c r="P2069" t="s">
        <v>79</v>
      </c>
      <c r="Q2069">
        <v>3</v>
      </c>
      <c r="R2069">
        <v>1</v>
      </c>
      <c r="S2069" t="s">
        <v>21</v>
      </c>
      <c r="T2069">
        <v>2</v>
      </c>
      <c r="U2069">
        <v>4</v>
      </c>
    </row>
    <row r="2070" spans="1:21" x14ac:dyDescent="0.25">
      <c r="A2070" t="str">
        <f>"10559421"</f>
        <v>10559421</v>
      </c>
      <c r="B2070" t="s">
        <v>15</v>
      </c>
      <c r="C2070" s="1">
        <v>43878</v>
      </c>
      <c r="D2070" s="2">
        <f>YEAR(C2070)</f>
        <v>2020</v>
      </c>
      <c r="E2070">
        <v>185000</v>
      </c>
      <c r="F2070" t="s">
        <v>85</v>
      </c>
      <c r="G2070">
        <v>1962</v>
      </c>
      <c r="H2070">
        <v>42695</v>
      </c>
      <c r="I2070" t="s">
        <v>759</v>
      </c>
      <c r="J2070" t="str">
        <f>"2"</f>
        <v>2</v>
      </c>
      <c r="K2070">
        <v>60002</v>
      </c>
      <c r="L2070">
        <v>1737</v>
      </c>
      <c r="M2070">
        <v>6</v>
      </c>
      <c r="N2070">
        <v>2</v>
      </c>
      <c r="O2070">
        <v>0</v>
      </c>
      <c r="P2070" t="s">
        <v>18</v>
      </c>
      <c r="Q2070">
        <v>3</v>
      </c>
      <c r="R2070">
        <v>0</v>
      </c>
      <c r="S2070" t="s">
        <v>21</v>
      </c>
      <c r="T2070">
        <v>2</v>
      </c>
      <c r="U2070">
        <v>4</v>
      </c>
    </row>
    <row r="2071" spans="1:21" x14ac:dyDescent="0.25">
      <c r="A2071" t="str">
        <f>"10500445"</f>
        <v>10500445</v>
      </c>
      <c r="B2071" t="s">
        <v>15</v>
      </c>
      <c r="C2071" s="1">
        <v>43749</v>
      </c>
      <c r="D2071" s="2">
        <f>YEAR(C2071)</f>
        <v>2019</v>
      </c>
      <c r="E2071">
        <v>414440</v>
      </c>
      <c r="F2071" t="s">
        <v>85</v>
      </c>
      <c r="G2071" t="s">
        <v>560</v>
      </c>
      <c r="H2071">
        <v>25416</v>
      </c>
      <c r="I2071" t="s">
        <v>679</v>
      </c>
      <c r="J2071" t="str">
        <f>"2"</f>
        <v>2</v>
      </c>
      <c r="K2071">
        <v>60002</v>
      </c>
      <c r="L2071">
        <v>1744</v>
      </c>
      <c r="M2071">
        <v>7</v>
      </c>
      <c r="N2071">
        <v>2</v>
      </c>
      <c r="O2071">
        <v>0</v>
      </c>
      <c r="P2071" t="s">
        <v>18</v>
      </c>
      <c r="Q2071">
        <v>3</v>
      </c>
      <c r="R2071">
        <v>0</v>
      </c>
      <c r="S2071" t="s">
        <v>22</v>
      </c>
      <c r="T2071">
        <v>1</v>
      </c>
      <c r="U2071">
        <v>4</v>
      </c>
    </row>
    <row r="2072" spans="1:21" x14ac:dyDescent="0.25">
      <c r="A2072" t="str">
        <f>"10305230"</f>
        <v>10305230</v>
      </c>
      <c r="B2072" t="s">
        <v>15</v>
      </c>
      <c r="C2072" s="1">
        <v>43581</v>
      </c>
      <c r="D2072" s="2">
        <f>YEAR(C2072)</f>
        <v>2019</v>
      </c>
      <c r="E2072">
        <v>208000</v>
      </c>
      <c r="F2072" t="s">
        <v>85</v>
      </c>
      <c r="G2072">
        <v>1970</v>
      </c>
      <c r="H2072">
        <v>208</v>
      </c>
      <c r="I2072" t="s">
        <v>592</v>
      </c>
      <c r="J2072" t="str">
        <f>"2"</f>
        <v>2</v>
      </c>
      <c r="K2072">
        <v>60002</v>
      </c>
      <c r="L2072">
        <v>1764</v>
      </c>
      <c r="M2072">
        <v>7</v>
      </c>
      <c r="N2072">
        <v>2</v>
      </c>
      <c r="O2072">
        <v>0</v>
      </c>
      <c r="P2072" t="s">
        <v>18</v>
      </c>
      <c r="Q2072">
        <v>3</v>
      </c>
      <c r="R2072">
        <v>0</v>
      </c>
      <c r="S2072" t="s">
        <v>22</v>
      </c>
      <c r="T2072">
        <v>2</v>
      </c>
      <c r="U2072">
        <v>4</v>
      </c>
    </row>
    <row r="2073" spans="1:21" x14ac:dyDescent="0.25">
      <c r="A2073" t="str">
        <f>"10531571"</f>
        <v>10531571</v>
      </c>
      <c r="B2073" t="s">
        <v>15</v>
      </c>
      <c r="C2073" s="1">
        <v>43950</v>
      </c>
      <c r="D2073" s="2">
        <f>YEAR(C2073)</f>
        <v>2020</v>
      </c>
      <c r="E2073">
        <v>305000</v>
      </c>
      <c r="F2073" t="s">
        <v>85</v>
      </c>
      <c r="G2073" t="s">
        <v>560</v>
      </c>
      <c r="H2073">
        <v>38069</v>
      </c>
      <c r="I2073" t="s">
        <v>766</v>
      </c>
      <c r="J2073" t="str">
        <f>"2"</f>
        <v>2</v>
      </c>
      <c r="K2073">
        <v>60002</v>
      </c>
      <c r="L2073">
        <v>1771</v>
      </c>
      <c r="M2073">
        <v>6</v>
      </c>
      <c r="N2073">
        <v>2</v>
      </c>
      <c r="O2073">
        <v>0</v>
      </c>
      <c r="P2073" t="s">
        <v>18</v>
      </c>
      <c r="Q2073">
        <v>3</v>
      </c>
      <c r="R2073">
        <v>0</v>
      </c>
      <c r="S2073" t="s">
        <v>21</v>
      </c>
      <c r="T2073">
        <v>2</v>
      </c>
      <c r="U2073">
        <v>4</v>
      </c>
    </row>
    <row r="2074" spans="1:21" x14ac:dyDescent="0.25">
      <c r="A2074" t="str">
        <f>"10474582"</f>
        <v>10474582</v>
      </c>
      <c r="B2074" t="s">
        <v>15</v>
      </c>
      <c r="C2074" s="1">
        <v>43763</v>
      </c>
      <c r="D2074" s="2">
        <f>YEAR(C2074)</f>
        <v>2019</v>
      </c>
      <c r="E2074">
        <v>212000</v>
      </c>
      <c r="F2074" t="s">
        <v>85</v>
      </c>
      <c r="G2074">
        <v>2005</v>
      </c>
      <c r="H2074">
        <v>26363</v>
      </c>
      <c r="I2074" t="s">
        <v>434</v>
      </c>
      <c r="J2074" t="str">
        <f>"2"</f>
        <v>2</v>
      </c>
      <c r="K2074">
        <v>60002</v>
      </c>
      <c r="L2074">
        <v>1834</v>
      </c>
      <c r="M2074">
        <v>7</v>
      </c>
      <c r="N2074">
        <v>2</v>
      </c>
      <c r="O2074">
        <v>0</v>
      </c>
      <c r="P2074" t="s">
        <v>18</v>
      </c>
      <c r="Q2074">
        <v>3</v>
      </c>
      <c r="R2074">
        <v>0</v>
      </c>
      <c r="S2074" t="s">
        <v>21</v>
      </c>
      <c r="T2074">
        <v>2</v>
      </c>
      <c r="U2074">
        <v>4</v>
      </c>
    </row>
    <row r="2075" spans="1:21" x14ac:dyDescent="0.25">
      <c r="A2075" t="str">
        <f>"10756698"</f>
        <v>10756698</v>
      </c>
      <c r="B2075" t="s">
        <v>15</v>
      </c>
      <c r="C2075" s="1">
        <v>44105</v>
      </c>
      <c r="D2075" s="2">
        <f>YEAR(C2075)</f>
        <v>2020</v>
      </c>
      <c r="E2075">
        <v>339000</v>
      </c>
      <c r="F2075" t="s">
        <v>85</v>
      </c>
      <c r="G2075">
        <v>1955</v>
      </c>
      <c r="H2075">
        <v>26675</v>
      </c>
      <c r="I2075" t="s">
        <v>786</v>
      </c>
      <c r="J2075" t="str">
        <f>"2"</f>
        <v>2</v>
      </c>
      <c r="K2075">
        <v>60002</v>
      </c>
      <c r="L2075">
        <v>1882</v>
      </c>
      <c r="M2075">
        <v>7</v>
      </c>
      <c r="N2075">
        <v>2</v>
      </c>
      <c r="O2075">
        <v>0</v>
      </c>
      <c r="P2075" t="s">
        <v>18</v>
      </c>
      <c r="Q2075">
        <v>4</v>
      </c>
      <c r="R2075">
        <v>0</v>
      </c>
      <c r="S2075" t="s">
        <v>22</v>
      </c>
      <c r="T2075">
        <v>2</v>
      </c>
      <c r="U2075">
        <v>4</v>
      </c>
    </row>
    <row r="2076" spans="1:21" x14ac:dyDescent="0.25">
      <c r="A2076" t="str">
        <f>"10140998"</f>
        <v>10140998</v>
      </c>
      <c r="B2076" t="s">
        <v>15</v>
      </c>
      <c r="C2076" s="1">
        <v>43595</v>
      </c>
      <c r="D2076" s="2">
        <f>YEAR(C2076)</f>
        <v>2019</v>
      </c>
      <c r="E2076">
        <v>199900</v>
      </c>
      <c r="F2076" t="s">
        <v>85</v>
      </c>
      <c r="G2076">
        <v>1998</v>
      </c>
      <c r="H2076">
        <v>903</v>
      </c>
      <c r="I2076" t="s">
        <v>264</v>
      </c>
      <c r="J2076" t="str">
        <f>"2"</f>
        <v>2</v>
      </c>
      <c r="K2076">
        <v>60002</v>
      </c>
      <c r="L2076">
        <v>1920</v>
      </c>
      <c r="M2076">
        <v>8</v>
      </c>
      <c r="N2076">
        <v>2</v>
      </c>
      <c r="O2076">
        <v>1</v>
      </c>
      <c r="P2076" t="s">
        <v>18</v>
      </c>
      <c r="Q2076">
        <v>4</v>
      </c>
      <c r="R2076">
        <v>0</v>
      </c>
      <c r="S2076" t="s">
        <v>21</v>
      </c>
      <c r="T2076">
        <v>2</v>
      </c>
      <c r="U2076">
        <v>4</v>
      </c>
    </row>
    <row r="2077" spans="1:21" x14ac:dyDescent="0.25">
      <c r="A2077" t="str">
        <f>"10754872"</f>
        <v>10754872</v>
      </c>
      <c r="B2077" t="s">
        <v>15</v>
      </c>
      <c r="C2077" s="1">
        <v>44090</v>
      </c>
      <c r="D2077" s="2">
        <f>YEAR(C2077)</f>
        <v>2020</v>
      </c>
      <c r="E2077">
        <v>208500</v>
      </c>
      <c r="F2077" t="s">
        <v>85</v>
      </c>
      <c r="G2077">
        <v>1977</v>
      </c>
      <c r="H2077">
        <v>509</v>
      </c>
      <c r="I2077" t="s">
        <v>792</v>
      </c>
      <c r="J2077" t="str">
        <f>"2"</f>
        <v>2</v>
      </c>
      <c r="K2077">
        <v>60002</v>
      </c>
      <c r="L2077">
        <v>1935</v>
      </c>
      <c r="M2077">
        <v>7</v>
      </c>
      <c r="N2077">
        <v>2</v>
      </c>
      <c r="O2077">
        <v>0</v>
      </c>
      <c r="P2077" t="s">
        <v>18</v>
      </c>
      <c r="Q2077">
        <v>3</v>
      </c>
      <c r="R2077">
        <v>0</v>
      </c>
      <c r="S2077" t="s">
        <v>21</v>
      </c>
      <c r="T2077">
        <v>2.5</v>
      </c>
      <c r="U2077">
        <v>4</v>
      </c>
    </row>
    <row r="2078" spans="1:21" x14ac:dyDescent="0.25">
      <c r="A2078" t="str">
        <f>"10622987"</f>
        <v>10622987</v>
      </c>
      <c r="B2078" t="s">
        <v>15</v>
      </c>
      <c r="C2078" s="1">
        <v>44046</v>
      </c>
      <c r="D2078" s="2">
        <f>YEAR(C2078)</f>
        <v>2020</v>
      </c>
      <c r="E2078">
        <v>215000</v>
      </c>
      <c r="F2078" t="s">
        <v>85</v>
      </c>
      <c r="G2078">
        <v>1960</v>
      </c>
      <c r="H2078">
        <v>27160</v>
      </c>
      <c r="I2078" t="s">
        <v>457</v>
      </c>
      <c r="J2078" t="str">
        <f>"2"</f>
        <v>2</v>
      </c>
      <c r="K2078">
        <v>60002</v>
      </c>
      <c r="L2078">
        <v>1988</v>
      </c>
      <c r="M2078">
        <v>6</v>
      </c>
      <c r="N2078">
        <v>2</v>
      </c>
      <c r="O2078">
        <v>0</v>
      </c>
      <c r="P2078" t="s">
        <v>18</v>
      </c>
      <c r="Q2078">
        <v>3</v>
      </c>
      <c r="R2078">
        <v>0</v>
      </c>
      <c r="S2078" t="s">
        <v>21</v>
      </c>
      <c r="T2078">
        <v>2.5</v>
      </c>
      <c r="U2078">
        <v>4</v>
      </c>
    </row>
    <row r="2079" spans="1:21" x14ac:dyDescent="0.25">
      <c r="A2079" t="str">
        <f>"10879341"</f>
        <v>10879341</v>
      </c>
      <c r="B2079" t="s">
        <v>15</v>
      </c>
      <c r="C2079" s="1">
        <v>44183</v>
      </c>
      <c r="D2079" s="2">
        <f>YEAR(C2079)</f>
        <v>2020</v>
      </c>
      <c r="E2079">
        <v>125000</v>
      </c>
      <c r="F2079" t="s">
        <v>85</v>
      </c>
      <c r="G2079">
        <v>1930</v>
      </c>
      <c r="H2079">
        <v>40177</v>
      </c>
      <c r="I2079" t="s">
        <v>208</v>
      </c>
      <c r="J2079" t="str">
        <f>"2"</f>
        <v>2</v>
      </c>
      <c r="K2079">
        <v>60002</v>
      </c>
      <c r="L2079">
        <v>2170</v>
      </c>
      <c r="M2079">
        <v>5</v>
      </c>
      <c r="N2079">
        <v>2</v>
      </c>
      <c r="O2079">
        <v>0</v>
      </c>
      <c r="P2079" t="s">
        <v>18</v>
      </c>
      <c r="Q2079">
        <v>2</v>
      </c>
      <c r="R2079">
        <v>0</v>
      </c>
      <c r="S2079" t="s">
        <v>19</v>
      </c>
      <c r="T2079">
        <v>0</v>
      </c>
      <c r="U2079">
        <v>4</v>
      </c>
    </row>
    <row r="2080" spans="1:21" x14ac:dyDescent="0.25">
      <c r="A2080" t="str">
        <f>"10361929"</f>
        <v>10361929</v>
      </c>
      <c r="B2080" t="s">
        <v>15</v>
      </c>
      <c r="C2080" s="1">
        <v>43609</v>
      </c>
      <c r="D2080" s="2">
        <f>YEAR(C2080)</f>
        <v>2019</v>
      </c>
      <c r="E2080">
        <v>202500</v>
      </c>
      <c r="F2080" t="s">
        <v>85</v>
      </c>
      <c r="G2080">
        <v>1972</v>
      </c>
      <c r="H2080">
        <v>895</v>
      </c>
      <c r="I2080" t="s">
        <v>815</v>
      </c>
      <c r="J2080" t="str">
        <f>"2"</f>
        <v>2</v>
      </c>
      <c r="K2080">
        <v>60002</v>
      </c>
      <c r="L2080">
        <v>2200</v>
      </c>
      <c r="M2080">
        <v>8</v>
      </c>
      <c r="N2080">
        <v>2</v>
      </c>
      <c r="O2080">
        <v>1</v>
      </c>
      <c r="P2080" t="s">
        <v>79</v>
      </c>
      <c r="Q2080">
        <v>4</v>
      </c>
      <c r="R2080">
        <v>0</v>
      </c>
      <c r="S2080" t="s">
        <v>21</v>
      </c>
      <c r="T2080">
        <v>2</v>
      </c>
      <c r="U2080">
        <v>4</v>
      </c>
    </row>
    <row r="2081" spans="1:21" x14ac:dyDescent="0.25">
      <c r="A2081" t="str">
        <f>"10779713"</f>
        <v>10779713</v>
      </c>
      <c r="B2081" t="s">
        <v>15</v>
      </c>
      <c r="C2081" s="1">
        <v>44082</v>
      </c>
      <c r="D2081" s="2">
        <f>YEAR(C2081)</f>
        <v>2020</v>
      </c>
      <c r="E2081">
        <v>219000</v>
      </c>
      <c r="F2081" t="s">
        <v>85</v>
      </c>
      <c r="G2081">
        <v>1978</v>
      </c>
      <c r="H2081">
        <v>39490</v>
      </c>
      <c r="I2081" t="s">
        <v>611</v>
      </c>
      <c r="J2081" t="str">
        <f>"2"</f>
        <v>2</v>
      </c>
      <c r="K2081">
        <v>60002</v>
      </c>
      <c r="L2081">
        <v>2232</v>
      </c>
      <c r="M2081">
        <v>7</v>
      </c>
      <c r="N2081">
        <v>1</v>
      </c>
      <c r="O2081">
        <v>1</v>
      </c>
      <c r="P2081" t="s">
        <v>18</v>
      </c>
      <c r="Q2081">
        <v>3</v>
      </c>
      <c r="R2081">
        <v>1</v>
      </c>
      <c r="S2081" t="s">
        <v>21</v>
      </c>
      <c r="T2081">
        <v>2</v>
      </c>
      <c r="U2081">
        <v>4</v>
      </c>
    </row>
    <row r="2082" spans="1:21" x14ac:dyDescent="0.25">
      <c r="A2082" t="str">
        <f>"10349319"</f>
        <v>10349319</v>
      </c>
      <c r="B2082" t="s">
        <v>15</v>
      </c>
      <c r="C2082" s="1">
        <v>43623</v>
      </c>
      <c r="D2082" s="2">
        <f>YEAR(C2082)</f>
        <v>2019</v>
      </c>
      <c r="E2082">
        <v>237000</v>
      </c>
      <c r="F2082" t="s">
        <v>85</v>
      </c>
      <c r="G2082">
        <v>1999</v>
      </c>
      <c r="H2082">
        <v>1362</v>
      </c>
      <c r="I2082" t="s">
        <v>845</v>
      </c>
      <c r="J2082" t="str">
        <f>"2"</f>
        <v>2</v>
      </c>
      <c r="K2082">
        <v>60002</v>
      </c>
      <c r="L2082">
        <v>2347</v>
      </c>
      <c r="M2082">
        <v>10</v>
      </c>
      <c r="N2082">
        <v>3</v>
      </c>
      <c r="O2082">
        <v>1</v>
      </c>
      <c r="P2082" t="s">
        <v>79</v>
      </c>
      <c r="Q2082">
        <v>3</v>
      </c>
      <c r="R2082">
        <v>0</v>
      </c>
      <c r="S2082" t="s">
        <v>21</v>
      </c>
      <c r="T2082">
        <v>2.5</v>
      </c>
      <c r="U2082">
        <v>4</v>
      </c>
    </row>
    <row r="2083" spans="1:21" x14ac:dyDescent="0.25">
      <c r="A2083" t="str">
        <f>"10313762"</f>
        <v>10313762</v>
      </c>
      <c r="B2083" t="s">
        <v>15</v>
      </c>
      <c r="C2083" s="1">
        <v>43658</v>
      </c>
      <c r="D2083" s="2">
        <f>YEAR(C2083)</f>
        <v>2019</v>
      </c>
      <c r="E2083">
        <v>217000</v>
      </c>
      <c r="F2083" t="s">
        <v>85</v>
      </c>
      <c r="G2083">
        <v>1971</v>
      </c>
      <c r="H2083">
        <v>123</v>
      </c>
      <c r="I2083" t="s">
        <v>604</v>
      </c>
      <c r="J2083" t="str">
        <f>"2"</f>
        <v>2</v>
      </c>
      <c r="K2083">
        <v>60002</v>
      </c>
      <c r="L2083">
        <v>2460</v>
      </c>
      <c r="M2083">
        <v>7</v>
      </c>
      <c r="N2083">
        <v>3</v>
      </c>
      <c r="O2083">
        <v>0</v>
      </c>
      <c r="P2083" t="s">
        <v>79</v>
      </c>
      <c r="Q2083">
        <v>3</v>
      </c>
      <c r="R2083">
        <v>0</v>
      </c>
      <c r="S2083" t="s">
        <v>21</v>
      </c>
      <c r="T2083">
        <v>2</v>
      </c>
      <c r="U2083">
        <v>4</v>
      </c>
    </row>
    <row r="2084" spans="1:21" x14ac:dyDescent="0.25">
      <c r="A2084" t="str">
        <f>"10417531"</f>
        <v>10417531</v>
      </c>
      <c r="B2084" t="s">
        <v>15</v>
      </c>
      <c r="C2084" s="1">
        <v>43735</v>
      </c>
      <c r="D2084" s="2">
        <f>YEAR(C2084)</f>
        <v>2019</v>
      </c>
      <c r="E2084">
        <v>367400</v>
      </c>
      <c r="F2084" t="s">
        <v>85</v>
      </c>
      <c r="G2084">
        <v>1965</v>
      </c>
      <c r="H2084">
        <v>188</v>
      </c>
      <c r="I2084" t="s">
        <v>158</v>
      </c>
      <c r="J2084" t="str">
        <f>"2"</f>
        <v>2</v>
      </c>
      <c r="K2084">
        <v>60002</v>
      </c>
      <c r="L2084">
        <v>2780</v>
      </c>
      <c r="M2084">
        <v>9</v>
      </c>
      <c r="N2084">
        <v>4</v>
      </c>
      <c r="O2084">
        <v>0</v>
      </c>
      <c r="P2084" t="s">
        <v>79</v>
      </c>
      <c r="Q2084">
        <v>4</v>
      </c>
      <c r="R2084">
        <v>0</v>
      </c>
      <c r="S2084" t="s">
        <v>21</v>
      </c>
      <c r="T2084">
        <v>2</v>
      </c>
      <c r="U2084">
        <v>4</v>
      </c>
    </row>
    <row r="2085" spans="1:21" x14ac:dyDescent="0.25">
      <c r="A2085" t="str">
        <f>"10266307"</f>
        <v>10266307</v>
      </c>
      <c r="B2085" t="s">
        <v>15</v>
      </c>
      <c r="C2085" s="1">
        <v>43552</v>
      </c>
      <c r="D2085" s="2">
        <f>YEAR(C2085)</f>
        <v>2019</v>
      </c>
      <c r="E2085">
        <v>425000</v>
      </c>
      <c r="F2085" t="s">
        <v>85</v>
      </c>
      <c r="G2085">
        <v>1993</v>
      </c>
      <c r="H2085">
        <v>1513</v>
      </c>
      <c r="I2085" t="s">
        <v>880</v>
      </c>
      <c r="J2085" t="str">
        <f>"2"</f>
        <v>2</v>
      </c>
      <c r="K2085">
        <v>60002</v>
      </c>
      <c r="L2085">
        <v>2838</v>
      </c>
      <c r="M2085">
        <v>10</v>
      </c>
      <c r="N2085">
        <v>4</v>
      </c>
      <c r="O2085">
        <v>1</v>
      </c>
      <c r="P2085" t="s">
        <v>79</v>
      </c>
      <c r="Q2085">
        <v>4</v>
      </c>
      <c r="R2085">
        <v>1</v>
      </c>
      <c r="S2085" t="s">
        <v>21</v>
      </c>
      <c r="T2085">
        <v>3</v>
      </c>
      <c r="U2085">
        <v>4</v>
      </c>
    </row>
    <row r="2086" spans="1:21" x14ac:dyDescent="0.25">
      <c r="A2086" t="str">
        <f>"10304081"</f>
        <v>10304081</v>
      </c>
      <c r="B2086" t="s">
        <v>15</v>
      </c>
      <c r="C2086" s="1">
        <v>43566</v>
      </c>
      <c r="D2086" s="2">
        <f>YEAR(C2086)</f>
        <v>2019</v>
      </c>
      <c r="E2086">
        <v>40000</v>
      </c>
      <c r="F2086" t="s">
        <v>85</v>
      </c>
      <c r="G2086">
        <v>1985</v>
      </c>
      <c r="H2086">
        <v>42185</v>
      </c>
      <c r="I2086" t="s">
        <v>889</v>
      </c>
      <c r="J2086" t="str">
        <f>"2"</f>
        <v>2</v>
      </c>
      <c r="K2086">
        <v>60002</v>
      </c>
      <c r="L2086">
        <v>2850</v>
      </c>
      <c r="M2086">
        <v>9</v>
      </c>
      <c r="N2086">
        <v>2</v>
      </c>
      <c r="O2086">
        <v>0</v>
      </c>
      <c r="P2086" t="s">
        <v>18</v>
      </c>
      <c r="Q2086">
        <v>3</v>
      </c>
      <c r="R2086">
        <v>0</v>
      </c>
      <c r="S2086" t="s">
        <v>19</v>
      </c>
      <c r="T2086">
        <v>0</v>
      </c>
      <c r="U2086">
        <v>4</v>
      </c>
    </row>
    <row r="2087" spans="1:21" x14ac:dyDescent="0.25">
      <c r="A2087" t="str">
        <f>"10149330"</f>
        <v>10149330</v>
      </c>
      <c r="B2087" t="s">
        <v>15</v>
      </c>
      <c r="C2087" s="1">
        <v>43480</v>
      </c>
      <c r="D2087" s="2">
        <f>YEAR(C2087)</f>
        <v>2019</v>
      </c>
      <c r="E2087">
        <v>81900</v>
      </c>
      <c r="F2087" t="s">
        <v>85</v>
      </c>
      <c r="G2087">
        <v>1960</v>
      </c>
      <c r="H2087">
        <v>25166</v>
      </c>
      <c r="I2087" t="s">
        <v>797</v>
      </c>
      <c r="J2087" t="str">
        <f>"2"</f>
        <v>2</v>
      </c>
      <c r="K2087">
        <v>60002</v>
      </c>
      <c r="L2087">
        <v>2990</v>
      </c>
      <c r="M2087">
        <v>10</v>
      </c>
      <c r="N2087">
        <v>3</v>
      </c>
      <c r="O2087">
        <v>0</v>
      </c>
      <c r="P2087" t="s">
        <v>18</v>
      </c>
      <c r="Q2087">
        <v>4</v>
      </c>
      <c r="R2087">
        <v>1</v>
      </c>
      <c r="S2087" t="s">
        <v>19</v>
      </c>
      <c r="T2087">
        <v>0</v>
      </c>
      <c r="U2087">
        <v>4</v>
      </c>
    </row>
    <row r="2088" spans="1:21" x14ac:dyDescent="0.25">
      <c r="A2088" t="str">
        <f>"10583281"</f>
        <v>10583281</v>
      </c>
      <c r="B2088" t="s">
        <v>15</v>
      </c>
      <c r="C2088" s="1">
        <v>43845</v>
      </c>
      <c r="D2088" s="2">
        <f>YEAR(C2088)</f>
        <v>2020</v>
      </c>
      <c r="E2088">
        <v>208000</v>
      </c>
      <c r="F2088" t="s">
        <v>85</v>
      </c>
      <c r="G2088">
        <v>1970</v>
      </c>
      <c r="H2088">
        <v>141</v>
      </c>
      <c r="I2088" t="s">
        <v>651</v>
      </c>
      <c r="J2088" t="str">
        <f>"2"</f>
        <v>2</v>
      </c>
      <c r="K2088">
        <v>60002</v>
      </c>
      <c r="L2088">
        <v>3152</v>
      </c>
      <c r="M2088">
        <v>8</v>
      </c>
      <c r="N2088">
        <v>3</v>
      </c>
      <c r="O2088">
        <v>1</v>
      </c>
      <c r="P2088" t="s">
        <v>18</v>
      </c>
      <c r="Q2088">
        <v>4</v>
      </c>
      <c r="R2088">
        <v>0</v>
      </c>
      <c r="S2088" t="s">
        <v>21</v>
      </c>
      <c r="T2088">
        <v>2</v>
      </c>
      <c r="U2088">
        <v>4</v>
      </c>
    </row>
    <row r="2089" spans="1:21" x14ac:dyDescent="0.25">
      <c r="A2089" t="str">
        <f>"10753105"</f>
        <v>10753105</v>
      </c>
      <c r="B2089" t="s">
        <v>15</v>
      </c>
      <c r="C2089" s="1">
        <v>44085</v>
      </c>
      <c r="D2089" s="2">
        <f>YEAR(C2089)</f>
        <v>2020</v>
      </c>
      <c r="E2089">
        <v>409000</v>
      </c>
      <c r="F2089" t="s">
        <v>85</v>
      </c>
      <c r="G2089">
        <v>1995</v>
      </c>
      <c r="H2089">
        <v>40527</v>
      </c>
      <c r="I2089" t="s">
        <v>842</v>
      </c>
      <c r="J2089" t="str">
        <f>"2"</f>
        <v>2</v>
      </c>
      <c r="K2089">
        <v>60002</v>
      </c>
      <c r="L2089">
        <v>3200</v>
      </c>
      <c r="M2089">
        <v>10</v>
      </c>
      <c r="N2089">
        <v>4</v>
      </c>
      <c r="O2089">
        <v>0</v>
      </c>
      <c r="P2089" t="s">
        <v>79</v>
      </c>
      <c r="Q2089">
        <v>3</v>
      </c>
      <c r="R2089">
        <v>2</v>
      </c>
      <c r="S2089" t="s">
        <v>21</v>
      </c>
      <c r="T2089">
        <v>4</v>
      </c>
      <c r="U2089">
        <v>4</v>
      </c>
    </row>
    <row r="2090" spans="1:21" x14ac:dyDescent="0.25">
      <c r="A2090" t="str">
        <f>"10928240"</f>
        <v>10928240</v>
      </c>
      <c r="B2090" t="s">
        <v>15</v>
      </c>
      <c r="C2090" s="1">
        <v>44193</v>
      </c>
      <c r="D2090" s="2">
        <f>YEAR(C2090)</f>
        <v>2020</v>
      </c>
      <c r="E2090">
        <v>230000</v>
      </c>
      <c r="F2090" t="s">
        <v>85</v>
      </c>
      <c r="G2090">
        <v>2003</v>
      </c>
      <c r="H2090">
        <v>80</v>
      </c>
      <c r="I2090" t="s">
        <v>733</v>
      </c>
      <c r="J2090" t="str">
        <f>"2"</f>
        <v>2</v>
      </c>
      <c r="K2090">
        <v>60002</v>
      </c>
      <c r="L2090">
        <v>3257</v>
      </c>
      <c r="M2090">
        <v>8</v>
      </c>
      <c r="N2090">
        <v>3</v>
      </c>
      <c r="O2090">
        <v>0</v>
      </c>
      <c r="P2090" t="s">
        <v>79</v>
      </c>
      <c r="Q2090">
        <v>3</v>
      </c>
      <c r="R2090">
        <v>0</v>
      </c>
      <c r="S2090" t="s">
        <v>21</v>
      </c>
      <c r="T2090">
        <v>2</v>
      </c>
      <c r="U2090">
        <v>4</v>
      </c>
    </row>
    <row r="2091" spans="1:21" x14ac:dyDescent="0.25">
      <c r="A2091" t="str">
        <f>"09970683"</f>
        <v>09970683</v>
      </c>
      <c r="B2091" t="s">
        <v>15</v>
      </c>
      <c r="C2091" s="1">
        <v>43476</v>
      </c>
      <c r="D2091" s="2">
        <f>YEAR(C2091)</f>
        <v>2019</v>
      </c>
      <c r="E2091">
        <v>620000</v>
      </c>
      <c r="F2091" t="s">
        <v>85</v>
      </c>
      <c r="G2091">
        <v>1921</v>
      </c>
      <c r="H2091">
        <v>26398</v>
      </c>
      <c r="I2091" t="s">
        <v>570</v>
      </c>
      <c r="J2091" t="str">
        <f>"2"</f>
        <v>2</v>
      </c>
      <c r="K2091">
        <v>60002</v>
      </c>
      <c r="L2091">
        <v>3324</v>
      </c>
      <c r="M2091">
        <v>10</v>
      </c>
      <c r="N2091">
        <v>4</v>
      </c>
      <c r="O2091">
        <v>0</v>
      </c>
      <c r="P2091" t="s">
        <v>79</v>
      </c>
      <c r="Q2091">
        <v>4</v>
      </c>
      <c r="R2091">
        <v>0</v>
      </c>
      <c r="S2091" t="s">
        <v>19</v>
      </c>
      <c r="T2091">
        <v>0</v>
      </c>
      <c r="U2091">
        <v>4</v>
      </c>
    </row>
    <row r="2092" spans="1:21" x14ac:dyDescent="0.25">
      <c r="A2092" t="str">
        <f>"10413920"</f>
        <v>10413920</v>
      </c>
      <c r="B2092" t="s">
        <v>15</v>
      </c>
      <c r="C2092" s="1">
        <v>43661</v>
      </c>
      <c r="D2092" s="2">
        <f>YEAR(C2092)</f>
        <v>2019</v>
      </c>
      <c r="E2092">
        <v>260000</v>
      </c>
      <c r="F2092" t="s">
        <v>85</v>
      </c>
      <c r="G2092">
        <v>2004</v>
      </c>
      <c r="H2092">
        <v>1083</v>
      </c>
      <c r="I2092" t="s">
        <v>785</v>
      </c>
      <c r="J2092" t="str">
        <f>"2"</f>
        <v>2</v>
      </c>
      <c r="K2092">
        <v>60002</v>
      </c>
      <c r="L2092">
        <v>3368</v>
      </c>
      <c r="M2092">
        <v>9</v>
      </c>
      <c r="N2092">
        <v>2</v>
      </c>
      <c r="O2092">
        <v>1</v>
      </c>
      <c r="P2092" t="s">
        <v>18</v>
      </c>
      <c r="Q2092">
        <v>3</v>
      </c>
      <c r="R2092">
        <v>0</v>
      </c>
      <c r="S2092" t="s">
        <v>21</v>
      </c>
      <c r="T2092">
        <v>3</v>
      </c>
      <c r="U2092">
        <v>4</v>
      </c>
    </row>
    <row r="2093" spans="1:21" x14ac:dyDescent="0.25">
      <c r="A2093" t="str">
        <f>"10688382"</f>
        <v>10688382</v>
      </c>
      <c r="B2093" t="s">
        <v>15</v>
      </c>
      <c r="C2093" s="1">
        <v>44057</v>
      </c>
      <c r="D2093" s="2">
        <f>YEAR(C2093)</f>
        <v>2020</v>
      </c>
      <c r="E2093">
        <v>265000</v>
      </c>
      <c r="F2093" t="s">
        <v>85</v>
      </c>
      <c r="G2093">
        <v>2001</v>
      </c>
      <c r="H2093">
        <v>654</v>
      </c>
      <c r="I2093" t="s">
        <v>887</v>
      </c>
      <c r="J2093" t="str">
        <f>"2"</f>
        <v>2</v>
      </c>
      <c r="K2093">
        <v>60002</v>
      </c>
      <c r="L2093">
        <v>4136</v>
      </c>
      <c r="M2093">
        <v>11</v>
      </c>
      <c r="N2093">
        <v>3</v>
      </c>
      <c r="O2093">
        <v>0</v>
      </c>
      <c r="P2093" t="s">
        <v>18</v>
      </c>
      <c r="Q2093">
        <v>4</v>
      </c>
      <c r="R2093">
        <v>0</v>
      </c>
      <c r="S2093" t="s">
        <v>21</v>
      </c>
      <c r="T2093">
        <v>2</v>
      </c>
      <c r="U2093">
        <v>4</v>
      </c>
    </row>
    <row r="2094" spans="1:21" x14ac:dyDescent="0.25">
      <c r="A2094" t="str">
        <f>"10830295"</f>
        <v>10830295</v>
      </c>
      <c r="B2094" t="s">
        <v>15</v>
      </c>
      <c r="C2094" s="1">
        <v>44134</v>
      </c>
      <c r="D2094" s="2">
        <f>YEAR(C2094)</f>
        <v>2020</v>
      </c>
      <c r="E2094">
        <v>287000</v>
      </c>
      <c r="F2094" t="s">
        <v>85</v>
      </c>
      <c r="G2094">
        <v>2005</v>
      </c>
      <c r="H2094">
        <v>965</v>
      </c>
      <c r="I2094" t="s">
        <v>236</v>
      </c>
      <c r="J2094" t="str">
        <f>"2"</f>
        <v>2</v>
      </c>
      <c r="K2094">
        <v>60002</v>
      </c>
      <c r="L2094">
        <v>4605</v>
      </c>
      <c r="M2094">
        <v>12</v>
      </c>
      <c r="N2094">
        <v>2</v>
      </c>
      <c r="O2094">
        <v>1</v>
      </c>
      <c r="P2094" t="s">
        <v>18</v>
      </c>
      <c r="Q2094">
        <v>4</v>
      </c>
      <c r="R2094">
        <v>0</v>
      </c>
      <c r="S2094" t="s">
        <v>21</v>
      </c>
      <c r="T2094">
        <v>2</v>
      </c>
      <c r="U2094">
        <v>4</v>
      </c>
    </row>
    <row r="2095" spans="1:21" x14ac:dyDescent="0.25">
      <c r="A2095" t="str">
        <f>"10702410"</f>
        <v>10702410</v>
      </c>
      <c r="B2095" t="s">
        <v>15</v>
      </c>
      <c r="C2095" s="1">
        <v>44041</v>
      </c>
      <c r="D2095" s="2">
        <f>YEAR(C2095)</f>
        <v>2020</v>
      </c>
      <c r="E2095">
        <v>590000</v>
      </c>
      <c r="F2095" t="s">
        <v>85</v>
      </c>
      <c r="G2095">
        <v>2004</v>
      </c>
      <c r="H2095">
        <v>1488</v>
      </c>
      <c r="I2095" t="s">
        <v>880</v>
      </c>
      <c r="J2095" t="str">
        <f>"2"</f>
        <v>2</v>
      </c>
      <c r="K2095">
        <v>60002</v>
      </c>
      <c r="L2095">
        <v>6857</v>
      </c>
      <c r="M2095">
        <v>15</v>
      </c>
      <c r="N2095">
        <v>5</v>
      </c>
      <c r="O2095">
        <v>0</v>
      </c>
      <c r="P2095" t="s">
        <v>79</v>
      </c>
      <c r="Q2095">
        <v>5</v>
      </c>
      <c r="R2095">
        <v>0</v>
      </c>
      <c r="S2095" t="s">
        <v>21</v>
      </c>
      <c r="T2095">
        <v>3</v>
      </c>
      <c r="U2095">
        <v>4</v>
      </c>
    </row>
    <row r="2096" spans="1:21" x14ac:dyDescent="0.25">
      <c r="A2096">
        <v>9941710</v>
      </c>
      <c r="B2096" t="s">
        <v>15</v>
      </c>
      <c r="C2096" s="1">
        <v>43259</v>
      </c>
      <c r="D2096" s="2">
        <f>YEAR(C2096)</f>
        <v>2018</v>
      </c>
      <c r="E2096">
        <v>360000</v>
      </c>
      <c r="F2096" t="s">
        <v>85</v>
      </c>
      <c r="G2096">
        <v>1955</v>
      </c>
      <c r="H2096">
        <v>9711</v>
      </c>
      <c r="I2096" t="s">
        <v>107</v>
      </c>
      <c r="J2096">
        <v>76</v>
      </c>
      <c r="K2096">
        <v>60076</v>
      </c>
      <c r="L2096">
        <v>1650</v>
      </c>
      <c r="M2096">
        <v>9</v>
      </c>
      <c r="N2096">
        <v>2</v>
      </c>
      <c r="O2096">
        <v>0</v>
      </c>
      <c r="P2096" t="s">
        <v>18</v>
      </c>
      <c r="Q2096">
        <v>5</v>
      </c>
      <c r="R2096">
        <v>0</v>
      </c>
      <c r="S2096" t="s">
        <v>22</v>
      </c>
      <c r="T2096">
        <v>2</v>
      </c>
      <c r="U2096">
        <v>5</v>
      </c>
    </row>
    <row r="2097" spans="1:21" x14ac:dyDescent="0.25">
      <c r="A2097">
        <v>10067880</v>
      </c>
      <c r="B2097" t="s">
        <v>15</v>
      </c>
      <c r="C2097" s="1">
        <v>43497</v>
      </c>
      <c r="D2097" s="2">
        <f>YEAR(C2097)</f>
        <v>2019</v>
      </c>
      <c r="E2097">
        <v>333000</v>
      </c>
      <c r="F2097" t="s">
        <v>85</v>
      </c>
      <c r="G2097">
        <v>1964</v>
      </c>
      <c r="H2097">
        <v>9237</v>
      </c>
      <c r="I2097" t="s">
        <v>123</v>
      </c>
      <c r="J2097">
        <v>76</v>
      </c>
      <c r="K2097">
        <v>60076</v>
      </c>
      <c r="L2097">
        <v>2341</v>
      </c>
      <c r="M2097">
        <v>8</v>
      </c>
      <c r="N2097">
        <v>2</v>
      </c>
      <c r="O2097">
        <v>0</v>
      </c>
      <c r="P2097" t="s">
        <v>18</v>
      </c>
      <c r="Q2097">
        <v>3</v>
      </c>
      <c r="R2097">
        <v>0</v>
      </c>
      <c r="S2097" t="s">
        <v>19</v>
      </c>
      <c r="T2097">
        <v>0</v>
      </c>
      <c r="U2097">
        <v>5</v>
      </c>
    </row>
    <row r="2098" spans="1:21" x14ac:dyDescent="0.25">
      <c r="A2098">
        <v>9865156</v>
      </c>
      <c r="B2098" t="s">
        <v>15</v>
      </c>
      <c r="C2098" s="1">
        <v>43175</v>
      </c>
      <c r="D2098" s="2">
        <f>YEAR(C2098)</f>
        <v>2018</v>
      </c>
      <c r="E2098">
        <v>185000</v>
      </c>
      <c r="F2098" t="s">
        <v>85</v>
      </c>
      <c r="G2098">
        <v>1951</v>
      </c>
      <c r="H2098">
        <v>8645</v>
      </c>
      <c r="I2098" t="s">
        <v>46</v>
      </c>
      <c r="J2098">
        <v>76</v>
      </c>
      <c r="K2098">
        <v>60077</v>
      </c>
      <c r="L2098">
        <v>1200</v>
      </c>
      <c r="M2098">
        <v>7</v>
      </c>
      <c r="N2098">
        <v>2</v>
      </c>
      <c r="O2098">
        <v>0</v>
      </c>
      <c r="P2098" t="s">
        <v>79</v>
      </c>
      <c r="Q2098">
        <v>2</v>
      </c>
      <c r="R2098">
        <v>1</v>
      </c>
      <c r="S2098" t="s">
        <v>19</v>
      </c>
      <c r="T2098">
        <v>0</v>
      </c>
      <c r="U2098">
        <v>5</v>
      </c>
    </row>
    <row r="2099" spans="1:21" x14ac:dyDescent="0.25">
      <c r="A2099">
        <v>9875127</v>
      </c>
      <c r="B2099" t="s">
        <v>15</v>
      </c>
      <c r="C2099" s="1">
        <v>43279</v>
      </c>
      <c r="D2099" s="2">
        <f>YEAR(C2099)</f>
        <v>2018</v>
      </c>
      <c r="E2099">
        <v>525000</v>
      </c>
      <c r="F2099" t="s">
        <v>85</v>
      </c>
      <c r="G2099">
        <v>1956</v>
      </c>
      <c r="H2099">
        <v>9432</v>
      </c>
      <c r="I2099" t="s">
        <v>152</v>
      </c>
      <c r="J2099">
        <v>76</v>
      </c>
      <c r="K2099">
        <v>60076</v>
      </c>
      <c r="L2099">
        <v>3030</v>
      </c>
      <c r="M2099">
        <v>9</v>
      </c>
      <c r="N2099">
        <v>4</v>
      </c>
      <c r="O2099">
        <v>0</v>
      </c>
      <c r="P2099" t="s">
        <v>79</v>
      </c>
      <c r="Q2099">
        <v>4</v>
      </c>
      <c r="R2099">
        <v>0</v>
      </c>
      <c r="S2099" t="s">
        <v>19</v>
      </c>
      <c r="T2099">
        <v>0</v>
      </c>
      <c r="U2099">
        <v>5</v>
      </c>
    </row>
    <row r="2100" spans="1:21" x14ac:dyDescent="0.25">
      <c r="A2100" t="str">
        <f>"10848121"</f>
        <v>10848121</v>
      </c>
      <c r="B2100" t="s">
        <v>15</v>
      </c>
      <c r="C2100" s="1">
        <v>44120</v>
      </c>
      <c r="D2100" s="2">
        <f>YEAR(C2100)</f>
        <v>2020</v>
      </c>
      <c r="E2100">
        <v>136750</v>
      </c>
      <c r="F2100" t="s">
        <v>85</v>
      </c>
      <c r="G2100">
        <v>1962</v>
      </c>
      <c r="H2100">
        <v>282</v>
      </c>
      <c r="I2100" t="s">
        <v>572</v>
      </c>
      <c r="J2100" t="str">
        <f>"2"</f>
        <v>2</v>
      </c>
      <c r="K2100">
        <v>60002</v>
      </c>
      <c r="L2100">
        <v>1140</v>
      </c>
      <c r="M2100">
        <v>9</v>
      </c>
      <c r="N2100">
        <v>1</v>
      </c>
      <c r="O2100">
        <v>1</v>
      </c>
      <c r="P2100" t="s">
        <v>18</v>
      </c>
      <c r="Q2100">
        <v>4</v>
      </c>
      <c r="R2100">
        <v>0</v>
      </c>
      <c r="S2100" t="s">
        <v>22</v>
      </c>
      <c r="T2100">
        <v>2.5</v>
      </c>
      <c r="U2100">
        <v>5</v>
      </c>
    </row>
    <row r="2101" spans="1:21" x14ac:dyDescent="0.25">
      <c r="A2101" t="str">
        <f>"10299261"</f>
        <v>10299261</v>
      </c>
      <c r="B2101" t="s">
        <v>15</v>
      </c>
      <c r="C2101" s="1">
        <v>43643</v>
      </c>
      <c r="D2101" s="2">
        <f>YEAR(C2101)</f>
        <v>2019</v>
      </c>
      <c r="E2101">
        <v>270000</v>
      </c>
      <c r="F2101" t="s">
        <v>85</v>
      </c>
      <c r="G2101">
        <v>2011</v>
      </c>
      <c r="H2101">
        <v>42497</v>
      </c>
      <c r="I2101" t="s">
        <v>592</v>
      </c>
      <c r="J2101" t="str">
        <f>"2"</f>
        <v>2</v>
      </c>
      <c r="K2101">
        <v>60002</v>
      </c>
      <c r="L2101">
        <v>1389</v>
      </c>
      <c r="M2101">
        <v>5</v>
      </c>
      <c r="N2101">
        <v>1</v>
      </c>
      <c r="O2101">
        <v>1</v>
      </c>
      <c r="P2101" t="s">
        <v>18</v>
      </c>
      <c r="Q2101">
        <v>2</v>
      </c>
      <c r="R2101">
        <v>0</v>
      </c>
      <c r="S2101" t="s">
        <v>22</v>
      </c>
      <c r="T2101">
        <v>2.5</v>
      </c>
      <c r="U2101">
        <v>5</v>
      </c>
    </row>
    <row r="2102" spans="1:21" x14ac:dyDescent="0.25">
      <c r="A2102" t="str">
        <f>"10684993"</f>
        <v>10684993</v>
      </c>
      <c r="B2102" t="s">
        <v>15</v>
      </c>
      <c r="C2102" s="1">
        <v>44078</v>
      </c>
      <c r="D2102" s="2">
        <f>YEAR(C2102)</f>
        <v>2020</v>
      </c>
      <c r="E2102">
        <v>350000</v>
      </c>
      <c r="F2102" t="s">
        <v>85</v>
      </c>
      <c r="G2102">
        <v>1983</v>
      </c>
      <c r="H2102">
        <v>26214</v>
      </c>
      <c r="I2102" t="s">
        <v>699</v>
      </c>
      <c r="J2102" t="str">
        <f>"2"</f>
        <v>2</v>
      </c>
      <c r="K2102">
        <v>60002</v>
      </c>
      <c r="L2102">
        <v>1500</v>
      </c>
      <c r="M2102">
        <v>5</v>
      </c>
      <c r="N2102">
        <v>2</v>
      </c>
      <c r="O2102">
        <v>0</v>
      </c>
      <c r="P2102" t="s">
        <v>79</v>
      </c>
      <c r="Q2102">
        <v>2</v>
      </c>
      <c r="R2102">
        <v>0</v>
      </c>
      <c r="S2102" t="s">
        <v>22</v>
      </c>
      <c r="T2102">
        <v>1</v>
      </c>
      <c r="U2102">
        <v>5</v>
      </c>
    </row>
    <row r="2103" spans="1:21" x14ac:dyDescent="0.25">
      <c r="A2103" t="str">
        <f>"10455361"</f>
        <v>10455361</v>
      </c>
      <c r="B2103" t="s">
        <v>15</v>
      </c>
      <c r="C2103" s="1">
        <v>43720</v>
      </c>
      <c r="D2103" s="2">
        <f>YEAR(C2103)</f>
        <v>2019</v>
      </c>
      <c r="E2103">
        <v>265000</v>
      </c>
      <c r="F2103" t="s">
        <v>85</v>
      </c>
      <c r="G2103">
        <v>1960</v>
      </c>
      <c r="H2103">
        <v>38613</v>
      </c>
      <c r="I2103" t="s">
        <v>593</v>
      </c>
      <c r="J2103" t="str">
        <f>"2"</f>
        <v>2</v>
      </c>
      <c r="K2103">
        <v>60002</v>
      </c>
      <c r="L2103">
        <v>1700</v>
      </c>
      <c r="M2103">
        <v>6</v>
      </c>
      <c r="N2103">
        <v>2</v>
      </c>
      <c r="O2103">
        <v>0</v>
      </c>
      <c r="P2103" t="s">
        <v>18</v>
      </c>
      <c r="Q2103">
        <v>3</v>
      </c>
      <c r="R2103">
        <v>0</v>
      </c>
      <c r="S2103" t="s">
        <v>22</v>
      </c>
      <c r="T2103">
        <v>2.5</v>
      </c>
      <c r="U2103">
        <v>5</v>
      </c>
    </row>
    <row r="2104" spans="1:21" x14ac:dyDescent="0.25">
      <c r="A2104" t="str">
        <f>"10154516"</f>
        <v>10154516</v>
      </c>
      <c r="B2104" t="s">
        <v>15</v>
      </c>
      <c r="C2104" s="1">
        <v>43488</v>
      </c>
      <c r="D2104" s="2">
        <f>YEAR(C2104)</f>
        <v>2019</v>
      </c>
      <c r="E2104">
        <v>118000</v>
      </c>
      <c r="F2104" t="s">
        <v>85</v>
      </c>
      <c r="G2104">
        <v>1944</v>
      </c>
      <c r="H2104">
        <v>1020</v>
      </c>
      <c r="I2104" t="s">
        <v>38</v>
      </c>
      <c r="J2104" t="str">
        <f>"2"</f>
        <v>2</v>
      </c>
      <c r="K2104">
        <v>60002</v>
      </c>
      <c r="L2104">
        <v>1800</v>
      </c>
      <c r="M2104">
        <v>6</v>
      </c>
      <c r="N2104">
        <v>1</v>
      </c>
      <c r="O2104">
        <v>0</v>
      </c>
      <c r="P2104" t="s">
        <v>18</v>
      </c>
      <c r="Q2104">
        <v>3</v>
      </c>
      <c r="R2104">
        <v>0</v>
      </c>
      <c r="S2104" t="s">
        <v>19</v>
      </c>
      <c r="T2104">
        <v>0</v>
      </c>
      <c r="U2104">
        <v>5</v>
      </c>
    </row>
    <row r="2105" spans="1:21" x14ac:dyDescent="0.25">
      <c r="A2105" t="str">
        <f>"10772649"</f>
        <v>10772649</v>
      </c>
      <c r="B2105" t="s">
        <v>15</v>
      </c>
      <c r="C2105" s="1">
        <v>44054</v>
      </c>
      <c r="D2105" s="2">
        <f>YEAR(C2105)</f>
        <v>2020</v>
      </c>
      <c r="E2105">
        <v>311000</v>
      </c>
      <c r="F2105" t="s">
        <v>85</v>
      </c>
      <c r="G2105">
        <v>1950</v>
      </c>
      <c r="H2105">
        <v>41030</v>
      </c>
      <c r="I2105" t="s">
        <v>782</v>
      </c>
      <c r="J2105" t="str">
        <f>"2"</f>
        <v>2</v>
      </c>
      <c r="K2105">
        <v>60002</v>
      </c>
      <c r="L2105">
        <v>1872</v>
      </c>
      <c r="M2105">
        <v>6</v>
      </c>
      <c r="N2105">
        <v>2</v>
      </c>
      <c r="O2105">
        <v>0</v>
      </c>
      <c r="P2105" t="s">
        <v>18</v>
      </c>
      <c r="Q2105">
        <v>3</v>
      </c>
      <c r="R2105">
        <v>0</v>
      </c>
      <c r="S2105" t="s">
        <v>19</v>
      </c>
      <c r="T2105">
        <v>0</v>
      </c>
      <c r="U2105">
        <v>5</v>
      </c>
    </row>
    <row r="2106" spans="1:21" x14ac:dyDescent="0.25">
      <c r="A2106" t="str">
        <f>"10888287"</f>
        <v>10888287</v>
      </c>
      <c r="B2106" t="s">
        <v>15</v>
      </c>
      <c r="C2106" s="1">
        <v>44169</v>
      </c>
      <c r="D2106" s="2">
        <f>YEAR(C2106)</f>
        <v>2020</v>
      </c>
      <c r="E2106">
        <v>204000</v>
      </c>
      <c r="F2106" t="s">
        <v>85</v>
      </c>
      <c r="G2106">
        <v>1957</v>
      </c>
      <c r="H2106">
        <v>26018</v>
      </c>
      <c r="I2106" t="s">
        <v>811</v>
      </c>
      <c r="J2106" t="str">
        <f>"2"</f>
        <v>2</v>
      </c>
      <c r="K2106">
        <v>60002</v>
      </c>
      <c r="L2106">
        <v>2083</v>
      </c>
      <c r="M2106">
        <v>7</v>
      </c>
      <c r="N2106">
        <v>2</v>
      </c>
      <c r="O2106">
        <v>0</v>
      </c>
      <c r="P2106" t="s">
        <v>18</v>
      </c>
      <c r="Q2106">
        <v>2</v>
      </c>
      <c r="R2106">
        <v>1</v>
      </c>
      <c r="S2106" t="s">
        <v>19</v>
      </c>
      <c r="T2106">
        <v>0</v>
      </c>
      <c r="U2106">
        <v>5</v>
      </c>
    </row>
    <row r="2107" spans="1:21" x14ac:dyDescent="0.25">
      <c r="A2107" t="str">
        <f>"10768722"</f>
        <v>10768722</v>
      </c>
      <c r="B2107" t="s">
        <v>15</v>
      </c>
      <c r="C2107" s="1">
        <v>44075</v>
      </c>
      <c r="D2107" s="2">
        <f>YEAR(C2107)</f>
        <v>2020</v>
      </c>
      <c r="E2107">
        <v>390000</v>
      </c>
      <c r="F2107" t="s">
        <v>85</v>
      </c>
      <c r="G2107">
        <v>1995</v>
      </c>
      <c r="H2107">
        <v>42767</v>
      </c>
      <c r="I2107" t="s">
        <v>570</v>
      </c>
      <c r="J2107" t="str">
        <f>"2"</f>
        <v>2</v>
      </c>
      <c r="K2107">
        <v>60002</v>
      </c>
      <c r="L2107">
        <v>2220</v>
      </c>
      <c r="M2107">
        <v>10</v>
      </c>
      <c r="N2107">
        <v>3</v>
      </c>
      <c r="O2107">
        <v>1</v>
      </c>
      <c r="P2107" t="s">
        <v>79</v>
      </c>
      <c r="Q2107">
        <v>3</v>
      </c>
      <c r="R2107">
        <v>1</v>
      </c>
      <c r="S2107" t="s">
        <v>21</v>
      </c>
      <c r="T2107">
        <v>2.5</v>
      </c>
      <c r="U2107">
        <v>5</v>
      </c>
    </row>
    <row r="2108" spans="1:21" x14ac:dyDescent="0.25">
      <c r="A2108" t="str">
        <f>"10714356"</f>
        <v>10714356</v>
      </c>
      <c r="B2108" t="s">
        <v>15</v>
      </c>
      <c r="C2108" s="1">
        <v>44092</v>
      </c>
      <c r="D2108" s="2">
        <f>YEAR(C2108)</f>
        <v>2020</v>
      </c>
      <c r="E2108">
        <v>275000</v>
      </c>
      <c r="F2108" t="s">
        <v>85</v>
      </c>
      <c r="G2108">
        <v>1887</v>
      </c>
      <c r="H2108">
        <v>998</v>
      </c>
      <c r="I2108" t="s">
        <v>579</v>
      </c>
      <c r="J2108" t="str">
        <f>"2"</f>
        <v>2</v>
      </c>
      <c r="K2108">
        <v>60002</v>
      </c>
      <c r="L2108">
        <v>2252</v>
      </c>
      <c r="M2108">
        <v>8</v>
      </c>
      <c r="N2108">
        <v>2</v>
      </c>
      <c r="O2108">
        <v>0</v>
      </c>
      <c r="P2108" t="s">
        <v>18</v>
      </c>
      <c r="Q2108">
        <v>4</v>
      </c>
      <c r="R2108">
        <v>0</v>
      </c>
      <c r="S2108" t="s">
        <v>22</v>
      </c>
      <c r="T2108">
        <v>2</v>
      </c>
      <c r="U2108">
        <v>5</v>
      </c>
    </row>
    <row r="2109" spans="1:21" x14ac:dyDescent="0.25">
      <c r="A2109" t="str">
        <f>"10414044"</f>
        <v>10414044</v>
      </c>
      <c r="B2109" t="s">
        <v>15</v>
      </c>
      <c r="C2109" s="1">
        <v>43699</v>
      </c>
      <c r="D2109" s="2">
        <f>YEAR(C2109)</f>
        <v>2019</v>
      </c>
      <c r="E2109">
        <v>750000</v>
      </c>
      <c r="F2109" t="s">
        <v>85</v>
      </c>
      <c r="G2109">
        <v>1925</v>
      </c>
      <c r="H2109">
        <v>1192</v>
      </c>
      <c r="I2109" t="s">
        <v>906</v>
      </c>
      <c r="J2109" t="str">
        <f>"2"</f>
        <v>2</v>
      </c>
      <c r="K2109">
        <v>60002</v>
      </c>
      <c r="L2109">
        <v>3100</v>
      </c>
      <c r="M2109">
        <v>10</v>
      </c>
      <c r="N2109">
        <v>3</v>
      </c>
      <c r="O2109">
        <v>1</v>
      </c>
      <c r="P2109" t="s">
        <v>18</v>
      </c>
      <c r="Q2109">
        <v>4</v>
      </c>
      <c r="R2109">
        <v>0</v>
      </c>
      <c r="S2109" t="s">
        <v>21</v>
      </c>
      <c r="T2109">
        <v>5</v>
      </c>
      <c r="U2109">
        <v>5</v>
      </c>
    </row>
    <row r="2110" spans="1:21" x14ac:dyDescent="0.25">
      <c r="A2110" t="str">
        <f>"10532549"</f>
        <v>10532549</v>
      </c>
      <c r="B2110" t="s">
        <v>15</v>
      </c>
      <c r="C2110" s="1">
        <v>43969</v>
      </c>
      <c r="D2110" s="2">
        <f>YEAR(C2110)</f>
        <v>2020</v>
      </c>
      <c r="E2110">
        <v>520000</v>
      </c>
      <c r="F2110" t="s">
        <v>85</v>
      </c>
      <c r="G2110">
        <v>2002</v>
      </c>
      <c r="H2110">
        <v>617</v>
      </c>
      <c r="I2110" t="s">
        <v>933</v>
      </c>
      <c r="J2110" t="str">
        <f>"2"</f>
        <v>2</v>
      </c>
      <c r="K2110">
        <v>60002</v>
      </c>
      <c r="L2110">
        <v>6292</v>
      </c>
      <c r="M2110">
        <v>14</v>
      </c>
      <c r="N2110">
        <v>3</v>
      </c>
      <c r="O2110">
        <v>1</v>
      </c>
      <c r="P2110" t="s">
        <v>18</v>
      </c>
      <c r="Q2110">
        <v>4</v>
      </c>
      <c r="R2110">
        <v>1</v>
      </c>
      <c r="S2110" t="s">
        <v>21</v>
      </c>
      <c r="T2110">
        <v>4</v>
      </c>
      <c r="U2110">
        <v>5</v>
      </c>
    </row>
    <row r="2111" spans="1:21" x14ac:dyDescent="0.25">
      <c r="A2111">
        <v>9591525</v>
      </c>
      <c r="B2111" t="s">
        <v>15</v>
      </c>
      <c r="C2111" s="1">
        <v>42965</v>
      </c>
      <c r="D2111" s="2">
        <f>YEAR(C2111)</f>
        <v>2017</v>
      </c>
      <c r="E2111">
        <v>265000</v>
      </c>
      <c r="F2111" t="s">
        <v>85</v>
      </c>
      <c r="G2111">
        <v>1954</v>
      </c>
      <c r="H2111">
        <v>405</v>
      </c>
      <c r="I2111" t="s">
        <v>189</v>
      </c>
      <c r="J2111">
        <v>62</v>
      </c>
      <c r="K2111">
        <v>60062</v>
      </c>
      <c r="L2111">
        <v>1357</v>
      </c>
      <c r="M2111">
        <v>7</v>
      </c>
      <c r="N2111">
        <v>2</v>
      </c>
      <c r="O2111">
        <v>0</v>
      </c>
      <c r="P2111" t="s">
        <v>18</v>
      </c>
      <c r="Q2111">
        <v>2</v>
      </c>
      <c r="R2111">
        <v>0</v>
      </c>
      <c r="S2111" t="s">
        <v>22</v>
      </c>
      <c r="T2111">
        <v>2</v>
      </c>
      <c r="U2111">
        <v>6</v>
      </c>
    </row>
    <row r="2112" spans="1:21" x14ac:dyDescent="0.25">
      <c r="A2112">
        <v>9865545</v>
      </c>
      <c r="B2112" t="s">
        <v>15</v>
      </c>
      <c r="C2112" s="1">
        <v>43221</v>
      </c>
      <c r="D2112" s="2">
        <f>YEAR(C2112)</f>
        <v>2018</v>
      </c>
      <c r="E2112">
        <v>379900</v>
      </c>
      <c r="F2112" t="s">
        <v>85</v>
      </c>
      <c r="G2112">
        <v>1959</v>
      </c>
      <c r="H2112">
        <v>9526</v>
      </c>
      <c r="I2112" t="s">
        <v>98</v>
      </c>
      <c r="J2112">
        <v>76</v>
      </c>
      <c r="K2112">
        <v>60076</v>
      </c>
      <c r="L2112">
        <v>1951</v>
      </c>
      <c r="M2112">
        <v>8</v>
      </c>
      <c r="N2112">
        <v>2</v>
      </c>
      <c r="O2112">
        <v>0</v>
      </c>
      <c r="P2112" t="s">
        <v>18</v>
      </c>
      <c r="Q2112">
        <v>3</v>
      </c>
      <c r="R2112">
        <v>0</v>
      </c>
      <c r="S2112" t="s">
        <v>19</v>
      </c>
      <c r="T2112">
        <v>0</v>
      </c>
      <c r="U2112">
        <v>6</v>
      </c>
    </row>
    <row r="2113" spans="1:21" x14ac:dyDescent="0.25">
      <c r="A2113" t="str">
        <f>"10905480"</f>
        <v>10905480</v>
      </c>
      <c r="B2113" t="s">
        <v>15</v>
      </c>
      <c r="C2113" s="1">
        <v>44165</v>
      </c>
      <c r="D2113" s="2">
        <f>YEAR(C2113)</f>
        <v>2020</v>
      </c>
      <c r="E2113">
        <v>175000</v>
      </c>
      <c r="F2113" t="s">
        <v>85</v>
      </c>
      <c r="G2113">
        <v>1965</v>
      </c>
      <c r="H2113">
        <v>26215</v>
      </c>
      <c r="I2113" t="s">
        <v>576</v>
      </c>
      <c r="J2113" t="str">
        <f>"2"</f>
        <v>2</v>
      </c>
      <c r="K2113">
        <v>60002</v>
      </c>
      <c r="L2113">
        <v>830</v>
      </c>
      <c r="M2113">
        <v>5</v>
      </c>
      <c r="N2113">
        <v>1</v>
      </c>
      <c r="O2113">
        <v>0</v>
      </c>
      <c r="P2113" t="s">
        <v>18</v>
      </c>
      <c r="Q2113">
        <v>2</v>
      </c>
      <c r="R2113">
        <v>0</v>
      </c>
      <c r="S2113" t="s">
        <v>21</v>
      </c>
      <c r="T2113">
        <v>1</v>
      </c>
      <c r="U2113">
        <v>6</v>
      </c>
    </row>
    <row r="2114" spans="1:21" x14ac:dyDescent="0.25">
      <c r="A2114" t="str">
        <f>"10794685"</f>
        <v>10794685</v>
      </c>
      <c r="B2114" t="s">
        <v>15</v>
      </c>
      <c r="C2114" s="1">
        <v>44071</v>
      </c>
      <c r="D2114" s="2">
        <f>YEAR(C2114)</f>
        <v>2020</v>
      </c>
      <c r="E2114">
        <v>113000</v>
      </c>
      <c r="F2114" t="s">
        <v>85</v>
      </c>
      <c r="G2114">
        <v>1955</v>
      </c>
      <c r="H2114">
        <v>42698</v>
      </c>
      <c r="I2114" t="s">
        <v>299</v>
      </c>
      <c r="J2114" t="str">
        <f>"2"</f>
        <v>2</v>
      </c>
      <c r="K2114">
        <v>60002</v>
      </c>
      <c r="L2114">
        <v>861</v>
      </c>
      <c r="M2114">
        <v>5</v>
      </c>
      <c r="N2114">
        <v>1</v>
      </c>
      <c r="O2114">
        <v>0</v>
      </c>
      <c r="P2114" t="s">
        <v>18</v>
      </c>
      <c r="Q2114">
        <v>2</v>
      </c>
      <c r="R2114">
        <v>0</v>
      </c>
      <c r="S2114" t="s">
        <v>19</v>
      </c>
      <c r="T2114">
        <v>0</v>
      </c>
      <c r="U2114">
        <v>6</v>
      </c>
    </row>
    <row r="2115" spans="1:21" x14ac:dyDescent="0.25">
      <c r="A2115" t="str">
        <f>"10859166"</f>
        <v>10859166</v>
      </c>
      <c r="B2115" t="s">
        <v>15</v>
      </c>
      <c r="C2115" s="1">
        <v>44140</v>
      </c>
      <c r="D2115" s="2">
        <f>YEAR(C2115)</f>
        <v>2020</v>
      </c>
      <c r="E2115">
        <v>168500</v>
      </c>
      <c r="F2115" t="s">
        <v>85</v>
      </c>
      <c r="G2115">
        <v>1968</v>
      </c>
      <c r="H2115">
        <v>449</v>
      </c>
      <c r="I2115" t="s">
        <v>187</v>
      </c>
      <c r="J2115" t="str">
        <f>"2"</f>
        <v>2</v>
      </c>
      <c r="K2115">
        <v>60002</v>
      </c>
      <c r="L2115">
        <v>975</v>
      </c>
      <c r="M2115">
        <v>5</v>
      </c>
      <c r="N2115">
        <v>1</v>
      </c>
      <c r="O2115">
        <v>0</v>
      </c>
      <c r="P2115" t="s">
        <v>18</v>
      </c>
      <c r="Q2115">
        <v>3</v>
      </c>
      <c r="R2115">
        <v>0</v>
      </c>
      <c r="S2115" t="s">
        <v>22</v>
      </c>
      <c r="T2115">
        <v>2.5</v>
      </c>
      <c r="U2115">
        <v>6</v>
      </c>
    </row>
    <row r="2116" spans="1:21" x14ac:dyDescent="0.25">
      <c r="A2116" t="str">
        <f>"10529093"</f>
        <v>10529093</v>
      </c>
      <c r="B2116" t="s">
        <v>15</v>
      </c>
      <c r="C2116" s="1">
        <v>44046</v>
      </c>
      <c r="D2116" s="2">
        <f>YEAR(C2116)</f>
        <v>2020</v>
      </c>
      <c r="E2116">
        <v>150000</v>
      </c>
      <c r="F2116" t="s">
        <v>85</v>
      </c>
      <c r="G2116">
        <v>1960</v>
      </c>
      <c r="H2116">
        <v>493</v>
      </c>
      <c r="I2116" t="s">
        <v>290</v>
      </c>
      <c r="J2116" t="str">
        <f>"2"</f>
        <v>2</v>
      </c>
      <c r="K2116">
        <v>60002</v>
      </c>
      <c r="L2116">
        <v>984</v>
      </c>
      <c r="M2116">
        <v>5</v>
      </c>
      <c r="N2116">
        <v>2</v>
      </c>
      <c r="O2116">
        <v>0</v>
      </c>
      <c r="P2116" t="s">
        <v>18</v>
      </c>
      <c r="Q2116">
        <v>2</v>
      </c>
      <c r="R2116">
        <v>0</v>
      </c>
      <c r="S2116" t="s">
        <v>22</v>
      </c>
      <c r="T2116">
        <v>2</v>
      </c>
      <c r="U2116">
        <v>6</v>
      </c>
    </row>
    <row r="2117" spans="1:21" x14ac:dyDescent="0.25">
      <c r="A2117" t="str">
        <f>"10532238"</f>
        <v>10532238</v>
      </c>
      <c r="B2117" t="s">
        <v>15</v>
      </c>
      <c r="C2117" s="1">
        <v>43805</v>
      </c>
      <c r="D2117" s="2">
        <f>YEAR(C2117)</f>
        <v>2019</v>
      </c>
      <c r="E2117">
        <v>135000</v>
      </c>
      <c r="F2117" t="s">
        <v>85</v>
      </c>
      <c r="G2117">
        <v>1942</v>
      </c>
      <c r="H2117">
        <v>41959</v>
      </c>
      <c r="I2117" t="s">
        <v>598</v>
      </c>
      <c r="J2117" t="str">
        <f>"2"</f>
        <v>2</v>
      </c>
      <c r="K2117">
        <v>60002</v>
      </c>
      <c r="L2117">
        <v>1000</v>
      </c>
      <c r="M2117">
        <v>5</v>
      </c>
      <c r="N2117">
        <v>1</v>
      </c>
      <c r="O2117">
        <v>0</v>
      </c>
      <c r="P2117" t="s">
        <v>18</v>
      </c>
      <c r="Q2117">
        <v>2</v>
      </c>
      <c r="R2117">
        <v>0</v>
      </c>
      <c r="S2117" t="s">
        <v>19</v>
      </c>
      <c r="T2117">
        <v>0</v>
      </c>
      <c r="U2117">
        <v>6</v>
      </c>
    </row>
    <row r="2118" spans="1:21" x14ac:dyDescent="0.25">
      <c r="A2118" t="str">
        <f>"10696384"</f>
        <v>10696384</v>
      </c>
      <c r="B2118" t="s">
        <v>15</v>
      </c>
      <c r="C2118" s="1">
        <v>44001</v>
      </c>
      <c r="D2118" s="2">
        <f>YEAR(C2118)</f>
        <v>2020</v>
      </c>
      <c r="E2118">
        <v>147400</v>
      </c>
      <c r="F2118" t="s">
        <v>85</v>
      </c>
      <c r="G2118">
        <v>1950</v>
      </c>
      <c r="H2118">
        <v>619</v>
      </c>
      <c r="I2118" t="s">
        <v>38</v>
      </c>
      <c r="J2118" t="str">
        <f>"2"</f>
        <v>2</v>
      </c>
      <c r="K2118">
        <v>60002</v>
      </c>
      <c r="L2118">
        <v>1214</v>
      </c>
      <c r="M2118">
        <v>6</v>
      </c>
      <c r="N2118">
        <v>1</v>
      </c>
      <c r="O2118">
        <v>0</v>
      </c>
      <c r="P2118" t="s">
        <v>18</v>
      </c>
      <c r="Q2118">
        <v>3</v>
      </c>
      <c r="R2118">
        <v>0</v>
      </c>
      <c r="S2118" t="s">
        <v>19</v>
      </c>
      <c r="T2118">
        <v>0</v>
      </c>
      <c r="U2118">
        <v>6</v>
      </c>
    </row>
    <row r="2119" spans="1:21" x14ac:dyDescent="0.25">
      <c r="A2119" t="str">
        <f>"10602737"</f>
        <v>10602737</v>
      </c>
      <c r="B2119" t="s">
        <v>15</v>
      </c>
      <c r="C2119" s="1">
        <v>43915</v>
      </c>
      <c r="D2119" s="2">
        <f>YEAR(C2119)</f>
        <v>2020</v>
      </c>
      <c r="E2119">
        <v>152400</v>
      </c>
      <c r="F2119" t="s">
        <v>85</v>
      </c>
      <c r="G2119">
        <v>1951</v>
      </c>
      <c r="H2119">
        <v>42726</v>
      </c>
      <c r="I2119" t="s">
        <v>570</v>
      </c>
      <c r="J2119" t="str">
        <f>"2"</f>
        <v>2</v>
      </c>
      <c r="K2119">
        <v>60002</v>
      </c>
      <c r="L2119">
        <v>1400</v>
      </c>
      <c r="M2119">
        <v>6</v>
      </c>
      <c r="N2119">
        <v>1</v>
      </c>
      <c r="O2119">
        <v>0</v>
      </c>
      <c r="P2119" t="s">
        <v>18</v>
      </c>
      <c r="Q2119">
        <v>3</v>
      </c>
      <c r="R2119">
        <v>0</v>
      </c>
      <c r="S2119" t="s">
        <v>19</v>
      </c>
      <c r="T2119">
        <v>0</v>
      </c>
      <c r="U2119">
        <v>6</v>
      </c>
    </row>
    <row r="2120" spans="1:21" x14ac:dyDescent="0.25">
      <c r="A2120" t="str">
        <f>"10316353"</f>
        <v>10316353</v>
      </c>
      <c r="B2120" t="s">
        <v>15</v>
      </c>
      <c r="C2120" s="1">
        <v>43661</v>
      </c>
      <c r="D2120" s="2">
        <f>YEAR(C2120)</f>
        <v>2019</v>
      </c>
      <c r="E2120">
        <v>149900</v>
      </c>
      <c r="F2120" t="s">
        <v>85</v>
      </c>
      <c r="G2120">
        <v>1940</v>
      </c>
      <c r="H2120">
        <v>608</v>
      </c>
      <c r="I2120" t="s">
        <v>38</v>
      </c>
      <c r="J2120" t="str">
        <f>"2"</f>
        <v>2</v>
      </c>
      <c r="K2120">
        <v>60002</v>
      </c>
      <c r="L2120">
        <v>1500</v>
      </c>
      <c r="M2120">
        <v>9</v>
      </c>
      <c r="N2120">
        <v>2</v>
      </c>
      <c r="O2120">
        <v>0</v>
      </c>
      <c r="P2120" t="s">
        <v>79</v>
      </c>
      <c r="Q2120">
        <v>2</v>
      </c>
      <c r="R2120">
        <v>1</v>
      </c>
      <c r="S2120" t="s">
        <v>22</v>
      </c>
      <c r="T2120">
        <v>2.5</v>
      </c>
      <c r="U2120">
        <v>6</v>
      </c>
    </row>
    <row r="2121" spans="1:21" x14ac:dyDescent="0.25">
      <c r="A2121" t="str">
        <f>"10712095"</f>
        <v>10712095</v>
      </c>
      <c r="B2121" t="s">
        <v>15</v>
      </c>
      <c r="C2121" s="1">
        <v>44043</v>
      </c>
      <c r="D2121" s="2">
        <f>YEAR(C2121)</f>
        <v>2020</v>
      </c>
      <c r="E2121">
        <v>120000</v>
      </c>
      <c r="F2121" t="s">
        <v>85</v>
      </c>
      <c r="G2121">
        <v>1955</v>
      </c>
      <c r="H2121">
        <v>26177</v>
      </c>
      <c r="I2121" t="s">
        <v>576</v>
      </c>
      <c r="J2121" t="str">
        <f>"2"</f>
        <v>2</v>
      </c>
      <c r="K2121">
        <v>60002</v>
      </c>
      <c r="L2121">
        <v>1617</v>
      </c>
      <c r="M2121">
        <v>5</v>
      </c>
      <c r="N2121">
        <v>1</v>
      </c>
      <c r="O2121">
        <v>0</v>
      </c>
      <c r="P2121" t="s">
        <v>18</v>
      </c>
      <c r="Q2121">
        <v>2</v>
      </c>
      <c r="R2121">
        <v>0</v>
      </c>
      <c r="S2121" t="s">
        <v>19</v>
      </c>
      <c r="T2121">
        <v>0</v>
      </c>
      <c r="U2121">
        <v>6</v>
      </c>
    </row>
    <row r="2122" spans="1:21" x14ac:dyDescent="0.25">
      <c r="A2122" t="str">
        <f>"10388637"</f>
        <v>10388637</v>
      </c>
      <c r="B2122" t="s">
        <v>15</v>
      </c>
      <c r="C2122" s="1">
        <v>43677</v>
      </c>
      <c r="D2122" s="2">
        <f>YEAR(C2122)</f>
        <v>2019</v>
      </c>
      <c r="E2122">
        <v>215000</v>
      </c>
      <c r="F2122" t="s">
        <v>85</v>
      </c>
      <c r="G2122">
        <v>1991</v>
      </c>
      <c r="H2122">
        <v>180</v>
      </c>
      <c r="I2122" t="s">
        <v>772</v>
      </c>
      <c r="J2122" t="str">
        <f>"2"</f>
        <v>2</v>
      </c>
      <c r="K2122">
        <v>60002</v>
      </c>
      <c r="L2122">
        <v>1800</v>
      </c>
      <c r="M2122">
        <v>7</v>
      </c>
      <c r="N2122">
        <v>2</v>
      </c>
      <c r="O2122">
        <v>0</v>
      </c>
      <c r="P2122" t="s">
        <v>79</v>
      </c>
      <c r="Q2122">
        <v>3</v>
      </c>
      <c r="R2122">
        <v>0</v>
      </c>
      <c r="S2122" t="s">
        <v>21</v>
      </c>
      <c r="T2122">
        <v>2.5</v>
      </c>
      <c r="U2122">
        <v>6</v>
      </c>
    </row>
    <row r="2123" spans="1:21" x14ac:dyDescent="0.25">
      <c r="A2123" t="str">
        <f>"10439775"</f>
        <v>10439775</v>
      </c>
      <c r="B2123" t="s">
        <v>15</v>
      </c>
      <c r="C2123" s="1">
        <v>43969</v>
      </c>
      <c r="D2123" s="2">
        <f>YEAR(C2123)</f>
        <v>2020</v>
      </c>
      <c r="E2123">
        <v>239900</v>
      </c>
      <c r="F2123" t="s">
        <v>85</v>
      </c>
      <c r="G2123">
        <v>1965</v>
      </c>
      <c r="H2123">
        <v>25655</v>
      </c>
      <c r="I2123" t="s">
        <v>789</v>
      </c>
      <c r="J2123" t="str">
        <f>"2"</f>
        <v>2</v>
      </c>
      <c r="K2123">
        <v>60002</v>
      </c>
      <c r="L2123">
        <v>1900</v>
      </c>
      <c r="M2123">
        <v>7</v>
      </c>
      <c r="N2123">
        <v>2</v>
      </c>
      <c r="O2123">
        <v>0</v>
      </c>
      <c r="P2123" t="s">
        <v>18</v>
      </c>
      <c r="Q2123">
        <v>4</v>
      </c>
      <c r="R2123">
        <v>0</v>
      </c>
      <c r="S2123" t="s">
        <v>19</v>
      </c>
      <c r="T2123">
        <v>0</v>
      </c>
      <c r="U2123">
        <v>6</v>
      </c>
    </row>
    <row r="2124" spans="1:21" x14ac:dyDescent="0.25">
      <c r="A2124" t="str">
        <f>"10769330"</f>
        <v>10769330</v>
      </c>
      <c r="B2124" t="s">
        <v>15</v>
      </c>
      <c r="C2124" s="1">
        <v>44070</v>
      </c>
      <c r="D2124" s="2">
        <f>YEAR(C2124)</f>
        <v>2020</v>
      </c>
      <c r="E2124">
        <v>213000</v>
      </c>
      <c r="F2124" t="s">
        <v>85</v>
      </c>
      <c r="G2124">
        <v>1975</v>
      </c>
      <c r="H2124">
        <v>204</v>
      </c>
      <c r="I2124" t="s">
        <v>592</v>
      </c>
      <c r="J2124" t="str">
        <f>"2"</f>
        <v>2</v>
      </c>
      <c r="K2124">
        <v>60002</v>
      </c>
      <c r="L2124">
        <v>2000</v>
      </c>
      <c r="M2124">
        <v>9</v>
      </c>
      <c r="N2124">
        <v>2</v>
      </c>
      <c r="O2124">
        <v>1</v>
      </c>
      <c r="P2124" t="s">
        <v>79</v>
      </c>
      <c r="Q2124">
        <v>3</v>
      </c>
      <c r="R2124">
        <v>1</v>
      </c>
      <c r="S2124" t="s">
        <v>21</v>
      </c>
      <c r="T2124">
        <v>2</v>
      </c>
      <c r="U2124">
        <v>6</v>
      </c>
    </row>
    <row r="2125" spans="1:21" x14ac:dyDescent="0.25">
      <c r="A2125" t="str">
        <f>"10110147"</f>
        <v>10110147</v>
      </c>
      <c r="B2125" t="s">
        <v>15</v>
      </c>
      <c r="C2125" s="1">
        <v>43577</v>
      </c>
      <c r="D2125" s="2">
        <f>YEAR(C2125)</f>
        <v>2019</v>
      </c>
      <c r="E2125">
        <v>125000</v>
      </c>
      <c r="F2125" t="s">
        <v>85</v>
      </c>
      <c r="G2125">
        <v>1950</v>
      </c>
      <c r="H2125">
        <v>781</v>
      </c>
      <c r="I2125" t="s">
        <v>38</v>
      </c>
      <c r="J2125" t="str">
        <f>"2"</f>
        <v>2</v>
      </c>
      <c r="K2125">
        <v>60002</v>
      </c>
      <c r="L2125">
        <v>2162</v>
      </c>
      <c r="M2125">
        <v>10</v>
      </c>
      <c r="N2125">
        <v>2</v>
      </c>
      <c r="O2125">
        <v>1</v>
      </c>
      <c r="P2125" t="s">
        <v>79</v>
      </c>
      <c r="Q2125">
        <v>3</v>
      </c>
      <c r="R2125">
        <v>0</v>
      </c>
      <c r="S2125" t="s">
        <v>22</v>
      </c>
      <c r="T2125">
        <v>2</v>
      </c>
      <c r="U2125">
        <v>6</v>
      </c>
    </row>
    <row r="2126" spans="1:21" x14ac:dyDescent="0.25">
      <c r="A2126" t="str">
        <f>"10549152"</f>
        <v>10549152</v>
      </c>
      <c r="B2126" t="s">
        <v>15</v>
      </c>
      <c r="C2126" s="1">
        <v>43822</v>
      </c>
      <c r="D2126" s="2">
        <f>YEAR(C2126)</f>
        <v>2019</v>
      </c>
      <c r="E2126">
        <v>245000</v>
      </c>
      <c r="F2126" t="s">
        <v>85</v>
      </c>
      <c r="G2126">
        <v>1960</v>
      </c>
      <c r="H2126">
        <v>39550</v>
      </c>
      <c r="I2126" t="s">
        <v>839</v>
      </c>
      <c r="J2126" t="str">
        <f>"2"</f>
        <v>2</v>
      </c>
      <c r="K2126">
        <v>60002</v>
      </c>
      <c r="L2126">
        <v>2299</v>
      </c>
      <c r="M2126">
        <v>6</v>
      </c>
      <c r="N2126">
        <v>2</v>
      </c>
      <c r="O2126">
        <v>0</v>
      </c>
      <c r="P2126" t="s">
        <v>18</v>
      </c>
      <c r="Q2126">
        <v>3</v>
      </c>
      <c r="R2126">
        <v>0</v>
      </c>
      <c r="S2126" t="s">
        <v>21</v>
      </c>
      <c r="T2126">
        <v>2.5</v>
      </c>
      <c r="U2126">
        <v>6</v>
      </c>
    </row>
    <row r="2127" spans="1:21" x14ac:dyDescent="0.25">
      <c r="A2127" t="str">
        <f>"10650592"</f>
        <v>10650592</v>
      </c>
      <c r="B2127" t="s">
        <v>15</v>
      </c>
      <c r="C2127" s="1">
        <v>44032</v>
      </c>
      <c r="D2127" s="2">
        <f>YEAR(C2127)</f>
        <v>2020</v>
      </c>
      <c r="E2127">
        <v>368000</v>
      </c>
      <c r="F2127" t="s">
        <v>85</v>
      </c>
      <c r="G2127">
        <v>2000</v>
      </c>
      <c r="H2127">
        <v>40658</v>
      </c>
      <c r="I2127" t="s">
        <v>842</v>
      </c>
      <c r="J2127" t="str">
        <f>"2"</f>
        <v>2</v>
      </c>
      <c r="K2127">
        <v>60002</v>
      </c>
      <c r="L2127">
        <v>2305</v>
      </c>
      <c r="M2127">
        <v>8</v>
      </c>
      <c r="N2127">
        <v>2</v>
      </c>
      <c r="O2127">
        <v>0</v>
      </c>
      <c r="P2127" t="s">
        <v>18</v>
      </c>
      <c r="Q2127">
        <v>3</v>
      </c>
      <c r="R2127">
        <v>0</v>
      </c>
      <c r="S2127" t="s">
        <v>21</v>
      </c>
      <c r="T2127">
        <v>4</v>
      </c>
      <c r="U2127">
        <v>6</v>
      </c>
    </row>
    <row r="2128" spans="1:21" x14ac:dyDescent="0.25">
      <c r="A2128" t="str">
        <f>"10798961"</f>
        <v>10798961</v>
      </c>
      <c r="B2128" t="s">
        <v>15</v>
      </c>
      <c r="C2128" s="1">
        <v>44074</v>
      </c>
      <c r="D2128" s="2">
        <f>YEAR(C2128)</f>
        <v>2020</v>
      </c>
      <c r="E2128">
        <v>302000</v>
      </c>
      <c r="F2128" t="s">
        <v>85</v>
      </c>
      <c r="G2128">
        <v>1985</v>
      </c>
      <c r="H2128">
        <v>41720</v>
      </c>
      <c r="I2128" t="s">
        <v>843</v>
      </c>
      <c r="J2128" t="str">
        <f>"2"</f>
        <v>2</v>
      </c>
      <c r="K2128">
        <v>60002</v>
      </c>
      <c r="L2128">
        <v>2309</v>
      </c>
      <c r="M2128">
        <v>7</v>
      </c>
      <c r="N2128">
        <v>2</v>
      </c>
      <c r="O2128">
        <v>0</v>
      </c>
      <c r="P2128" t="s">
        <v>18</v>
      </c>
      <c r="Q2128">
        <v>3</v>
      </c>
      <c r="R2128">
        <v>0</v>
      </c>
      <c r="S2128" t="s">
        <v>21</v>
      </c>
      <c r="T2128">
        <v>2</v>
      </c>
      <c r="U2128">
        <v>6</v>
      </c>
    </row>
    <row r="2129" spans="1:21" x14ac:dyDescent="0.25">
      <c r="A2129" t="str">
        <f>"10788209"</f>
        <v>10788209</v>
      </c>
      <c r="B2129" t="s">
        <v>15</v>
      </c>
      <c r="C2129" s="1">
        <v>44078</v>
      </c>
      <c r="D2129" s="2">
        <f>YEAR(C2129)</f>
        <v>2020</v>
      </c>
      <c r="E2129">
        <v>256500</v>
      </c>
      <c r="F2129" t="s">
        <v>85</v>
      </c>
      <c r="G2129">
        <v>2002</v>
      </c>
      <c r="H2129">
        <v>385</v>
      </c>
      <c r="I2129" t="s">
        <v>806</v>
      </c>
      <c r="J2129" t="str">
        <f>"2"</f>
        <v>2</v>
      </c>
      <c r="K2129">
        <v>60002</v>
      </c>
      <c r="L2129">
        <v>2344</v>
      </c>
      <c r="M2129">
        <v>9</v>
      </c>
      <c r="N2129">
        <v>2</v>
      </c>
      <c r="O2129">
        <v>1</v>
      </c>
      <c r="P2129" t="s">
        <v>18</v>
      </c>
      <c r="Q2129">
        <v>4</v>
      </c>
      <c r="R2129">
        <v>0</v>
      </c>
      <c r="S2129" t="s">
        <v>21</v>
      </c>
      <c r="T2129">
        <v>2</v>
      </c>
      <c r="U2129">
        <v>6</v>
      </c>
    </row>
    <row r="2130" spans="1:21" x14ac:dyDescent="0.25">
      <c r="A2130" t="str">
        <f>"10811204"</f>
        <v>10811204</v>
      </c>
      <c r="B2130" t="s">
        <v>15</v>
      </c>
      <c r="C2130" s="1">
        <v>44112</v>
      </c>
      <c r="D2130" s="2">
        <f>YEAR(C2130)</f>
        <v>2020</v>
      </c>
      <c r="E2130">
        <v>253000</v>
      </c>
      <c r="F2130" t="s">
        <v>85</v>
      </c>
      <c r="G2130">
        <v>1989</v>
      </c>
      <c r="H2130">
        <v>979</v>
      </c>
      <c r="I2130" t="s">
        <v>867</v>
      </c>
      <c r="J2130" t="str">
        <f>"2"</f>
        <v>2</v>
      </c>
      <c r="K2130">
        <v>60002</v>
      </c>
      <c r="L2130">
        <v>2536</v>
      </c>
      <c r="M2130">
        <v>10</v>
      </c>
      <c r="N2130">
        <v>2</v>
      </c>
      <c r="O2130">
        <v>1</v>
      </c>
      <c r="P2130" t="s">
        <v>18</v>
      </c>
      <c r="Q2130">
        <v>4</v>
      </c>
      <c r="R2130">
        <v>0</v>
      </c>
      <c r="S2130" t="s">
        <v>21</v>
      </c>
      <c r="T2130">
        <v>2.5</v>
      </c>
      <c r="U2130">
        <v>6</v>
      </c>
    </row>
    <row r="2131" spans="1:21" x14ac:dyDescent="0.25">
      <c r="A2131" t="str">
        <f>"10779693"</f>
        <v>10779693</v>
      </c>
      <c r="B2131" t="s">
        <v>15</v>
      </c>
      <c r="C2131" s="1">
        <v>44078</v>
      </c>
      <c r="D2131" s="2">
        <f>YEAR(C2131)</f>
        <v>2020</v>
      </c>
      <c r="E2131">
        <v>293000</v>
      </c>
      <c r="F2131" t="s">
        <v>85</v>
      </c>
      <c r="G2131">
        <v>2005</v>
      </c>
      <c r="H2131">
        <v>1160</v>
      </c>
      <c r="I2131" t="s">
        <v>837</v>
      </c>
      <c r="J2131" t="str">
        <f>"2"</f>
        <v>2</v>
      </c>
      <c r="K2131">
        <v>60002</v>
      </c>
      <c r="L2131">
        <v>2900</v>
      </c>
      <c r="M2131">
        <v>9</v>
      </c>
      <c r="N2131">
        <v>2</v>
      </c>
      <c r="O2131">
        <v>1</v>
      </c>
      <c r="P2131" t="s">
        <v>18</v>
      </c>
      <c r="Q2131">
        <v>4</v>
      </c>
      <c r="R2131">
        <v>0</v>
      </c>
      <c r="S2131" t="s">
        <v>21</v>
      </c>
      <c r="T2131">
        <v>3</v>
      </c>
      <c r="U2131">
        <v>6</v>
      </c>
    </row>
    <row r="2132" spans="1:21" x14ac:dyDescent="0.25">
      <c r="A2132" t="str">
        <f>"10293683"</f>
        <v>10293683</v>
      </c>
      <c r="B2132" t="s">
        <v>15</v>
      </c>
      <c r="C2132" s="1">
        <v>43609</v>
      </c>
      <c r="D2132" s="2">
        <f>YEAR(C2132)</f>
        <v>2019</v>
      </c>
      <c r="E2132">
        <v>628000</v>
      </c>
      <c r="F2132" t="s">
        <v>85</v>
      </c>
      <c r="G2132">
        <v>2003</v>
      </c>
      <c r="H2132">
        <v>38373</v>
      </c>
      <c r="I2132" t="s">
        <v>902</v>
      </c>
      <c r="J2132" t="str">
        <f>"2"</f>
        <v>2</v>
      </c>
      <c r="K2132">
        <v>60002</v>
      </c>
      <c r="L2132">
        <v>3024</v>
      </c>
      <c r="M2132">
        <v>9</v>
      </c>
      <c r="N2132">
        <v>3</v>
      </c>
      <c r="O2132">
        <v>0</v>
      </c>
      <c r="P2132" t="s">
        <v>79</v>
      </c>
      <c r="Q2132">
        <v>3</v>
      </c>
      <c r="R2132">
        <v>0</v>
      </c>
      <c r="S2132" t="s">
        <v>22</v>
      </c>
      <c r="T2132">
        <v>3</v>
      </c>
      <c r="U2132">
        <v>6</v>
      </c>
    </row>
    <row r="2133" spans="1:21" x14ac:dyDescent="0.25">
      <c r="A2133" t="str">
        <f>"10801141"</f>
        <v>10801141</v>
      </c>
      <c r="B2133" t="s">
        <v>15</v>
      </c>
      <c r="C2133" s="1">
        <v>44119</v>
      </c>
      <c r="D2133" s="2">
        <f>YEAR(C2133)</f>
        <v>2020</v>
      </c>
      <c r="E2133">
        <v>286000</v>
      </c>
      <c r="F2133" t="s">
        <v>85</v>
      </c>
      <c r="G2133">
        <v>1965</v>
      </c>
      <c r="H2133">
        <v>26217</v>
      </c>
      <c r="I2133" t="s">
        <v>699</v>
      </c>
      <c r="J2133" t="str">
        <f>"2"</f>
        <v>2</v>
      </c>
      <c r="K2133">
        <v>60002</v>
      </c>
      <c r="L2133">
        <v>3287</v>
      </c>
      <c r="M2133">
        <v>10</v>
      </c>
      <c r="N2133">
        <v>2</v>
      </c>
      <c r="O2133">
        <v>0</v>
      </c>
      <c r="P2133" t="s">
        <v>18</v>
      </c>
      <c r="Q2133">
        <v>4</v>
      </c>
      <c r="R2133">
        <v>0</v>
      </c>
      <c r="S2133" t="s">
        <v>19</v>
      </c>
      <c r="T2133">
        <v>0</v>
      </c>
      <c r="U2133">
        <v>6</v>
      </c>
    </row>
    <row r="2134" spans="1:21" x14ac:dyDescent="0.25">
      <c r="A2134" t="str">
        <f>"10855345"</f>
        <v>10855345</v>
      </c>
      <c r="B2134" t="s">
        <v>15</v>
      </c>
      <c r="C2134" s="1">
        <v>44151</v>
      </c>
      <c r="D2134" s="2">
        <f>YEAR(C2134)</f>
        <v>2020</v>
      </c>
      <c r="E2134">
        <v>365000</v>
      </c>
      <c r="F2134" t="s">
        <v>85</v>
      </c>
      <c r="G2134">
        <v>1993</v>
      </c>
      <c r="H2134">
        <v>41037</v>
      </c>
      <c r="I2134" t="s">
        <v>918</v>
      </c>
      <c r="J2134" t="str">
        <f>"2"</f>
        <v>2</v>
      </c>
      <c r="K2134">
        <v>60002</v>
      </c>
      <c r="L2134">
        <v>3466</v>
      </c>
      <c r="M2134">
        <v>11</v>
      </c>
      <c r="N2134">
        <v>3</v>
      </c>
      <c r="O2134">
        <v>0</v>
      </c>
      <c r="P2134" t="s">
        <v>79</v>
      </c>
      <c r="Q2134">
        <v>5</v>
      </c>
      <c r="R2134">
        <v>0</v>
      </c>
      <c r="S2134" t="s">
        <v>21</v>
      </c>
      <c r="T2134">
        <v>3</v>
      </c>
      <c r="U2134">
        <v>6</v>
      </c>
    </row>
    <row r="2135" spans="1:21" x14ac:dyDescent="0.25">
      <c r="A2135" t="str">
        <f>"10744695"</f>
        <v>10744695</v>
      </c>
      <c r="B2135" t="s">
        <v>15</v>
      </c>
      <c r="C2135" s="1">
        <v>44054</v>
      </c>
      <c r="D2135" s="2">
        <f>YEAR(C2135)</f>
        <v>2020</v>
      </c>
      <c r="E2135">
        <v>192000</v>
      </c>
      <c r="F2135" t="s">
        <v>85</v>
      </c>
      <c r="G2135">
        <v>1952</v>
      </c>
      <c r="H2135">
        <v>39456</v>
      </c>
      <c r="I2135" t="s">
        <v>568</v>
      </c>
      <c r="J2135" t="str">
        <f>"2"</f>
        <v>2</v>
      </c>
      <c r="K2135">
        <v>60002</v>
      </c>
      <c r="L2135">
        <v>890</v>
      </c>
      <c r="M2135">
        <v>5</v>
      </c>
      <c r="N2135">
        <v>1</v>
      </c>
      <c r="O2135">
        <v>0</v>
      </c>
      <c r="P2135" t="s">
        <v>18</v>
      </c>
      <c r="Q2135">
        <v>2</v>
      </c>
      <c r="R2135">
        <v>0</v>
      </c>
      <c r="S2135" t="s">
        <v>19</v>
      </c>
      <c r="T2135">
        <v>0</v>
      </c>
      <c r="U2135">
        <v>7</v>
      </c>
    </row>
    <row r="2136" spans="1:21" x14ac:dyDescent="0.25">
      <c r="A2136" t="str">
        <f>"10800400"</f>
        <v>10800400</v>
      </c>
      <c r="B2136" t="s">
        <v>15</v>
      </c>
      <c r="C2136" s="1">
        <v>44182</v>
      </c>
      <c r="D2136" s="2">
        <f>YEAR(C2136)</f>
        <v>2020</v>
      </c>
      <c r="E2136">
        <v>310000</v>
      </c>
      <c r="F2136" t="s">
        <v>85</v>
      </c>
      <c r="G2136">
        <v>2000</v>
      </c>
      <c r="H2136">
        <v>24051</v>
      </c>
      <c r="I2136" t="s">
        <v>261</v>
      </c>
      <c r="J2136" t="str">
        <f>"2"</f>
        <v>2</v>
      </c>
      <c r="K2136">
        <v>60002</v>
      </c>
      <c r="L2136">
        <v>2127</v>
      </c>
      <c r="M2136">
        <v>8</v>
      </c>
      <c r="N2136">
        <v>2</v>
      </c>
      <c r="O2136">
        <v>1</v>
      </c>
      <c r="P2136" t="s">
        <v>79</v>
      </c>
      <c r="Q2136">
        <v>3</v>
      </c>
      <c r="R2136">
        <v>0</v>
      </c>
      <c r="S2136" t="s">
        <v>21</v>
      </c>
      <c r="T2136">
        <v>2</v>
      </c>
      <c r="U2136">
        <v>7</v>
      </c>
    </row>
    <row r="2137" spans="1:21" x14ac:dyDescent="0.25">
      <c r="A2137" t="str">
        <f>"10768434"</f>
        <v>10768434</v>
      </c>
      <c r="B2137" t="s">
        <v>15</v>
      </c>
      <c r="C2137" s="1">
        <v>44053</v>
      </c>
      <c r="D2137" s="2">
        <f>YEAR(C2137)</f>
        <v>2020</v>
      </c>
      <c r="E2137">
        <v>436000</v>
      </c>
      <c r="F2137" t="s">
        <v>85</v>
      </c>
      <c r="G2137">
        <v>1960</v>
      </c>
      <c r="H2137">
        <v>38629</v>
      </c>
      <c r="I2137" t="s">
        <v>593</v>
      </c>
      <c r="J2137" t="str">
        <f>"2"</f>
        <v>2</v>
      </c>
      <c r="K2137">
        <v>60002</v>
      </c>
      <c r="L2137">
        <v>2485</v>
      </c>
      <c r="M2137">
        <v>6</v>
      </c>
      <c r="N2137">
        <v>3</v>
      </c>
      <c r="O2137">
        <v>1</v>
      </c>
      <c r="P2137" t="s">
        <v>79</v>
      </c>
      <c r="Q2137">
        <v>4</v>
      </c>
      <c r="R2137">
        <v>0</v>
      </c>
      <c r="S2137" t="s">
        <v>22</v>
      </c>
      <c r="T2137">
        <v>2</v>
      </c>
      <c r="U2137">
        <v>7</v>
      </c>
    </row>
    <row r="2138" spans="1:21" x14ac:dyDescent="0.25">
      <c r="A2138" t="str">
        <f>"10824784"</f>
        <v>10824784</v>
      </c>
      <c r="B2138" t="s">
        <v>15</v>
      </c>
      <c r="C2138" s="1">
        <v>44118</v>
      </c>
      <c r="D2138" s="2">
        <f>YEAR(C2138)</f>
        <v>2020</v>
      </c>
      <c r="E2138">
        <v>180000</v>
      </c>
      <c r="F2138" t="s">
        <v>85</v>
      </c>
      <c r="G2138">
        <v>1955</v>
      </c>
      <c r="H2138">
        <v>42453</v>
      </c>
      <c r="I2138" t="s">
        <v>201</v>
      </c>
      <c r="J2138" t="str">
        <f>"2"</f>
        <v>2</v>
      </c>
      <c r="K2138">
        <v>60002</v>
      </c>
      <c r="L2138">
        <v>1385</v>
      </c>
      <c r="M2138">
        <v>8</v>
      </c>
      <c r="N2138">
        <v>2</v>
      </c>
      <c r="O2138">
        <v>0</v>
      </c>
      <c r="P2138" t="s">
        <v>18</v>
      </c>
      <c r="Q2138">
        <v>3</v>
      </c>
      <c r="R2138">
        <v>0</v>
      </c>
      <c r="S2138" t="s">
        <v>22</v>
      </c>
      <c r="T2138">
        <v>2</v>
      </c>
      <c r="U2138">
        <v>8</v>
      </c>
    </row>
    <row r="2139" spans="1:21" x14ac:dyDescent="0.25">
      <c r="A2139" t="str">
        <f>"10924502"</f>
        <v>10924502</v>
      </c>
      <c r="B2139" t="s">
        <v>15</v>
      </c>
      <c r="C2139" s="1">
        <v>44194</v>
      </c>
      <c r="D2139" s="2">
        <f>YEAR(C2139)</f>
        <v>2020</v>
      </c>
      <c r="E2139">
        <v>65000</v>
      </c>
      <c r="F2139" t="s">
        <v>85</v>
      </c>
      <c r="G2139">
        <v>1954</v>
      </c>
      <c r="H2139">
        <v>27964</v>
      </c>
      <c r="I2139" t="s">
        <v>567</v>
      </c>
      <c r="J2139" t="str">
        <f>"2"</f>
        <v>2</v>
      </c>
      <c r="K2139">
        <v>60002</v>
      </c>
      <c r="L2139">
        <v>1490</v>
      </c>
      <c r="M2139">
        <v>5</v>
      </c>
      <c r="N2139">
        <v>1</v>
      </c>
      <c r="O2139">
        <v>1</v>
      </c>
      <c r="P2139" t="s">
        <v>18</v>
      </c>
      <c r="Q2139">
        <v>2</v>
      </c>
      <c r="R2139">
        <v>0</v>
      </c>
      <c r="S2139" t="s">
        <v>22</v>
      </c>
      <c r="T2139">
        <v>2.5</v>
      </c>
      <c r="U2139">
        <v>8</v>
      </c>
    </row>
    <row r="2140" spans="1:21" x14ac:dyDescent="0.25">
      <c r="A2140" t="str">
        <f>"10468587"</f>
        <v>10468587</v>
      </c>
      <c r="B2140" t="s">
        <v>15</v>
      </c>
      <c r="C2140" s="1">
        <v>43781</v>
      </c>
      <c r="D2140" s="2">
        <f>YEAR(C2140)</f>
        <v>2019</v>
      </c>
      <c r="E2140">
        <v>295000</v>
      </c>
      <c r="F2140" t="s">
        <v>85</v>
      </c>
      <c r="G2140">
        <v>1950</v>
      </c>
      <c r="H2140">
        <v>26083</v>
      </c>
      <c r="I2140" t="s">
        <v>704</v>
      </c>
      <c r="J2140" t="str">
        <f>"2"</f>
        <v>2</v>
      </c>
      <c r="K2140">
        <v>60002</v>
      </c>
      <c r="L2140">
        <v>1507</v>
      </c>
      <c r="M2140">
        <v>7</v>
      </c>
      <c r="N2140">
        <v>2</v>
      </c>
      <c r="O2140">
        <v>0</v>
      </c>
      <c r="P2140" t="s">
        <v>18</v>
      </c>
      <c r="Q2140">
        <v>3</v>
      </c>
      <c r="R2140">
        <v>0</v>
      </c>
      <c r="S2140" t="s">
        <v>22</v>
      </c>
      <c r="T2140">
        <v>2.5</v>
      </c>
      <c r="U2140">
        <v>8</v>
      </c>
    </row>
    <row r="2141" spans="1:21" x14ac:dyDescent="0.25">
      <c r="A2141" t="str">
        <f>"10824742"</f>
        <v>10824742</v>
      </c>
      <c r="B2141" t="s">
        <v>15</v>
      </c>
      <c r="C2141" s="1">
        <v>44104</v>
      </c>
      <c r="D2141" s="2">
        <f>YEAR(C2141)</f>
        <v>2020</v>
      </c>
      <c r="E2141">
        <v>227749</v>
      </c>
      <c r="F2141" t="s">
        <v>85</v>
      </c>
      <c r="G2141">
        <v>1960</v>
      </c>
      <c r="H2141">
        <v>42401</v>
      </c>
      <c r="I2141" t="s">
        <v>201</v>
      </c>
      <c r="J2141" t="str">
        <f>"2"</f>
        <v>2</v>
      </c>
      <c r="K2141">
        <v>60002</v>
      </c>
      <c r="L2141">
        <v>1564</v>
      </c>
      <c r="M2141">
        <v>8</v>
      </c>
      <c r="N2141">
        <v>2</v>
      </c>
      <c r="O2141">
        <v>0</v>
      </c>
      <c r="P2141" t="s">
        <v>18</v>
      </c>
      <c r="Q2141">
        <v>3</v>
      </c>
      <c r="R2141">
        <v>0</v>
      </c>
      <c r="S2141" t="s">
        <v>19</v>
      </c>
      <c r="T2141">
        <v>0</v>
      </c>
      <c r="U2141">
        <v>8</v>
      </c>
    </row>
    <row r="2142" spans="1:21" x14ac:dyDescent="0.25">
      <c r="A2142" t="str">
        <f>"10402618"</f>
        <v>10402618</v>
      </c>
      <c r="B2142" t="s">
        <v>15</v>
      </c>
      <c r="C2142" s="1">
        <v>43670</v>
      </c>
      <c r="D2142" s="2">
        <f>YEAR(C2142)</f>
        <v>2019</v>
      </c>
      <c r="E2142">
        <v>280000</v>
      </c>
      <c r="F2142" t="s">
        <v>85</v>
      </c>
      <c r="G2142">
        <v>1952</v>
      </c>
      <c r="H2142">
        <v>40866</v>
      </c>
      <c r="I2142" t="s">
        <v>762</v>
      </c>
      <c r="J2142" t="str">
        <f>"2"</f>
        <v>2</v>
      </c>
      <c r="K2142">
        <v>60002</v>
      </c>
      <c r="L2142">
        <v>1750</v>
      </c>
      <c r="M2142">
        <v>8</v>
      </c>
      <c r="N2142">
        <v>3</v>
      </c>
      <c r="O2142">
        <v>0</v>
      </c>
      <c r="P2142" t="s">
        <v>18</v>
      </c>
      <c r="Q2142">
        <v>4</v>
      </c>
      <c r="R2142">
        <v>0</v>
      </c>
      <c r="S2142" t="s">
        <v>22</v>
      </c>
      <c r="T2142">
        <v>1</v>
      </c>
      <c r="U2142">
        <v>8</v>
      </c>
    </row>
    <row r="2143" spans="1:21" x14ac:dyDescent="0.25">
      <c r="A2143" t="str">
        <f>"10457167"</f>
        <v>10457167</v>
      </c>
      <c r="B2143" t="s">
        <v>15</v>
      </c>
      <c r="C2143" s="1">
        <v>43746</v>
      </c>
      <c r="D2143" s="2">
        <f>YEAR(C2143)</f>
        <v>2019</v>
      </c>
      <c r="E2143">
        <v>237000</v>
      </c>
      <c r="F2143" t="s">
        <v>85</v>
      </c>
      <c r="G2143">
        <v>1983</v>
      </c>
      <c r="H2143">
        <v>21828</v>
      </c>
      <c r="I2143" t="s">
        <v>763</v>
      </c>
      <c r="J2143" t="str">
        <f>"2"</f>
        <v>2</v>
      </c>
      <c r="K2143">
        <v>60002</v>
      </c>
      <c r="L2143">
        <v>1751</v>
      </c>
      <c r="M2143">
        <v>5</v>
      </c>
      <c r="N2143">
        <v>2</v>
      </c>
      <c r="O2143">
        <v>0</v>
      </c>
      <c r="P2143" t="s">
        <v>18</v>
      </c>
      <c r="Q2143">
        <v>3</v>
      </c>
      <c r="R2143">
        <v>0</v>
      </c>
      <c r="S2143" t="s">
        <v>21</v>
      </c>
      <c r="T2143">
        <v>3</v>
      </c>
      <c r="U2143">
        <v>8</v>
      </c>
    </row>
    <row r="2144" spans="1:21" x14ac:dyDescent="0.25">
      <c r="A2144" t="str">
        <f>"10631749"</f>
        <v>10631749</v>
      </c>
      <c r="B2144" t="s">
        <v>15</v>
      </c>
      <c r="C2144" s="1">
        <v>43901</v>
      </c>
      <c r="D2144" s="2">
        <f>YEAR(C2144)</f>
        <v>2020</v>
      </c>
      <c r="E2144">
        <v>350000</v>
      </c>
      <c r="F2144" t="s">
        <v>85</v>
      </c>
      <c r="G2144" t="s">
        <v>560</v>
      </c>
      <c r="H2144">
        <v>181</v>
      </c>
      <c r="I2144" t="s">
        <v>637</v>
      </c>
      <c r="J2144" t="str">
        <f>"2"</f>
        <v>2</v>
      </c>
      <c r="K2144">
        <v>60002</v>
      </c>
      <c r="L2144">
        <v>2180</v>
      </c>
      <c r="M2144">
        <v>7</v>
      </c>
      <c r="N2144">
        <v>1</v>
      </c>
      <c r="O2144">
        <v>1</v>
      </c>
      <c r="P2144" t="s">
        <v>18</v>
      </c>
      <c r="Q2144">
        <v>3</v>
      </c>
      <c r="R2144">
        <v>0</v>
      </c>
      <c r="S2144" t="s">
        <v>22</v>
      </c>
      <c r="T2144">
        <v>3.5</v>
      </c>
      <c r="U2144">
        <v>8</v>
      </c>
    </row>
    <row r="2145" spans="1:21" x14ac:dyDescent="0.25">
      <c r="A2145" t="str">
        <f>"10463919"</f>
        <v>10463919</v>
      </c>
      <c r="B2145" t="s">
        <v>15</v>
      </c>
      <c r="C2145" s="1">
        <v>43749</v>
      </c>
      <c r="D2145" s="2">
        <f>YEAR(C2145)</f>
        <v>2019</v>
      </c>
      <c r="E2145">
        <v>353500</v>
      </c>
      <c r="F2145" t="s">
        <v>85</v>
      </c>
      <c r="G2145" t="s">
        <v>560</v>
      </c>
      <c r="H2145">
        <v>181</v>
      </c>
      <c r="I2145" t="s">
        <v>637</v>
      </c>
      <c r="J2145" t="str">
        <f>"2"</f>
        <v>2</v>
      </c>
      <c r="K2145">
        <v>60002</v>
      </c>
      <c r="L2145">
        <v>2180</v>
      </c>
      <c r="M2145">
        <v>7</v>
      </c>
      <c r="N2145">
        <v>1</v>
      </c>
      <c r="O2145">
        <v>1</v>
      </c>
      <c r="P2145" t="s">
        <v>18</v>
      </c>
      <c r="Q2145">
        <v>3</v>
      </c>
      <c r="R2145">
        <v>0</v>
      </c>
      <c r="S2145" t="s">
        <v>22</v>
      </c>
      <c r="T2145">
        <v>3.5</v>
      </c>
      <c r="U2145">
        <v>8</v>
      </c>
    </row>
    <row r="2146" spans="1:21" x14ac:dyDescent="0.25">
      <c r="A2146" t="str">
        <f>"10771404"</f>
        <v>10771404</v>
      </c>
      <c r="B2146" t="s">
        <v>15</v>
      </c>
      <c r="C2146" s="1">
        <v>44147</v>
      </c>
      <c r="D2146" s="2">
        <f>YEAR(C2146)</f>
        <v>2020</v>
      </c>
      <c r="E2146">
        <v>88500</v>
      </c>
      <c r="F2146" t="s">
        <v>85</v>
      </c>
      <c r="G2146" t="s">
        <v>560</v>
      </c>
      <c r="H2146">
        <v>26690</v>
      </c>
      <c r="I2146" t="s">
        <v>561</v>
      </c>
      <c r="J2146" t="str">
        <f>"2"</f>
        <v>2</v>
      </c>
      <c r="K2146">
        <v>60002</v>
      </c>
      <c r="L2146">
        <v>520</v>
      </c>
      <c r="M2146">
        <v>6</v>
      </c>
      <c r="N2146">
        <v>1</v>
      </c>
      <c r="O2146">
        <v>0</v>
      </c>
      <c r="P2146" t="s">
        <v>18</v>
      </c>
      <c r="Q2146">
        <v>2</v>
      </c>
      <c r="R2146">
        <v>0</v>
      </c>
      <c r="S2146" t="s">
        <v>19</v>
      </c>
      <c r="T2146">
        <v>0</v>
      </c>
      <c r="U2146">
        <v>9</v>
      </c>
    </row>
    <row r="2147" spans="1:21" x14ac:dyDescent="0.25">
      <c r="A2147" t="str">
        <f>"10437960"</f>
        <v>10437960</v>
      </c>
      <c r="B2147" t="s">
        <v>15</v>
      </c>
      <c r="C2147" s="1">
        <v>43698</v>
      </c>
      <c r="D2147" s="2">
        <f>YEAR(C2147)</f>
        <v>2019</v>
      </c>
      <c r="E2147">
        <v>275000</v>
      </c>
      <c r="F2147" t="s">
        <v>85</v>
      </c>
      <c r="G2147">
        <v>1959</v>
      </c>
      <c r="H2147">
        <v>43230</v>
      </c>
      <c r="I2147" t="s">
        <v>912</v>
      </c>
      <c r="J2147" t="str">
        <f>"2"</f>
        <v>2</v>
      </c>
      <c r="K2147">
        <v>60002</v>
      </c>
      <c r="L2147">
        <v>3378</v>
      </c>
      <c r="M2147">
        <v>10</v>
      </c>
      <c r="N2147">
        <v>2</v>
      </c>
      <c r="O2147">
        <v>1</v>
      </c>
      <c r="P2147" t="s">
        <v>79</v>
      </c>
      <c r="Q2147">
        <v>3</v>
      </c>
      <c r="R2147">
        <v>0</v>
      </c>
      <c r="S2147" t="s">
        <v>22</v>
      </c>
      <c r="T2147">
        <v>3</v>
      </c>
      <c r="U2147">
        <v>9</v>
      </c>
    </row>
    <row r="2148" spans="1:21" x14ac:dyDescent="0.25">
      <c r="A2148" t="str">
        <f>"10694729"</f>
        <v>10694729</v>
      </c>
      <c r="B2148" t="s">
        <v>15</v>
      </c>
      <c r="C2148" s="1">
        <v>43997</v>
      </c>
      <c r="D2148" s="2">
        <f>YEAR(C2148)</f>
        <v>2020</v>
      </c>
      <c r="E2148">
        <v>120000</v>
      </c>
      <c r="F2148" t="s">
        <v>85</v>
      </c>
      <c r="G2148">
        <v>1965</v>
      </c>
      <c r="H2148">
        <v>26476</v>
      </c>
      <c r="I2148" t="s">
        <v>581</v>
      </c>
      <c r="J2148" t="str">
        <f>"2"</f>
        <v>2</v>
      </c>
      <c r="K2148">
        <v>60002</v>
      </c>
      <c r="L2148">
        <v>860</v>
      </c>
      <c r="M2148">
        <v>4</v>
      </c>
      <c r="N2148">
        <v>1</v>
      </c>
      <c r="O2148">
        <v>0</v>
      </c>
      <c r="P2148" t="s">
        <v>18</v>
      </c>
      <c r="Q2148">
        <v>2</v>
      </c>
      <c r="R2148">
        <v>0</v>
      </c>
      <c r="S2148" t="s">
        <v>19</v>
      </c>
      <c r="T2148">
        <v>0</v>
      </c>
      <c r="U2148">
        <v>10</v>
      </c>
    </row>
    <row r="2149" spans="1:21" x14ac:dyDescent="0.25">
      <c r="A2149" t="str">
        <f>"10527117"</f>
        <v>10527117</v>
      </c>
      <c r="B2149" t="s">
        <v>15</v>
      </c>
      <c r="C2149" s="1">
        <v>43868</v>
      </c>
      <c r="D2149" s="2">
        <f>YEAR(C2149)</f>
        <v>2020</v>
      </c>
      <c r="E2149">
        <v>300000</v>
      </c>
      <c r="F2149" t="s">
        <v>85</v>
      </c>
      <c r="G2149">
        <v>1923</v>
      </c>
      <c r="H2149">
        <v>26675</v>
      </c>
      <c r="I2149" t="s">
        <v>581</v>
      </c>
      <c r="J2149" t="str">
        <f>"2"</f>
        <v>2</v>
      </c>
      <c r="K2149">
        <v>60002</v>
      </c>
      <c r="L2149">
        <v>2238</v>
      </c>
      <c r="M2149">
        <v>7</v>
      </c>
      <c r="N2149">
        <v>2</v>
      </c>
      <c r="O2149">
        <v>1</v>
      </c>
      <c r="P2149" t="s">
        <v>18</v>
      </c>
      <c r="Q2149">
        <v>3</v>
      </c>
      <c r="R2149">
        <v>0</v>
      </c>
      <c r="S2149" t="s">
        <v>21</v>
      </c>
      <c r="T2149">
        <v>2</v>
      </c>
      <c r="U2149">
        <v>10</v>
      </c>
    </row>
    <row r="2150" spans="1:21" x14ac:dyDescent="0.25">
      <c r="A2150" t="str">
        <f>"10623043"</f>
        <v>10623043</v>
      </c>
      <c r="B2150" t="s">
        <v>15</v>
      </c>
      <c r="C2150" s="1">
        <v>44048</v>
      </c>
      <c r="D2150" s="2">
        <f>YEAR(C2150)</f>
        <v>2020</v>
      </c>
      <c r="E2150">
        <v>395000</v>
      </c>
      <c r="F2150" t="s">
        <v>85</v>
      </c>
      <c r="G2150">
        <v>1990</v>
      </c>
      <c r="H2150">
        <v>25990</v>
      </c>
      <c r="I2150" t="s">
        <v>563</v>
      </c>
      <c r="J2150" t="str">
        <f>"2"</f>
        <v>2</v>
      </c>
      <c r="K2150">
        <v>60002</v>
      </c>
      <c r="L2150">
        <v>2243</v>
      </c>
      <c r="M2150">
        <v>8</v>
      </c>
      <c r="N2150">
        <v>4</v>
      </c>
      <c r="O2150">
        <v>0</v>
      </c>
      <c r="P2150" t="s">
        <v>79</v>
      </c>
      <c r="Q2150">
        <v>4</v>
      </c>
      <c r="R2150">
        <v>0</v>
      </c>
      <c r="S2150" t="s">
        <v>21</v>
      </c>
      <c r="T2150">
        <v>3</v>
      </c>
      <c r="U2150">
        <v>10</v>
      </c>
    </row>
    <row r="2151" spans="1:21" x14ac:dyDescent="0.25">
      <c r="A2151" t="str">
        <f>"10621805"</f>
        <v>10621805</v>
      </c>
      <c r="B2151" t="s">
        <v>15</v>
      </c>
      <c r="C2151" s="1">
        <v>43938</v>
      </c>
      <c r="D2151" s="2">
        <f>YEAR(C2151)</f>
        <v>2020</v>
      </c>
      <c r="E2151">
        <v>325150</v>
      </c>
      <c r="F2151" t="s">
        <v>85</v>
      </c>
      <c r="G2151">
        <v>1978</v>
      </c>
      <c r="H2151">
        <v>40306</v>
      </c>
      <c r="I2151" t="s">
        <v>457</v>
      </c>
      <c r="J2151" t="str">
        <f>"2"</f>
        <v>2</v>
      </c>
      <c r="K2151">
        <v>60002</v>
      </c>
      <c r="L2151">
        <v>3009</v>
      </c>
      <c r="M2151">
        <v>12</v>
      </c>
      <c r="N2151">
        <v>3</v>
      </c>
      <c r="O2151">
        <v>1</v>
      </c>
      <c r="P2151" t="s">
        <v>79</v>
      </c>
      <c r="Q2151">
        <v>4</v>
      </c>
      <c r="R2151">
        <v>0</v>
      </c>
      <c r="S2151" t="s">
        <v>21</v>
      </c>
      <c r="T2151">
        <v>2</v>
      </c>
      <c r="U2151">
        <v>10</v>
      </c>
    </row>
    <row r="2152" spans="1:21" x14ac:dyDescent="0.25">
      <c r="A2152" t="str">
        <f>"10629292"</f>
        <v>10629292</v>
      </c>
      <c r="B2152" t="s">
        <v>15</v>
      </c>
      <c r="C2152" s="1">
        <v>44082</v>
      </c>
      <c r="D2152" s="2">
        <f>YEAR(C2152)</f>
        <v>2020</v>
      </c>
      <c r="E2152">
        <v>470000</v>
      </c>
      <c r="F2152" t="s">
        <v>85</v>
      </c>
      <c r="G2152">
        <v>1991</v>
      </c>
      <c r="H2152">
        <v>42518</v>
      </c>
      <c r="I2152" t="s">
        <v>224</v>
      </c>
      <c r="J2152" t="str">
        <f>"2"</f>
        <v>2</v>
      </c>
      <c r="K2152">
        <v>60002</v>
      </c>
      <c r="L2152">
        <v>5244</v>
      </c>
      <c r="M2152">
        <v>11</v>
      </c>
      <c r="N2152">
        <v>3</v>
      </c>
      <c r="O2152">
        <v>1</v>
      </c>
      <c r="P2152" t="s">
        <v>79</v>
      </c>
      <c r="Q2152">
        <v>4</v>
      </c>
      <c r="R2152">
        <v>0</v>
      </c>
      <c r="S2152" t="s">
        <v>21</v>
      </c>
      <c r="T2152">
        <v>4</v>
      </c>
      <c r="U2152">
        <v>10</v>
      </c>
    </row>
    <row r="2153" spans="1:21" x14ac:dyDescent="0.25">
      <c r="A2153" t="str">
        <f>"10788591"</f>
        <v>10788591</v>
      </c>
      <c r="B2153" t="s">
        <v>15</v>
      </c>
      <c r="C2153" s="1">
        <v>44070</v>
      </c>
      <c r="D2153" s="2">
        <f>YEAR(C2153)</f>
        <v>2020</v>
      </c>
      <c r="E2153">
        <v>329900</v>
      </c>
      <c r="F2153" t="s">
        <v>85</v>
      </c>
      <c r="G2153">
        <v>1982</v>
      </c>
      <c r="H2153">
        <v>38277</v>
      </c>
      <c r="I2153" t="s">
        <v>530</v>
      </c>
      <c r="J2153" t="str">
        <f>"2"</f>
        <v>2</v>
      </c>
      <c r="K2153">
        <v>60002</v>
      </c>
      <c r="L2153">
        <v>2633</v>
      </c>
      <c r="M2153">
        <v>7</v>
      </c>
      <c r="N2153">
        <v>3</v>
      </c>
      <c r="O2153">
        <v>0</v>
      </c>
      <c r="P2153" t="s">
        <v>79</v>
      </c>
      <c r="Q2153">
        <v>3</v>
      </c>
      <c r="R2153">
        <v>0</v>
      </c>
      <c r="S2153" t="s">
        <v>21</v>
      </c>
      <c r="T2153">
        <v>5</v>
      </c>
      <c r="U2153">
        <v>20</v>
      </c>
    </row>
    <row r="2154" spans="1:21" x14ac:dyDescent="0.25">
      <c r="A2154" t="str">
        <f>"09799851"</f>
        <v>09799851</v>
      </c>
      <c r="B2154" t="s">
        <v>15</v>
      </c>
      <c r="C2154" s="1">
        <v>43586</v>
      </c>
      <c r="D2154" s="2">
        <f>YEAR(C2154)</f>
        <v>2019</v>
      </c>
      <c r="E2154">
        <v>890000</v>
      </c>
      <c r="F2154" t="s">
        <v>85</v>
      </c>
      <c r="G2154">
        <v>1979</v>
      </c>
      <c r="H2154" t="s">
        <v>920</v>
      </c>
      <c r="I2154" t="s">
        <v>603</v>
      </c>
      <c r="J2154" t="str">
        <f>"2"</f>
        <v>2</v>
      </c>
      <c r="K2154">
        <v>60002</v>
      </c>
      <c r="L2154">
        <v>3552</v>
      </c>
      <c r="M2154">
        <v>12</v>
      </c>
      <c r="N2154">
        <v>3</v>
      </c>
      <c r="O2154">
        <v>2</v>
      </c>
      <c r="P2154" t="s">
        <v>79</v>
      </c>
      <c r="Q2154">
        <v>7</v>
      </c>
      <c r="R2154">
        <v>0</v>
      </c>
      <c r="S2154" t="s">
        <v>21</v>
      </c>
      <c r="T2154">
        <v>5</v>
      </c>
      <c r="U2154">
        <v>20</v>
      </c>
    </row>
    <row r="2155" spans="1:21" x14ac:dyDescent="0.25">
      <c r="A2155" t="str">
        <f>"10837305"</f>
        <v>10837305</v>
      </c>
      <c r="B2155" t="s">
        <v>15</v>
      </c>
      <c r="C2155" s="1">
        <v>44103</v>
      </c>
      <c r="D2155" s="2">
        <f>YEAR(C2155)</f>
        <v>2020</v>
      </c>
      <c r="E2155">
        <v>112100</v>
      </c>
      <c r="F2155" t="s">
        <v>85</v>
      </c>
      <c r="G2155">
        <v>1945</v>
      </c>
      <c r="H2155">
        <v>25090</v>
      </c>
      <c r="I2155" t="s">
        <v>562</v>
      </c>
      <c r="J2155" t="str">
        <f>"2"</f>
        <v>2</v>
      </c>
      <c r="K2155">
        <v>60002</v>
      </c>
      <c r="L2155">
        <v>540</v>
      </c>
      <c r="M2155">
        <v>3</v>
      </c>
      <c r="N2155">
        <v>1</v>
      </c>
      <c r="O2155">
        <v>0</v>
      </c>
      <c r="P2155" t="s">
        <v>18</v>
      </c>
      <c r="Q2155">
        <v>1</v>
      </c>
      <c r="R2155">
        <v>0</v>
      </c>
      <c r="S2155" t="s">
        <v>22</v>
      </c>
      <c r="T2155">
        <v>1.5</v>
      </c>
      <c r="U2155">
        <v>0</v>
      </c>
    </row>
    <row r="2156" spans="1:21" x14ac:dyDescent="0.25">
      <c r="A2156" t="str">
        <f>"10322372"</f>
        <v>10322372</v>
      </c>
      <c r="B2156" t="s">
        <v>15</v>
      </c>
      <c r="C2156" s="1">
        <v>43574</v>
      </c>
      <c r="D2156" s="2">
        <f>YEAR(C2156)</f>
        <v>2019</v>
      </c>
      <c r="E2156">
        <v>130000</v>
      </c>
      <c r="F2156" t="s">
        <v>85</v>
      </c>
      <c r="G2156" t="s">
        <v>560</v>
      </c>
      <c r="H2156">
        <v>25455</v>
      </c>
      <c r="I2156" t="s">
        <v>564</v>
      </c>
      <c r="J2156" t="str">
        <f>"2"</f>
        <v>2</v>
      </c>
      <c r="K2156">
        <v>60002</v>
      </c>
      <c r="L2156">
        <v>655</v>
      </c>
      <c r="M2156">
        <v>4</v>
      </c>
      <c r="N2156">
        <v>1</v>
      </c>
      <c r="O2156">
        <v>0</v>
      </c>
      <c r="P2156" t="s">
        <v>18</v>
      </c>
      <c r="Q2156">
        <v>2</v>
      </c>
      <c r="R2156">
        <v>0</v>
      </c>
      <c r="S2156" t="s">
        <v>22</v>
      </c>
      <c r="T2156">
        <v>1</v>
      </c>
      <c r="U2156">
        <v>0</v>
      </c>
    </row>
    <row r="2157" spans="1:21" x14ac:dyDescent="0.25">
      <c r="A2157" t="str">
        <f>"10118732"</f>
        <v>10118732</v>
      </c>
      <c r="B2157" t="s">
        <v>15</v>
      </c>
      <c r="C2157" s="1">
        <v>43613</v>
      </c>
      <c r="D2157" s="2">
        <f>YEAR(C2157)</f>
        <v>2019</v>
      </c>
      <c r="E2157">
        <v>83000</v>
      </c>
      <c r="F2157" t="s">
        <v>85</v>
      </c>
      <c r="G2157">
        <v>1950</v>
      </c>
      <c r="H2157">
        <v>40427</v>
      </c>
      <c r="I2157" t="s">
        <v>565</v>
      </c>
      <c r="J2157" t="str">
        <f>"2"</f>
        <v>2</v>
      </c>
      <c r="K2157">
        <v>60002</v>
      </c>
      <c r="L2157">
        <v>675</v>
      </c>
      <c r="M2157">
        <v>4</v>
      </c>
      <c r="N2157">
        <v>1</v>
      </c>
      <c r="O2157">
        <v>0</v>
      </c>
      <c r="P2157" t="s">
        <v>18</v>
      </c>
      <c r="Q2157">
        <v>2</v>
      </c>
      <c r="R2157">
        <v>0</v>
      </c>
      <c r="S2157" t="s">
        <v>22</v>
      </c>
      <c r="T2157">
        <v>2</v>
      </c>
      <c r="U2157">
        <v>0</v>
      </c>
    </row>
    <row r="2158" spans="1:21" x14ac:dyDescent="0.25">
      <c r="A2158" t="str">
        <f>"10448061"</f>
        <v>10448061</v>
      </c>
      <c r="B2158" t="s">
        <v>15</v>
      </c>
      <c r="C2158" s="1">
        <v>43696</v>
      </c>
      <c r="D2158" s="2">
        <f>YEAR(C2158)</f>
        <v>2019</v>
      </c>
      <c r="E2158">
        <v>110000</v>
      </c>
      <c r="F2158" t="s">
        <v>85</v>
      </c>
      <c r="G2158">
        <v>1948</v>
      </c>
      <c r="H2158">
        <v>23022</v>
      </c>
      <c r="I2158" t="s">
        <v>566</v>
      </c>
      <c r="J2158" t="str">
        <f>"2"</f>
        <v>2</v>
      </c>
      <c r="K2158">
        <v>60002</v>
      </c>
      <c r="L2158">
        <v>681</v>
      </c>
      <c r="M2158">
        <v>4</v>
      </c>
      <c r="N2158">
        <v>1</v>
      </c>
      <c r="O2158">
        <v>0</v>
      </c>
      <c r="P2158" t="s">
        <v>18</v>
      </c>
      <c r="Q2158">
        <v>2</v>
      </c>
      <c r="R2158">
        <v>0</v>
      </c>
      <c r="S2158" t="s">
        <v>22</v>
      </c>
      <c r="T2158">
        <v>2</v>
      </c>
      <c r="U2158">
        <v>0</v>
      </c>
    </row>
    <row r="2159" spans="1:21" x14ac:dyDescent="0.25">
      <c r="A2159" t="str">
        <f>"10613830"</f>
        <v>10613830</v>
      </c>
      <c r="B2159" t="s">
        <v>15</v>
      </c>
      <c r="C2159" s="1">
        <v>43997</v>
      </c>
      <c r="D2159" s="2">
        <f>YEAR(C2159)</f>
        <v>2020</v>
      </c>
      <c r="E2159">
        <v>25000</v>
      </c>
      <c r="F2159" t="s">
        <v>85</v>
      </c>
      <c r="G2159">
        <v>1960</v>
      </c>
      <c r="H2159">
        <v>27900</v>
      </c>
      <c r="I2159" t="s">
        <v>567</v>
      </c>
      <c r="J2159" t="str">
        <f>"2"</f>
        <v>2</v>
      </c>
      <c r="K2159">
        <v>60002</v>
      </c>
      <c r="L2159">
        <v>693</v>
      </c>
      <c r="M2159">
        <v>5</v>
      </c>
      <c r="N2159">
        <v>1</v>
      </c>
      <c r="O2159">
        <v>0</v>
      </c>
      <c r="P2159" t="s">
        <v>18</v>
      </c>
      <c r="Q2159">
        <v>2</v>
      </c>
      <c r="R2159">
        <v>0</v>
      </c>
      <c r="S2159" t="s">
        <v>19</v>
      </c>
      <c r="T2159">
        <v>0</v>
      </c>
      <c r="U2159">
        <v>0</v>
      </c>
    </row>
    <row r="2160" spans="1:21" x14ac:dyDescent="0.25">
      <c r="A2160" t="str">
        <f>"10580587"</f>
        <v>10580587</v>
      </c>
      <c r="B2160" t="s">
        <v>15</v>
      </c>
      <c r="C2160" s="1">
        <v>44012</v>
      </c>
      <c r="D2160" s="2">
        <f>YEAR(C2160)</f>
        <v>2020</v>
      </c>
      <c r="E2160">
        <v>40000</v>
      </c>
      <c r="F2160" t="s">
        <v>85</v>
      </c>
      <c r="G2160">
        <v>1960</v>
      </c>
      <c r="H2160">
        <v>41680</v>
      </c>
      <c r="I2160" t="s">
        <v>568</v>
      </c>
      <c r="J2160" t="str">
        <f>"2"</f>
        <v>2</v>
      </c>
      <c r="K2160">
        <v>60002</v>
      </c>
      <c r="L2160">
        <v>706</v>
      </c>
      <c r="M2160">
        <v>5</v>
      </c>
      <c r="N2160">
        <v>1</v>
      </c>
      <c r="O2160">
        <v>0</v>
      </c>
      <c r="P2160" t="s">
        <v>18</v>
      </c>
      <c r="Q2160">
        <v>2</v>
      </c>
      <c r="R2160">
        <v>0</v>
      </c>
      <c r="S2160" t="s">
        <v>19</v>
      </c>
      <c r="T2160">
        <v>0</v>
      </c>
      <c r="U2160">
        <v>0</v>
      </c>
    </row>
    <row r="2161" spans="1:21" x14ac:dyDescent="0.25">
      <c r="A2161" t="str">
        <f>"10267798"</f>
        <v>10267798</v>
      </c>
      <c r="B2161" t="s">
        <v>15</v>
      </c>
      <c r="C2161" s="1">
        <v>43528</v>
      </c>
      <c r="D2161" s="2">
        <f>YEAR(C2161)</f>
        <v>2019</v>
      </c>
      <c r="E2161">
        <v>150000</v>
      </c>
      <c r="F2161" t="s">
        <v>85</v>
      </c>
      <c r="G2161">
        <v>1952</v>
      </c>
      <c r="H2161">
        <v>39468</v>
      </c>
      <c r="I2161" t="s">
        <v>568</v>
      </c>
      <c r="J2161" t="str">
        <f>"2"</f>
        <v>2</v>
      </c>
      <c r="K2161">
        <v>60002</v>
      </c>
      <c r="L2161">
        <v>720</v>
      </c>
      <c r="M2161">
        <v>4</v>
      </c>
      <c r="N2161">
        <v>1</v>
      </c>
      <c r="O2161">
        <v>0</v>
      </c>
      <c r="P2161" t="s">
        <v>18</v>
      </c>
      <c r="Q2161">
        <v>2</v>
      </c>
      <c r="R2161">
        <v>0</v>
      </c>
      <c r="S2161" t="s">
        <v>22</v>
      </c>
      <c r="T2161">
        <v>2</v>
      </c>
      <c r="U2161">
        <v>0</v>
      </c>
    </row>
    <row r="2162" spans="1:21" x14ac:dyDescent="0.25">
      <c r="A2162" t="str">
        <f>"10322112"</f>
        <v>10322112</v>
      </c>
      <c r="B2162" t="s">
        <v>15</v>
      </c>
      <c r="C2162" s="1">
        <v>43614</v>
      </c>
      <c r="D2162" s="2">
        <f>YEAR(C2162)</f>
        <v>2019</v>
      </c>
      <c r="E2162">
        <v>117000</v>
      </c>
      <c r="F2162" t="s">
        <v>85</v>
      </c>
      <c r="G2162">
        <v>1952</v>
      </c>
      <c r="H2162">
        <v>25081</v>
      </c>
      <c r="I2162" t="s">
        <v>227</v>
      </c>
      <c r="J2162" t="str">
        <f>"2"</f>
        <v>2</v>
      </c>
      <c r="K2162">
        <v>60002</v>
      </c>
      <c r="L2162">
        <v>730</v>
      </c>
      <c r="M2162">
        <v>4</v>
      </c>
      <c r="N2162">
        <v>1</v>
      </c>
      <c r="O2162">
        <v>0</v>
      </c>
      <c r="P2162" t="s">
        <v>18</v>
      </c>
      <c r="Q2162">
        <v>2</v>
      </c>
      <c r="R2162">
        <v>0</v>
      </c>
      <c r="S2162" t="s">
        <v>22</v>
      </c>
      <c r="T2162">
        <v>1</v>
      </c>
      <c r="U2162">
        <v>0</v>
      </c>
    </row>
    <row r="2163" spans="1:21" x14ac:dyDescent="0.25">
      <c r="A2163" t="str">
        <f>"10917566"</f>
        <v>10917566</v>
      </c>
      <c r="B2163" t="s">
        <v>15</v>
      </c>
      <c r="C2163" s="1">
        <v>44195</v>
      </c>
      <c r="D2163" s="2">
        <f>YEAR(C2163)</f>
        <v>2020</v>
      </c>
      <c r="E2163">
        <v>150000</v>
      </c>
      <c r="F2163" t="s">
        <v>85</v>
      </c>
      <c r="G2163" t="s">
        <v>560</v>
      </c>
      <c r="H2163">
        <v>41982</v>
      </c>
      <c r="I2163" t="s">
        <v>569</v>
      </c>
      <c r="J2163" t="str">
        <f>"2"</f>
        <v>2</v>
      </c>
      <c r="K2163">
        <v>60002</v>
      </c>
      <c r="L2163">
        <v>740</v>
      </c>
      <c r="M2163">
        <v>5</v>
      </c>
      <c r="N2163">
        <v>1</v>
      </c>
      <c r="O2163">
        <v>0</v>
      </c>
      <c r="P2163" t="s">
        <v>18</v>
      </c>
      <c r="Q2163">
        <v>2</v>
      </c>
      <c r="R2163">
        <v>0</v>
      </c>
      <c r="S2163" t="s">
        <v>22</v>
      </c>
      <c r="T2163">
        <v>2</v>
      </c>
      <c r="U2163">
        <v>0</v>
      </c>
    </row>
    <row r="2164" spans="1:21" x14ac:dyDescent="0.25">
      <c r="A2164" t="str">
        <f>"10768864"</f>
        <v>10768864</v>
      </c>
      <c r="B2164" t="s">
        <v>15</v>
      </c>
      <c r="C2164" s="1">
        <v>44061</v>
      </c>
      <c r="D2164" s="2">
        <f>YEAR(C2164)</f>
        <v>2020</v>
      </c>
      <c r="E2164">
        <v>40000</v>
      </c>
      <c r="F2164" t="s">
        <v>85</v>
      </c>
      <c r="G2164">
        <v>1953</v>
      </c>
      <c r="H2164">
        <v>42420</v>
      </c>
      <c r="I2164" t="s">
        <v>570</v>
      </c>
      <c r="J2164" t="str">
        <f>"2"</f>
        <v>2</v>
      </c>
      <c r="K2164">
        <v>60002</v>
      </c>
      <c r="L2164">
        <v>740</v>
      </c>
      <c r="M2164">
        <v>4</v>
      </c>
      <c r="N2164">
        <v>1</v>
      </c>
      <c r="O2164">
        <v>0</v>
      </c>
      <c r="P2164" t="s">
        <v>18</v>
      </c>
      <c r="Q2164">
        <v>2</v>
      </c>
      <c r="R2164">
        <v>0</v>
      </c>
      <c r="S2164" t="s">
        <v>19</v>
      </c>
      <c r="T2164">
        <v>0</v>
      </c>
      <c r="U2164">
        <v>0</v>
      </c>
    </row>
    <row r="2165" spans="1:21" x14ac:dyDescent="0.25">
      <c r="A2165" t="str">
        <f>"10171607"</f>
        <v>10171607</v>
      </c>
      <c r="B2165" t="s">
        <v>15</v>
      </c>
      <c r="C2165" s="1">
        <v>43525</v>
      </c>
      <c r="D2165" s="2">
        <f>YEAR(C2165)</f>
        <v>2019</v>
      </c>
      <c r="E2165">
        <v>117000</v>
      </c>
      <c r="F2165" t="s">
        <v>85</v>
      </c>
      <c r="G2165">
        <v>1965</v>
      </c>
      <c r="H2165">
        <v>22212</v>
      </c>
      <c r="I2165" t="s">
        <v>571</v>
      </c>
      <c r="J2165" t="str">
        <f>"2"</f>
        <v>2</v>
      </c>
      <c r="K2165">
        <v>60002</v>
      </c>
      <c r="L2165">
        <v>760</v>
      </c>
      <c r="M2165">
        <v>4</v>
      </c>
      <c r="N2165">
        <v>1</v>
      </c>
      <c r="O2165">
        <v>0</v>
      </c>
      <c r="P2165" t="s">
        <v>18</v>
      </c>
      <c r="Q2165">
        <v>2</v>
      </c>
      <c r="R2165">
        <v>0</v>
      </c>
      <c r="S2165" t="s">
        <v>19</v>
      </c>
      <c r="T2165">
        <v>0</v>
      </c>
      <c r="U2165">
        <v>0</v>
      </c>
    </row>
    <row r="2166" spans="1:21" x14ac:dyDescent="0.25">
      <c r="A2166" t="str">
        <f>"10717871"</f>
        <v>10717871</v>
      </c>
      <c r="B2166" t="s">
        <v>15</v>
      </c>
      <c r="C2166" s="1">
        <v>44012</v>
      </c>
      <c r="D2166" s="2">
        <f>YEAR(C2166)</f>
        <v>2020</v>
      </c>
      <c r="E2166">
        <v>147000</v>
      </c>
      <c r="F2166" t="s">
        <v>85</v>
      </c>
      <c r="G2166">
        <v>1960</v>
      </c>
      <c r="H2166">
        <v>170</v>
      </c>
      <c r="I2166" t="s">
        <v>158</v>
      </c>
      <c r="J2166" t="str">
        <f>"2"</f>
        <v>2</v>
      </c>
      <c r="K2166">
        <v>60002</v>
      </c>
      <c r="L2166">
        <v>768</v>
      </c>
      <c r="M2166">
        <v>4</v>
      </c>
      <c r="N2166">
        <v>1</v>
      </c>
      <c r="O2166">
        <v>0</v>
      </c>
      <c r="P2166" t="s">
        <v>18</v>
      </c>
      <c r="Q2166">
        <v>2</v>
      </c>
      <c r="R2166">
        <v>0</v>
      </c>
      <c r="S2166" t="s">
        <v>21</v>
      </c>
      <c r="T2166">
        <v>1</v>
      </c>
      <c r="U2166">
        <v>0</v>
      </c>
    </row>
    <row r="2167" spans="1:21" x14ac:dyDescent="0.25">
      <c r="A2167" t="str">
        <f>"10313628"</f>
        <v>10313628</v>
      </c>
      <c r="B2167" t="s">
        <v>15</v>
      </c>
      <c r="C2167" s="1">
        <v>43591</v>
      </c>
      <c r="D2167" s="2">
        <f>YEAR(C2167)</f>
        <v>2019</v>
      </c>
      <c r="E2167">
        <v>82500</v>
      </c>
      <c r="F2167" t="s">
        <v>85</v>
      </c>
      <c r="G2167">
        <v>1955</v>
      </c>
      <c r="H2167">
        <v>162</v>
      </c>
      <c r="I2167" t="s">
        <v>572</v>
      </c>
      <c r="J2167" t="str">
        <f>"2"</f>
        <v>2</v>
      </c>
      <c r="K2167">
        <v>60002</v>
      </c>
      <c r="L2167">
        <v>768</v>
      </c>
      <c r="M2167">
        <v>4</v>
      </c>
      <c r="N2167">
        <v>1</v>
      </c>
      <c r="O2167">
        <v>0</v>
      </c>
      <c r="P2167" t="s">
        <v>18</v>
      </c>
      <c r="Q2167">
        <v>2</v>
      </c>
      <c r="R2167">
        <v>0</v>
      </c>
      <c r="S2167" t="s">
        <v>22</v>
      </c>
      <c r="T2167">
        <v>1</v>
      </c>
      <c r="U2167">
        <v>0</v>
      </c>
    </row>
    <row r="2168" spans="1:21" x14ac:dyDescent="0.25">
      <c r="A2168" t="str">
        <f>"10361632"</f>
        <v>10361632</v>
      </c>
      <c r="B2168" t="s">
        <v>15</v>
      </c>
      <c r="C2168" s="1">
        <v>43602</v>
      </c>
      <c r="D2168" s="2">
        <f>YEAR(C2168)</f>
        <v>2019</v>
      </c>
      <c r="E2168">
        <v>25500</v>
      </c>
      <c r="F2168" t="s">
        <v>85</v>
      </c>
      <c r="G2168">
        <v>1955</v>
      </c>
      <c r="H2168">
        <v>42191</v>
      </c>
      <c r="I2168" t="s">
        <v>573</v>
      </c>
      <c r="J2168" t="str">
        <f>"2"</f>
        <v>2</v>
      </c>
      <c r="K2168">
        <v>60002</v>
      </c>
      <c r="L2168">
        <v>796</v>
      </c>
      <c r="M2168">
        <v>5</v>
      </c>
      <c r="N2168">
        <v>1</v>
      </c>
      <c r="O2168">
        <v>0</v>
      </c>
      <c r="P2168" t="s">
        <v>18</v>
      </c>
      <c r="Q2168">
        <v>2</v>
      </c>
      <c r="R2168">
        <v>0</v>
      </c>
      <c r="S2168" t="s">
        <v>22</v>
      </c>
      <c r="T2168">
        <v>2</v>
      </c>
      <c r="U2168">
        <v>0</v>
      </c>
    </row>
    <row r="2169" spans="1:21" x14ac:dyDescent="0.25">
      <c r="A2169" t="str">
        <f>"10455946"</f>
        <v>10455946</v>
      </c>
      <c r="B2169" t="s">
        <v>15</v>
      </c>
      <c r="C2169" s="1">
        <v>43735</v>
      </c>
      <c r="D2169" s="2">
        <f>YEAR(C2169)</f>
        <v>2019</v>
      </c>
      <c r="E2169">
        <v>117000</v>
      </c>
      <c r="F2169" t="s">
        <v>85</v>
      </c>
      <c r="G2169">
        <v>1950</v>
      </c>
      <c r="H2169">
        <v>22327</v>
      </c>
      <c r="I2169" t="s">
        <v>574</v>
      </c>
      <c r="J2169" t="str">
        <f>"2"</f>
        <v>2</v>
      </c>
      <c r="K2169">
        <v>60002</v>
      </c>
      <c r="L2169">
        <v>797</v>
      </c>
      <c r="M2169">
        <v>5</v>
      </c>
      <c r="N2169">
        <v>1</v>
      </c>
      <c r="O2169">
        <v>0</v>
      </c>
      <c r="P2169" t="s">
        <v>18</v>
      </c>
      <c r="Q2169">
        <v>2</v>
      </c>
      <c r="R2169">
        <v>0</v>
      </c>
      <c r="S2169" t="s">
        <v>22</v>
      </c>
      <c r="T2169">
        <v>1</v>
      </c>
      <c r="U2169">
        <v>0</v>
      </c>
    </row>
    <row r="2170" spans="1:21" x14ac:dyDescent="0.25">
      <c r="A2170" t="str">
        <f>"10647387"</f>
        <v>10647387</v>
      </c>
      <c r="B2170" t="s">
        <v>15</v>
      </c>
      <c r="C2170" s="1">
        <v>43935</v>
      </c>
      <c r="D2170" s="2">
        <f>YEAR(C2170)</f>
        <v>2020</v>
      </c>
      <c r="E2170">
        <v>73000</v>
      </c>
      <c r="F2170" t="s">
        <v>85</v>
      </c>
      <c r="G2170">
        <v>1958</v>
      </c>
      <c r="H2170">
        <v>320</v>
      </c>
      <c r="I2170" t="s">
        <v>209</v>
      </c>
      <c r="J2170" t="str">
        <f>"2"</f>
        <v>2</v>
      </c>
      <c r="K2170">
        <v>60002</v>
      </c>
      <c r="L2170">
        <v>816</v>
      </c>
      <c r="M2170">
        <v>5</v>
      </c>
      <c r="N2170">
        <v>1</v>
      </c>
      <c r="O2170">
        <v>0</v>
      </c>
      <c r="P2170" t="s">
        <v>18</v>
      </c>
      <c r="Q2170">
        <v>3</v>
      </c>
      <c r="R2170">
        <v>0</v>
      </c>
      <c r="S2170" t="s">
        <v>22</v>
      </c>
      <c r="T2170">
        <v>2</v>
      </c>
      <c r="U2170">
        <v>0</v>
      </c>
    </row>
    <row r="2171" spans="1:21" x14ac:dyDescent="0.25">
      <c r="A2171" t="str">
        <f>"10678080"</f>
        <v>10678080</v>
      </c>
      <c r="B2171" t="s">
        <v>15</v>
      </c>
      <c r="C2171" s="1">
        <v>44008</v>
      </c>
      <c r="D2171" s="2">
        <f>YEAR(C2171)</f>
        <v>2020</v>
      </c>
      <c r="E2171">
        <v>127000</v>
      </c>
      <c r="F2171" t="s">
        <v>85</v>
      </c>
      <c r="G2171">
        <v>1965</v>
      </c>
      <c r="H2171">
        <v>337</v>
      </c>
      <c r="I2171" t="s">
        <v>578</v>
      </c>
      <c r="J2171" t="str">
        <f>"2"</f>
        <v>2</v>
      </c>
      <c r="K2171">
        <v>60002</v>
      </c>
      <c r="L2171">
        <v>840</v>
      </c>
      <c r="M2171">
        <v>5</v>
      </c>
      <c r="N2171">
        <v>1</v>
      </c>
      <c r="O2171">
        <v>0</v>
      </c>
      <c r="P2171" t="s">
        <v>18</v>
      </c>
      <c r="Q2171">
        <v>2</v>
      </c>
      <c r="R2171">
        <v>0</v>
      </c>
      <c r="S2171" t="s">
        <v>22</v>
      </c>
      <c r="T2171">
        <v>2</v>
      </c>
      <c r="U2171">
        <v>0</v>
      </c>
    </row>
    <row r="2172" spans="1:21" x14ac:dyDescent="0.25">
      <c r="A2172" t="str">
        <f>"10793380"</f>
        <v>10793380</v>
      </c>
      <c r="B2172" t="s">
        <v>15</v>
      </c>
      <c r="C2172" s="1">
        <v>44092</v>
      </c>
      <c r="D2172" s="2">
        <f>YEAR(C2172)</f>
        <v>2020</v>
      </c>
      <c r="E2172">
        <v>150000</v>
      </c>
      <c r="F2172" t="s">
        <v>85</v>
      </c>
      <c r="G2172">
        <v>1960</v>
      </c>
      <c r="H2172">
        <v>1086</v>
      </c>
      <c r="I2172" t="s">
        <v>579</v>
      </c>
      <c r="J2172" t="str">
        <f>"2"</f>
        <v>2</v>
      </c>
      <c r="K2172">
        <v>60002</v>
      </c>
      <c r="L2172">
        <v>840</v>
      </c>
      <c r="M2172">
        <v>4</v>
      </c>
      <c r="N2172">
        <v>1</v>
      </c>
      <c r="O2172">
        <v>0</v>
      </c>
      <c r="P2172" t="s">
        <v>18</v>
      </c>
      <c r="Q2172">
        <v>2</v>
      </c>
      <c r="R2172">
        <v>0</v>
      </c>
      <c r="S2172" t="s">
        <v>22</v>
      </c>
      <c r="T2172">
        <v>2.5</v>
      </c>
      <c r="U2172">
        <v>0</v>
      </c>
    </row>
    <row r="2173" spans="1:21" x14ac:dyDescent="0.25">
      <c r="A2173" t="str">
        <f>"10704318"</f>
        <v>10704318</v>
      </c>
      <c r="B2173" t="s">
        <v>15</v>
      </c>
      <c r="C2173" s="1">
        <v>43972</v>
      </c>
      <c r="D2173" s="2">
        <f>YEAR(C2173)</f>
        <v>2020</v>
      </c>
      <c r="E2173">
        <v>145000</v>
      </c>
      <c r="F2173" t="s">
        <v>85</v>
      </c>
      <c r="G2173">
        <v>1960</v>
      </c>
      <c r="H2173">
        <v>42383</v>
      </c>
      <c r="I2173" t="s">
        <v>580</v>
      </c>
      <c r="J2173" t="str">
        <f>"2"</f>
        <v>2</v>
      </c>
      <c r="K2173">
        <v>60002</v>
      </c>
      <c r="L2173">
        <v>844</v>
      </c>
      <c r="M2173">
        <v>4</v>
      </c>
      <c r="N2173">
        <v>1</v>
      </c>
      <c r="O2173">
        <v>0</v>
      </c>
      <c r="P2173" t="s">
        <v>18</v>
      </c>
      <c r="Q2173">
        <v>2</v>
      </c>
      <c r="R2173">
        <v>0</v>
      </c>
      <c r="S2173" t="s">
        <v>22</v>
      </c>
      <c r="T2173">
        <v>2</v>
      </c>
      <c r="U2173">
        <v>0</v>
      </c>
    </row>
    <row r="2174" spans="1:21" x14ac:dyDescent="0.25">
      <c r="A2174" t="str">
        <f>"10430943"</f>
        <v>10430943</v>
      </c>
      <c r="B2174" t="s">
        <v>15</v>
      </c>
      <c r="C2174" s="1">
        <v>43714</v>
      </c>
      <c r="D2174" s="2">
        <f>YEAR(C2174)</f>
        <v>2019</v>
      </c>
      <c r="E2174">
        <v>122500</v>
      </c>
      <c r="F2174" t="s">
        <v>85</v>
      </c>
      <c r="G2174">
        <v>1960</v>
      </c>
      <c r="H2174">
        <v>42759</v>
      </c>
      <c r="I2174" t="s">
        <v>201</v>
      </c>
      <c r="J2174" t="str">
        <f>"2"</f>
        <v>2</v>
      </c>
      <c r="K2174">
        <v>60002</v>
      </c>
      <c r="L2174">
        <v>874</v>
      </c>
      <c r="M2174">
        <v>7</v>
      </c>
      <c r="N2174">
        <v>1</v>
      </c>
      <c r="O2174">
        <v>0</v>
      </c>
      <c r="P2174" t="s">
        <v>18</v>
      </c>
      <c r="Q2174">
        <v>2</v>
      </c>
      <c r="R2174">
        <v>0</v>
      </c>
      <c r="S2174" t="s">
        <v>22</v>
      </c>
      <c r="T2174">
        <v>1</v>
      </c>
      <c r="U2174">
        <v>0</v>
      </c>
    </row>
    <row r="2175" spans="1:21" x14ac:dyDescent="0.25">
      <c r="A2175" t="str">
        <f>"10390113"</f>
        <v>10390113</v>
      </c>
      <c r="B2175" t="s">
        <v>15</v>
      </c>
      <c r="C2175" s="1">
        <v>43728</v>
      </c>
      <c r="D2175" s="2">
        <f>YEAR(C2175)</f>
        <v>2019</v>
      </c>
      <c r="E2175">
        <v>120000</v>
      </c>
      <c r="F2175" t="s">
        <v>85</v>
      </c>
      <c r="G2175">
        <v>1952</v>
      </c>
      <c r="H2175">
        <v>25651</v>
      </c>
      <c r="I2175" t="s">
        <v>583</v>
      </c>
      <c r="J2175" t="str">
        <f>"2"</f>
        <v>2</v>
      </c>
      <c r="K2175">
        <v>60002</v>
      </c>
      <c r="L2175">
        <v>876</v>
      </c>
      <c r="M2175">
        <v>5</v>
      </c>
      <c r="N2175">
        <v>1</v>
      </c>
      <c r="O2175">
        <v>0</v>
      </c>
      <c r="P2175" t="s">
        <v>18</v>
      </c>
      <c r="Q2175">
        <v>2</v>
      </c>
      <c r="R2175">
        <v>0</v>
      </c>
      <c r="S2175" t="s">
        <v>19</v>
      </c>
      <c r="T2175">
        <v>0</v>
      </c>
      <c r="U2175">
        <v>0</v>
      </c>
    </row>
    <row r="2176" spans="1:21" x14ac:dyDescent="0.25">
      <c r="A2176" t="str">
        <f>"09698585"</f>
        <v>09698585</v>
      </c>
      <c r="B2176" t="s">
        <v>15</v>
      </c>
      <c r="C2176" s="1">
        <v>43480</v>
      </c>
      <c r="D2176" s="2">
        <f>YEAR(C2176)</f>
        <v>2019</v>
      </c>
      <c r="E2176">
        <v>90000</v>
      </c>
      <c r="F2176" t="s">
        <v>85</v>
      </c>
      <c r="G2176">
        <v>1950</v>
      </c>
      <c r="H2176">
        <v>40935</v>
      </c>
      <c r="I2176" t="s">
        <v>148</v>
      </c>
      <c r="J2176" t="str">
        <f>"2"</f>
        <v>2</v>
      </c>
      <c r="K2176">
        <v>60002</v>
      </c>
      <c r="L2176">
        <v>884</v>
      </c>
      <c r="M2176">
        <v>4</v>
      </c>
      <c r="N2176">
        <v>1</v>
      </c>
      <c r="O2176">
        <v>0</v>
      </c>
      <c r="P2176" t="s">
        <v>18</v>
      </c>
      <c r="Q2176">
        <v>1</v>
      </c>
      <c r="R2176">
        <v>0</v>
      </c>
      <c r="S2176" t="s">
        <v>22</v>
      </c>
      <c r="T2176">
        <v>2</v>
      </c>
      <c r="U2176">
        <v>0</v>
      </c>
    </row>
    <row r="2177" spans="1:21" x14ac:dyDescent="0.25">
      <c r="A2177" t="str">
        <f>"10763345"</f>
        <v>10763345</v>
      </c>
      <c r="B2177" t="s">
        <v>15</v>
      </c>
      <c r="C2177" s="1">
        <v>44042</v>
      </c>
      <c r="D2177" s="2">
        <f>YEAR(C2177)</f>
        <v>2020</v>
      </c>
      <c r="E2177">
        <v>200000</v>
      </c>
      <c r="F2177" t="s">
        <v>85</v>
      </c>
      <c r="G2177">
        <v>1970</v>
      </c>
      <c r="H2177">
        <v>40552</v>
      </c>
      <c r="I2177" t="s">
        <v>585</v>
      </c>
      <c r="J2177" t="str">
        <f>"2"</f>
        <v>2</v>
      </c>
      <c r="K2177">
        <v>60002</v>
      </c>
      <c r="L2177">
        <v>884</v>
      </c>
      <c r="M2177">
        <v>5</v>
      </c>
      <c r="N2177">
        <v>1</v>
      </c>
      <c r="O2177">
        <v>0</v>
      </c>
      <c r="P2177" t="s">
        <v>18</v>
      </c>
      <c r="Q2177">
        <v>2</v>
      </c>
      <c r="R2177">
        <v>0</v>
      </c>
      <c r="S2177" t="s">
        <v>22</v>
      </c>
      <c r="T2177">
        <v>2</v>
      </c>
      <c r="U2177">
        <v>0</v>
      </c>
    </row>
    <row r="2178" spans="1:21" x14ac:dyDescent="0.25">
      <c r="A2178" t="str">
        <f>"10598087"</f>
        <v>10598087</v>
      </c>
      <c r="B2178" t="s">
        <v>15</v>
      </c>
      <c r="C2178" s="1">
        <v>44187</v>
      </c>
      <c r="D2178" s="2">
        <f>YEAR(C2178)</f>
        <v>2020</v>
      </c>
      <c r="E2178">
        <v>125000</v>
      </c>
      <c r="F2178" t="s">
        <v>85</v>
      </c>
      <c r="G2178">
        <v>1950</v>
      </c>
      <c r="H2178">
        <v>27947</v>
      </c>
      <c r="I2178" t="s">
        <v>586</v>
      </c>
      <c r="J2178" t="str">
        <f>"2"</f>
        <v>2</v>
      </c>
      <c r="K2178">
        <v>60002</v>
      </c>
      <c r="L2178">
        <v>896</v>
      </c>
      <c r="M2178">
        <v>4</v>
      </c>
      <c r="N2178">
        <v>1</v>
      </c>
      <c r="O2178">
        <v>0</v>
      </c>
      <c r="P2178" t="s">
        <v>18</v>
      </c>
      <c r="Q2178">
        <v>2</v>
      </c>
      <c r="R2178">
        <v>0</v>
      </c>
      <c r="S2178" t="s">
        <v>22</v>
      </c>
      <c r="T2178">
        <v>2</v>
      </c>
      <c r="U2178">
        <v>0</v>
      </c>
    </row>
    <row r="2179" spans="1:21" x14ac:dyDescent="0.25">
      <c r="A2179" t="str">
        <f>"10652255"</f>
        <v>10652255</v>
      </c>
      <c r="B2179" t="s">
        <v>15</v>
      </c>
      <c r="C2179" s="1">
        <v>44123</v>
      </c>
      <c r="D2179" s="2">
        <f>YEAR(C2179)</f>
        <v>2020</v>
      </c>
      <c r="E2179">
        <v>92000</v>
      </c>
      <c r="F2179" t="s">
        <v>85</v>
      </c>
      <c r="G2179" t="s">
        <v>560</v>
      </c>
      <c r="H2179">
        <v>38717</v>
      </c>
      <c r="I2179" t="s">
        <v>570</v>
      </c>
      <c r="J2179" t="str">
        <f>"2"</f>
        <v>2</v>
      </c>
      <c r="K2179">
        <v>60002</v>
      </c>
      <c r="L2179">
        <v>900</v>
      </c>
      <c r="M2179">
        <v>6</v>
      </c>
      <c r="N2179">
        <v>1</v>
      </c>
      <c r="O2179">
        <v>0</v>
      </c>
      <c r="P2179" t="s">
        <v>18</v>
      </c>
      <c r="Q2179">
        <v>3</v>
      </c>
      <c r="R2179">
        <v>0</v>
      </c>
      <c r="S2179" t="s">
        <v>22</v>
      </c>
      <c r="T2179">
        <v>3</v>
      </c>
      <c r="U2179">
        <v>0</v>
      </c>
    </row>
    <row r="2180" spans="1:21" x14ac:dyDescent="0.25">
      <c r="A2180" t="str">
        <f>"10393490"</f>
        <v>10393490</v>
      </c>
      <c r="B2180" t="s">
        <v>15</v>
      </c>
      <c r="C2180" s="1">
        <v>43748</v>
      </c>
      <c r="D2180" s="2">
        <f>YEAR(C2180)</f>
        <v>2019</v>
      </c>
      <c r="E2180">
        <v>146000</v>
      </c>
      <c r="F2180" t="s">
        <v>85</v>
      </c>
      <c r="G2180">
        <v>1960</v>
      </c>
      <c r="H2180">
        <v>1066</v>
      </c>
      <c r="I2180" t="s">
        <v>587</v>
      </c>
      <c r="J2180" t="str">
        <f>"2"</f>
        <v>2</v>
      </c>
      <c r="K2180">
        <v>60002</v>
      </c>
      <c r="L2180">
        <v>900</v>
      </c>
      <c r="M2180">
        <v>9</v>
      </c>
      <c r="N2180">
        <v>2</v>
      </c>
      <c r="O2180">
        <v>0</v>
      </c>
      <c r="P2180" t="s">
        <v>79</v>
      </c>
      <c r="Q2180">
        <v>2</v>
      </c>
      <c r="R2180">
        <v>1</v>
      </c>
      <c r="S2180" t="s">
        <v>22</v>
      </c>
      <c r="T2180">
        <v>3</v>
      </c>
      <c r="U2180">
        <v>0</v>
      </c>
    </row>
    <row r="2181" spans="1:21" x14ac:dyDescent="0.25">
      <c r="A2181" t="str">
        <f>"10134173"</f>
        <v>10134173</v>
      </c>
      <c r="B2181" t="s">
        <v>15</v>
      </c>
      <c r="C2181" s="1">
        <v>43556</v>
      </c>
      <c r="D2181" s="2">
        <f>YEAR(C2181)</f>
        <v>2019</v>
      </c>
      <c r="E2181">
        <v>145000</v>
      </c>
      <c r="F2181" t="s">
        <v>85</v>
      </c>
      <c r="G2181">
        <v>1963</v>
      </c>
      <c r="H2181">
        <v>41395</v>
      </c>
      <c r="I2181" t="s">
        <v>588</v>
      </c>
      <c r="J2181" t="str">
        <f>"2"</f>
        <v>2</v>
      </c>
      <c r="K2181">
        <v>60002</v>
      </c>
      <c r="L2181">
        <v>900</v>
      </c>
      <c r="M2181">
        <v>5</v>
      </c>
      <c r="N2181">
        <v>1</v>
      </c>
      <c r="O2181">
        <v>0</v>
      </c>
      <c r="P2181" t="s">
        <v>18</v>
      </c>
      <c r="Q2181">
        <v>3</v>
      </c>
      <c r="R2181">
        <v>0</v>
      </c>
      <c r="S2181" t="s">
        <v>22</v>
      </c>
      <c r="T2181">
        <v>2</v>
      </c>
      <c r="U2181">
        <v>0</v>
      </c>
    </row>
    <row r="2182" spans="1:21" x14ac:dyDescent="0.25">
      <c r="A2182" t="str">
        <f>"10679307"</f>
        <v>10679307</v>
      </c>
      <c r="B2182" t="s">
        <v>15</v>
      </c>
      <c r="C2182" s="1">
        <v>43959</v>
      </c>
      <c r="D2182" s="2">
        <f>YEAR(C2182)</f>
        <v>2020</v>
      </c>
      <c r="E2182">
        <v>155000</v>
      </c>
      <c r="F2182" t="s">
        <v>85</v>
      </c>
      <c r="G2182">
        <v>1974</v>
      </c>
      <c r="H2182">
        <v>418</v>
      </c>
      <c r="I2182" t="s">
        <v>187</v>
      </c>
      <c r="J2182" t="str">
        <f>"2"</f>
        <v>2</v>
      </c>
      <c r="K2182">
        <v>60002</v>
      </c>
      <c r="L2182">
        <v>912</v>
      </c>
      <c r="M2182">
        <v>6</v>
      </c>
      <c r="N2182">
        <v>2</v>
      </c>
      <c r="O2182">
        <v>0</v>
      </c>
      <c r="P2182" t="s">
        <v>79</v>
      </c>
      <c r="Q2182">
        <v>3</v>
      </c>
      <c r="R2182">
        <v>0</v>
      </c>
      <c r="S2182" t="s">
        <v>22</v>
      </c>
      <c r="T2182">
        <v>2</v>
      </c>
      <c r="U2182">
        <v>0</v>
      </c>
    </row>
    <row r="2183" spans="1:21" x14ac:dyDescent="0.25">
      <c r="A2183" t="str">
        <f>"10667157"</f>
        <v>10667157</v>
      </c>
      <c r="B2183" t="s">
        <v>15</v>
      </c>
      <c r="C2183" s="1">
        <v>44019</v>
      </c>
      <c r="D2183" s="2">
        <f>YEAR(C2183)</f>
        <v>2020</v>
      </c>
      <c r="E2183">
        <v>160000</v>
      </c>
      <c r="F2183" t="s">
        <v>85</v>
      </c>
      <c r="G2183">
        <v>1960</v>
      </c>
      <c r="H2183">
        <v>491</v>
      </c>
      <c r="I2183" t="s">
        <v>590</v>
      </c>
      <c r="J2183" t="str">
        <f>"2"</f>
        <v>2</v>
      </c>
      <c r="K2183">
        <v>60002</v>
      </c>
      <c r="L2183">
        <v>917</v>
      </c>
      <c r="M2183">
        <v>7</v>
      </c>
      <c r="N2183">
        <v>2</v>
      </c>
      <c r="O2183">
        <v>0</v>
      </c>
      <c r="P2183" t="s">
        <v>79</v>
      </c>
      <c r="Q2183">
        <v>2</v>
      </c>
      <c r="R2183">
        <v>2</v>
      </c>
      <c r="S2183" t="s">
        <v>21</v>
      </c>
      <c r="T2183">
        <v>1.5</v>
      </c>
      <c r="U2183">
        <v>0</v>
      </c>
    </row>
    <row r="2184" spans="1:21" x14ac:dyDescent="0.25">
      <c r="A2184" t="str">
        <f>"10719530"</f>
        <v>10719530</v>
      </c>
      <c r="B2184" t="s">
        <v>15</v>
      </c>
      <c r="C2184" s="1">
        <v>44011</v>
      </c>
      <c r="D2184" s="2">
        <f>YEAR(C2184)</f>
        <v>2020</v>
      </c>
      <c r="E2184">
        <v>131170</v>
      </c>
      <c r="F2184" t="s">
        <v>85</v>
      </c>
      <c r="G2184">
        <v>1940</v>
      </c>
      <c r="H2184">
        <v>26248</v>
      </c>
      <c r="I2184" t="s">
        <v>591</v>
      </c>
      <c r="J2184" t="str">
        <f>"2"</f>
        <v>2</v>
      </c>
      <c r="K2184">
        <v>60002</v>
      </c>
      <c r="L2184">
        <v>924</v>
      </c>
      <c r="M2184">
        <v>4</v>
      </c>
      <c r="N2184">
        <v>1</v>
      </c>
      <c r="O2184">
        <v>0</v>
      </c>
      <c r="P2184" t="s">
        <v>18</v>
      </c>
      <c r="Q2184">
        <v>2</v>
      </c>
      <c r="R2184">
        <v>0</v>
      </c>
      <c r="S2184" t="s">
        <v>22</v>
      </c>
      <c r="T2184">
        <v>2</v>
      </c>
      <c r="U2184">
        <v>0</v>
      </c>
    </row>
    <row r="2185" spans="1:21" x14ac:dyDescent="0.25">
      <c r="A2185" t="str">
        <f>"10842364"</f>
        <v>10842364</v>
      </c>
      <c r="B2185" t="s">
        <v>15</v>
      </c>
      <c r="C2185" s="1">
        <v>44131</v>
      </c>
      <c r="D2185" s="2">
        <f>YEAR(C2185)</f>
        <v>2020</v>
      </c>
      <c r="E2185">
        <v>145800</v>
      </c>
      <c r="F2185" t="s">
        <v>85</v>
      </c>
      <c r="G2185">
        <v>1957</v>
      </c>
      <c r="H2185">
        <v>452</v>
      </c>
      <c r="I2185" t="s">
        <v>209</v>
      </c>
      <c r="J2185" t="str">
        <f>"2"</f>
        <v>2</v>
      </c>
      <c r="K2185">
        <v>60002</v>
      </c>
      <c r="L2185">
        <v>925</v>
      </c>
      <c r="M2185">
        <v>5</v>
      </c>
      <c r="N2185">
        <v>1</v>
      </c>
      <c r="O2185">
        <v>0</v>
      </c>
      <c r="P2185" t="s">
        <v>18</v>
      </c>
      <c r="Q2185">
        <v>2</v>
      </c>
      <c r="R2185">
        <v>0</v>
      </c>
      <c r="S2185" t="s">
        <v>22</v>
      </c>
      <c r="T2185">
        <v>2</v>
      </c>
      <c r="U2185">
        <v>0</v>
      </c>
    </row>
    <row r="2186" spans="1:21" x14ac:dyDescent="0.25">
      <c r="A2186" t="str">
        <f>"10518207"</f>
        <v>10518207</v>
      </c>
      <c r="B2186" t="s">
        <v>15</v>
      </c>
      <c r="C2186" s="1">
        <v>43830</v>
      </c>
      <c r="D2186" s="2">
        <f>YEAR(C2186)</f>
        <v>2019</v>
      </c>
      <c r="E2186">
        <v>110000</v>
      </c>
      <c r="F2186" t="s">
        <v>85</v>
      </c>
      <c r="G2186">
        <v>1950</v>
      </c>
      <c r="H2186">
        <v>308</v>
      </c>
      <c r="I2186" t="s">
        <v>201</v>
      </c>
      <c r="J2186" t="str">
        <f>"2"</f>
        <v>2</v>
      </c>
      <c r="K2186">
        <v>60002</v>
      </c>
      <c r="L2186">
        <v>928</v>
      </c>
      <c r="M2186">
        <v>4</v>
      </c>
      <c r="N2186">
        <v>1</v>
      </c>
      <c r="O2186">
        <v>0</v>
      </c>
      <c r="P2186" t="s">
        <v>18</v>
      </c>
      <c r="Q2186">
        <v>2</v>
      </c>
      <c r="R2186">
        <v>0</v>
      </c>
      <c r="S2186" t="s">
        <v>22</v>
      </c>
      <c r="T2186">
        <v>3</v>
      </c>
      <c r="U2186">
        <v>0</v>
      </c>
    </row>
    <row r="2187" spans="1:21" x14ac:dyDescent="0.25">
      <c r="A2187" t="str">
        <f>"10761917"</f>
        <v>10761917</v>
      </c>
      <c r="B2187" t="s">
        <v>15</v>
      </c>
      <c r="C2187" s="1">
        <v>44057</v>
      </c>
      <c r="D2187" s="2">
        <f>YEAR(C2187)</f>
        <v>2020</v>
      </c>
      <c r="E2187">
        <v>140000</v>
      </c>
      <c r="F2187" t="s">
        <v>85</v>
      </c>
      <c r="G2187">
        <v>1960</v>
      </c>
      <c r="H2187">
        <v>26454</v>
      </c>
      <c r="I2187" t="s">
        <v>434</v>
      </c>
      <c r="J2187" t="str">
        <f>"2"</f>
        <v>2</v>
      </c>
      <c r="K2187">
        <v>60002</v>
      </c>
      <c r="L2187">
        <v>936</v>
      </c>
      <c r="M2187">
        <v>4</v>
      </c>
      <c r="N2187">
        <v>1</v>
      </c>
      <c r="O2187">
        <v>0</v>
      </c>
      <c r="P2187" t="s">
        <v>18</v>
      </c>
      <c r="Q2187">
        <v>2</v>
      </c>
      <c r="R2187">
        <v>0</v>
      </c>
      <c r="S2187" t="s">
        <v>22</v>
      </c>
      <c r="T2187">
        <v>2</v>
      </c>
      <c r="U2187">
        <v>0</v>
      </c>
    </row>
    <row r="2188" spans="1:21" x14ac:dyDescent="0.25">
      <c r="A2188" t="str">
        <f>"10846471"</f>
        <v>10846471</v>
      </c>
      <c r="B2188" t="s">
        <v>15</v>
      </c>
      <c r="C2188" s="1">
        <v>44126</v>
      </c>
      <c r="D2188" s="2">
        <f>YEAR(C2188)</f>
        <v>2020</v>
      </c>
      <c r="E2188">
        <v>160000</v>
      </c>
      <c r="F2188" t="s">
        <v>85</v>
      </c>
      <c r="G2188">
        <v>1960</v>
      </c>
      <c r="H2188">
        <v>497</v>
      </c>
      <c r="I2188" t="s">
        <v>590</v>
      </c>
      <c r="J2188" t="str">
        <f>"2"</f>
        <v>2</v>
      </c>
      <c r="K2188">
        <v>60002</v>
      </c>
      <c r="L2188">
        <v>937</v>
      </c>
      <c r="M2188">
        <v>6</v>
      </c>
      <c r="N2188">
        <v>2</v>
      </c>
      <c r="O2188">
        <v>0</v>
      </c>
      <c r="P2188" t="s">
        <v>79</v>
      </c>
      <c r="Q2188">
        <v>3</v>
      </c>
      <c r="R2188">
        <v>0</v>
      </c>
      <c r="S2188" t="s">
        <v>22</v>
      </c>
      <c r="T2188">
        <v>2</v>
      </c>
      <c r="U2188">
        <v>0</v>
      </c>
    </row>
    <row r="2189" spans="1:21" x14ac:dyDescent="0.25">
      <c r="A2189" t="str">
        <f>"10748266"</f>
        <v>10748266</v>
      </c>
      <c r="B2189" t="s">
        <v>15</v>
      </c>
      <c r="C2189" s="1">
        <v>44074</v>
      </c>
      <c r="D2189" s="2">
        <f>YEAR(C2189)</f>
        <v>2020</v>
      </c>
      <c r="E2189">
        <v>202500</v>
      </c>
      <c r="F2189" t="s">
        <v>85</v>
      </c>
      <c r="G2189">
        <v>1953</v>
      </c>
      <c r="H2189">
        <v>1019</v>
      </c>
      <c r="I2189" t="s">
        <v>587</v>
      </c>
      <c r="J2189" t="str">
        <f>"2"</f>
        <v>2</v>
      </c>
      <c r="K2189">
        <v>60002</v>
      </c>
      <c r="L2189">
        <v>940</v>
      </c>
      <c r="M2189">
        <v>8</v>
      </c>
      <c r="N2189">
        <v>1</v>
      </c>
      <c r="O2189">
        <v>1</v>
      </c>
      <c r="P2189" t="s">
        <v>79</v>
      </c>
      <c r="Q2189">
        <v>3</v>
      </c>
      <c r="R2189">
        <v>0</v>
      </c>
      <c r="S2189" t="s">
        <v>22</v>
      </c>
      <c r="T2189">
        <v>4</v>
      </c>
      <c r="U2189">
        <v>0</v>
      </c>
    </row>
    <row r="2190" spans="1:21" x14ac:dyDescent="0.25">
      <c r="A2190" t="str">
        <f>"10477327"</f>
        <v>10477327</v>
      </c>
      <c r="B2190" t="s">
        <v>15</v>
      </c>
      <c r="C2190" s="1">
        <v>43731</v>
      </c>
      <c r="D2190" s="2">
        <f>YEAR(C2190)</f>
        <v>2019</v>
      </c>
      <c r="E2190">
        <v>149200</v>
      </c>
      <c r="F2190" t="s">
        <v>85</v>
      </c>
      <c r="G2190">
        <v>1960</v>
      </c>
      <c r="H2190">
        <v>26405</v>
      </c>
      <c r="I2190" t="s">
        <v>586</v>
      </c>
      <c r="J2190" t="str">
        <f>"2"</f>
        <v>2</v>
      </c>
      <c r="K2190">
        <v>60002</v>
      </c>
      <c r="L2190">
        <v>950</v>
      </c>
      <c r="M2190">
        <v>6</v>
      </c>
      <c r="N2190">
        <v>2</v>
      </c>
      <c r="O2190">
        <v>0</v>
      </c>
      <c r="P2190" t="s">
        <v>18</v>
      </c>
      <c r="Q2190">
        <v>2</v>
      </c>
      <c r="R2190">
        <v>0</v>
      </c>
      <c r="S2190" t="s">
        <v>22</v>
      </c>
      <c r="T2190">
        <v>2</v>
      </c>
      <c r="U2190">
        <v>0</v>
      </c>
    </row>
    <row r="2191" spans="1:21" x14ac:dyDescent="0.25">
      <c r="A2191" t="str">
        <f>"10542671"</f>
        <v>10542671</v>
      </c>
      <c r="B2191" t="s">
        <v>15</v>
      </c>
      <c r="C2191" s="1">
        <v>43948</v>
      </c>
      <c r="D2191" s="2">
        <f>YEAR(C2191)</f>
        <v>2020</v>
      </c>
      <c r="E2191">
        <v>124900</v>
      </c>
      <c r="F2191" t="s">
        <v>85</v>
      </c>
      <c r="G2191">
        <v>1960</v>
      </c>
      <c r="H2191">
        <v>25379</v>
      </c>
      <c r="I2191" t="s">
        <v>586</v>
      </c>
      <c r="J2191" t="str">
        <f>"2"</f>
        <v>2</v>
      </c>
      <c r="K2191">
        <v>60002</v>
      </c>
      <c r="L2191">
        <v>952</v>
      </c>
      <c r="M2191">
        <v>4</v>
      </c>
      <c r="N2191">
        <v>1</v>
      </c>
      <c r="O2191">
        <v>0</v>
      </c>
      <c r="P2191" t="s">
        <v>18</v>
      </c>
      <c r="Q2191">
        <v>1</v>
      </c>
      <c r="R2191">
        <v>0</v>
      </c>
      <c r="S2191" t="s">
        <v>22</v>
      </c>
      <c r="T2191">
        <v>2</v>
      </c>
      <c r="U2191">
        <v>0</v>
      </c>
    </row>
    <row r="2192" spans="1:21" x14ac:dyDescent="0.25">
      <c r="A2192" t="str">
        <f>"10862440"</f>
        <v>10862440</v>
      </c>
      <c r="B2192" t="s">
        <v>15</v>
      </c>
      <c r="C2192" s="1">
        <v>44173</v>
      </c>
      <c r="D2192" s="2">
        <f>YEAR(C2192)</f>
        <v>2020</v>
      </c>
      <c r="E2192">
        <v>145000</v>
      </c>
      <c r="F2192" t="s">
        <v>85</v>
      </c>
      <c r="G2192">
        <v>1965</v>
      </c>
      <c r="H2192">
        <v>234</v>
      </c>
      <c r="I2192" t="s">
        <v>476</v>
      </c>
      <c r="J2192" t="str">
        <f>"2"</f>
        <v>2</v>
      </c>
      <c r="K2192">
        <v>60002</v>
      </c>
      <c r="L2192">
        <v>953</v>
      </c>
      <c r="M2192">
        <v>5</v>
      </c>
      <c r="N2192">
        <v>1</v>
      </c>
      <c r="O2192">
        <v>0</v>
      </c>
      <c r="P2192" t="s">
        <v>18</v>
      </c>
      <c r="Q2192">
        <v>2</v>
      </c>
      <c r="R2192">
        <v>0</v>
      </c>
      <c r="S2192" t="s">
        <v>22</v>
      </c>
      <c r="T2192">
        <v>2</v>
      </c>
      <c r="U2192">
        <v>0</v>
      </c>
    </row>
    <row r="2193" spans="1:21" x14ac:dyDescent="0.25">
      <c r="A2193" t="str">
        <f>"10157485"</f>
        <v>10157485</v>
      </c>
      <c r="B2193" t="s">
        <v>15</v>
      </c>
      <c r="C2193" s="1">
        <v>43496</v>
      </c>
      <c r="D2193" s="2">
        <f>YEAR(C2193)</f>
        <v>2019</v>
      </c>
      <c r="E2193">
        <v>114000</v>
      </c>
      <c r="F2193" t="s">
        <v>85</v>
      </c>
      <c r="G2193">
        <v>1940</v>
      </c>
      <c r="H2193">
        <v>26681</v>
      </c>
      <c r="I2193" t="s">
        <v>172</v>
      </c>
      <c r="J2193" t="str">
        <f>"2"</f>
        <v>2</v>
      </c>
      <c r="K2193">
        <v>60002</v>
      </c>
      <c r="L2193">
        <v>960</v>
      </c>
      <c r="M2193">
        <v>5</v>
      </c>
      <c r="N2193">
        <v>1</v>
      </c>
      <c r="O2193">
        <v>0</v>
      </c>
      <c r="P2193" t="s">
        <v>18</v>
      </c>
      <c r="Q2193">
        <v>2</v>
      </c>
      <c r="R2193">
        <v>0</v>
      </c>
      <c r="S2193" t="s">
        <v>21</v>
      </c>
      <c r="T2193">
        <v>1</v>
      </c>
      <c r="U2193">
        <v>0</v>
      </c>
    </row>
    <row r="2194" spans="1:21" x14ac:dyDescent="0.25">
      <c r="A2194" t="str">
        <f>"10444362"</f>
        <v>10444362</v>
      </c>
      <c r="B2194" t="s">
        <v>15</v>
      </c>
      <c r="C2194" s="1">
        <v>43699</v>
      </c>
      <c r="D2194" s="2">
        <f>YEAR(C2194)</f>
        <v>2019</v>
      </c>
      <c r="E2194">
        <v>119000</v>
      </c>
      <c r="F2194" t="s">
        <v>85</v>
      </c>
      <c r="G2194">
        <v>1950</v>
      </c>
      <c r="H2194">
        <v>38572</v>
      </c>
      <c r="I2194" t="s">
        <v>593</v>
      </c>
      <c r="J2194" t="str">
        <f>"2"</f>
        <v>2</v>
      </c>
      <c r="K2194">
        <v>60002</v>
      </c>
      <c r="L2194">
        <v>961</v>
      </c>
      <c r="M2194">
        <v>4</v>
      </c>
      <c r="N2194">
        <v>1</v>
      </c>
      <c r="O2194">
        <v>0</v>
      </c>
      <c r="P2194" t="s">
        <v>18</v>
      </c>
      <c r="Q2194">
        <v>2</v>
      </c>
      <c r="R2194">
        <v>0</v>
      </c>
      <c r="S2194" t="s">
        <v>22</v>
      </c>
      <c r="T2194">
        <v>2</v>
      </c>
      <c r="U2194">
        <v>0</v>
      </c>
    </row>
    <row r="2195" spans="1:21" x14ac:dyDescent="0.25">
      <c r="A2195" t="str">
        <f>"10682914"</f>
        <v>10682914</v>
      </c>
      <c r="B2195" t="s">
        <v>15</v>
      </c>
      <c r="C2195" s="1">
        <v>43970</v>
      </c>
      <c r="D2195" s="2">
        <f>YEAR(C2195)</f>
        <v>2020</v>
      </c>
      <c r="E2195">
        <v>139844</v>
      </c>
      <c r="F2195" t="s">
        <v>85</v>
      </c>
      <c r="G2195">
        <v>1960</v>
      </c>
      <c r="H2195">
        <v>42202</v>
      </c>
      <c r="I2195" t="s">
        <v>594</v>
      </c>
      <c r="J2195" t="str">
        <f>"2"</f>
        <v>2</v>
      </c>
      <c r="K2195">
        <v>60002</v>
      </c>
      <c r="L2195">
        <v>961</v>
      </c>
      <c r="M2195">
        <v>5</v>
      </c>
      <c r="N2195">
        <v>1</v>
      </c>
      <c r="O2195">
        <v>0</v>
      </c>
      <c r="P2195" t="s">
        <v>18</v>
      </c>
      <c r="Q2195">
        <v>3</v>
      </c>
      <c r="R2195">
        <v>0</v>
      </c>
      <c r="S2195" t="s">
        <v>22</v>
      </c>
      <c r="T2195">
        <v>2</v>
      </c>
      <c r="U2195">
        <v>0</v>
      </c>
    </row>
    <row r="2196" spans="1:21" x14ac:dyDescent="0.25">
      <c r="A2196" t="str">
        <f>"10837346"</f>
        <v>10837346</v>
      </c>
      <c r="B2196" t="s">
        <v>15</v>
      </c>
      <c r="C2196" s="1">
        <v>44109</v>
      </c>
      <c r="D2196" s="2">
        <f>YEAR(C2196)</f>
        <v>2020</v>
      </c>
      <c r="E2196">
        <v>145000</v>
      </c>
      <c r="F2196" t="s">
        <v>85</v>
      </c>
      <c r="G2196">
        <v>1974</v>
      </c>
      <c r="H2196">
        <v>349</v>
      </c>
      <c r="I2196" t="s">
        <v>595</v>
      </c>
      <c r="J2196" t="str">
        <f>"2"</f>
        <v>2</v>
      </c>
      <c r="K2196">
        <v>60002</v>
      </c>
      <c r="L2196">
        <v>975</v>
      </c>
      <c r="M2196">
        <v>5</v>
      </c>
      <c r="N2196">
        <v>1</v>
      </c>
      <c r="O2196">
        <v>0</v>
      </c>
      <c r="P2196" t="s">
        <v>18</v>
      </c>
      <c r="Q2196">
        <v>3</v>
      </c>
      <c r="R2196">
        <v>0</v>
      </c>
      <c r="S2196" t="s">
        <v>22</v>
      </c>
      <c r="T2196">
        <v>2</v>
      </c>
      <c r="U2196">
        <v>0</v>
      </c>
    </row>
    <row r="2197" spans="1:21" x14ac:dyDescent="0.25">
      <c r="A2197" t="str">
        <f>"10406932"</f>
        <v>10406932</v>
      </c>
      <c r="B2197" t="s">
        <v>15</v>
      </c>
      <c r="C2197" s="1">
        <v>43673</v>
      </c>
      <c r="D2197" s="2">
        <f>YEAR(C2197)</f>
        <v>2019</v>
      </c>
      <c r="E2197">
        <v>135000</v>
      </c>
      <c r="F2197" t="s">
        <v>85</v>
      </c>
      <c r="G2197">
        <v>1970</v>
      </c>
      <c r="H2197">
        <v>328</v>
      </c>
      <c r="I2197" t="s">
        <v>572</v>
      </c>
      <c r="J2197" t="str">
        <f>"2"</f>
        <v>2</v>
      </c>
      <c r="K2197">
        <v>60002</v>
      </c>
      <c r="L2197">
        <v>975</v>
      </c>
      <c r="M2197">
        <v>5</v>
      </c>
      <c r="N2197">
        <v>1</v>
      </c>
      <c r="O2197">
        <v>0</v>
      </c>
      <c r="P2197" t="s">
        <v>18</v>
      </c>
      <c r="Q2197">
        <v>3</v>
      </c>
      <c r="R2197">
        <v>0</v>
      </c>
      <c r="S2197" t="s">
        <v>22</v>
      </c>
      <c r="T2197">
        <v>2.5</v>
      </c>
      <c r="U2197">
        <v>0</v>
      </c>
    </row>
    <row r="2198" spans="1:21" x14ac:dyDescent="0.25">
      <c r="A2198" t="str">
        <f>"10431945"</f>
        <v>10431945</v>
      </c>
      <c r="B2198" t="s">
        <v>15</v>
      </c>
      <c r="C2198" s="1">
        <v>43676</v>
      </c>
      <c r="D2198" s="2">
        <f>YEAR(C2198)</f>
        <v>2019</v>
      </c>
      <c r="E2198">
        <v>135000</v>
      </c>
      <c r="F2198" t="s">
        <v>85</v>
      </c>
      <c r="G2198">
        <v>1951</v>
      </c>
      <c r="H2198">
        <v>40831</v>
      </c>
      <c r="I2198" t="s">
        <v>596</v>
      </c>
      <c r="J2198" t="str">
        <f>"2"</f>
        <v>2</v>
      </c>
      <c r="K2198">
        <v>60002</v>
      </c>
      <c r="L2198">
        <v>976</v>
      </c>
      <c r="M2198">
        <v>6</v>
      </c>
      <c r="N2198">
        <v>1</v>
      </c>
      <c r="O2198">
        <v>0</v>
      </c>
      <c r="P2198" t="s">
        <v>18</v>
      </c>
      <c r="Q2198">
        <v>2</v>
      </c>
      <c r="R2198">
        <v>0</v>
      </c>
      <c r="S2198" t="s">
        <v>22</v>
      </c>
      <c r="T2198">
        <v>2</v>
      </c>
      <c r="U2198">
        <v>0</v>
      </c>
    </row>
    <row r="2199" spans="1:21" x14ac:dyDescent="0.25">
      <c r="A2199" t="str">
        <f>"10646274"</f>
        <v>10646274</v>
      </c>
      <c r="B2199" t="s">
        <v>15</v>
      </c>
      <c r="C2199" s="1">
        <v>43951</v>
      </c>
      <c r="D2199" s="2">
        <f>YEAR(C2199)</f>
        <v>2020</v>
      </c>
      <c r="E2199">
        <v>128000</v>
      </c>
      <c r="F2199" t="s">
        <v>85</v>
      </c>
      <c r="G2199" t="s">
        <v>560</v>
      </c>
      <c r="H2199">
        <v>43363</v>
      </c>
      <c r="I2199" t="s">
        <v>592</v>
      </c>
      <c r="J2199" t="str">
        <f>"2"</f>
        <v>2</v>
      </c>
      <c r="K2199">
        <v>60002</v>
      </c>
      <c r="L2199">
        <v>1000</v>
      </c>
      <c r="M2199">
        <v>5</v>
      </c>
      <c r="N2199">
        <v>1</v>
      </c>
      <c r="O2199">
        <v>0</v>
      </c>
      <c r="P2199" t="s">
        <v>18</v>
      </c>
      <c r="Q2199">
        <v>2</v>
      </c>
      <c r="R2199">
        <v>0</v>
      </c>
      <c r="S2199" t="s">
        <v>22</v>
      </c>
      <c r="T2199">
        <v>2</v>
      </c>
      <c r="U2199">
        <v>0</v>
      </c>
    </row>
    <row r="2200" spans="1:21" x14ac:dyDescent="0.25">
      <c r="A2200" t="str">
        <f>"10840774"</f>
        <v>10840774</v>
      </c>
      <c r="B2200" t="s">
        <v>15</v>
      </c>
      <c r="C2200" s="1">
        <v>44117</v>
      </c>
      <c r="D2200" s="2">
        <f>YEAR(C2200)</f>
        <v>2020</v>
      </c>
      <c r="E2200">
        <v>168000</v>
      </c>
      <c r="F2200" t="s">
        <v>85</v>
      </c>
      <c r="G2200">
        <v>1963</v>
      </c>
      <c r="H2200">
        <v>23541</v>
      </c>
      <c r="I2200" t="s">
        <v>597</v>
      </c>
      <c r="J2200" t="str">
        <f>"2"</f>
        <v>2</v>
      </c>
      <c r="K2200">
        <v>60002</v>
      </c>
      <c r="L2200">
        <v>1000</v>
      </c>
      <c r="M2200">
        <v>5</v>
      </c>
      <c r="N2200">
        <v>1</v>
      </c>
      <c r="O2200">
        <v>0</v>
      </c>
      <c r="P2200" t="s">
        <v>18</v>
      </c>
      <c r="Q2200">
        <v>2</v>
      </c>
      <c r="R2200">
        <v>0</v>
      </c>
      <c r="S2200" t="s">
        <v>22</v>
      </c>
      <c r="T2200">
        <v>4</v>
      </c>
      <c r="U2200">
        <v>0</v>
      </c>
    </row>
    <row r="2201" spans="1:21" x14ac:dyDescent="0.25">
      <c r="A2201" t="str">
        <f>"10139313"</f>
        <v>10139313</v>
      </c>
      <c r="B2201" t="s">
        <v>15</v>
      </c>
      <c r="C2201" s="1">
        <v>43525</v>
      </c>
      <c r="D2201" s="2">
        <f>YEAR(C2201)</f>
        <v>2019</v>
      </c>
      <c r="E2201">
        <v>143000</v>
      </c>
      <c r="F2201" t="s">
        <v>85</v>
      </c>
      <c r="G2201">
        <v>1951</v>
      </c>
      <c r="H2201">
        <v>22117</v>
      </c>
      <c r="I2201" t="s">
        <v>538</v>
      </c>
      <c r="J2201" t="str">
        <f>"2"</f>
        <v>2</v>
      </c>
      <c r="K2201">
        <v>60002</v>
      </c>
      <c r="L2201">
        <v>1010</v>
      </c>
      <c r="M2201">
        <v>6</v>
      </c>
      <c r="N2201">
        <v>1</v>
      </c>
      <c r="O2201">
        <v>0</v>
      </c>
      <c r="P2201" t="s">
        <v>18</v>
      </c>
      <c r="Q2201">
        <v>2</v>
      </c>
      <c r="R2201">
        <v>0</v>
      </c>
      <c r="S2201" t="s">
        <v>22</v>
      </c>
      <c r="T2201">
        <v>3</v>
      </c>
      <c r="U2201">
        <v>0</v>
      </c>
    </row>
    <row r="2202" spans="1:21" x14ac:dyDescent="0.25">
      <c r="A2202" t="str">
        <f>"10792368"</f>
        <v>10792368</v>
      </c>
      <c r="B2202" t="s">
        <v>15</v>
      </c>
      <c r="C2202" s="1">
        <v>44155</v>
      </c>
      <c r="D2202" s="2">
        <f>YEAR(C2202)</f>
        <v>2020</v>
      </c>
      <c r="E2202">
        <v>130000</v>
      </c>
      <c r="F2202" t="s">
        <v>85</v>
      </c>
      <c r="G2202">
        <v>1955</v>
      </c>
      <c r="H2202">
        <v>42230</v>
      </c>
      <c r="I2202" t="s">
        <v>570</v>
      </c>
      <c r="J2202" t="str">
        <f>"2"</f>
        <v>2</v>
      </c>
      <c r="K2202">
        <v>60002</v>
      </c>
      <c r="L2202">
        <v>1024</v>
      </c>
      <c r="M2202">
        <v>5</v>
      </c>
      <c r="N2202">
        <v>2</v>
      </c>
      <c r="O2202">
        <v>0</v>
      </c>
      <c r="P2202" t="s">
        <v>18</v>
      </c>
      <c r="Q2202">
        <v>3</v>
      </c>
      <c r="R2202">
        <v>0</v>
      </c>
      <c r="S2202" t="s">
        <v>22</v>
      </c>
      <c r="T2202">
        <v>5</v>
      </c>
      <c r="U2202">
        <v>0</v>
      </c>
    </row>
    <row r="2203" spans="1:21" x14ac:dyDescent="0.25">
      <c r="A2203" t="str">
        <f>"10392506"</f>
        <v>10392506</v>
      </c>
      <c r="B2203" t="s">
        <v>15</v>
      </c>
      <c r="C2203" s="1">
        <v>43648</v>
      </c>
      <c r="D2203" s="2">
        <f>YEAR(C2203)</f>
        <v>2019</v>
      </c>
      <c r="E2203">
        <v>192000</v>
      </c>
      <c r="F2203" t="s">
        <v>85</v>
      </c>
      <c r="G2203">
        <v>1950</v>
      </c>
      <c r="H2203">
        <v>43220</v>
      </c>
      <c r="I2203" t="s">
        <v>603</v>
      </c>
      <c r="J2203" t="str">
        <f>"2"</f>
        <v>2</v>
      </c>
      <c r="K2203">
        <v>60002</v>
      </c>
      <c r="L2203">
        <v>1040</v>
      </c>
      <c r="M2203">
        <v>5</v>
      </c>
      <c r="N2203">
        <v>2</v>
      </c>
      <c r="O2203">
        <v>0</v>
      </c>
      <c r="P2203" t="s">
        <v>18</v>
      </c>
      <c r="Q2203">
        <v>3</v>
      </c>
      <c r="R2203">
        <v>0</v>
      </c>
      <c r="S2203" t="s">
        <v>22</v>
      </c>
      <c r="T2203">
        <v>3</v>
      </c>
      <c r="U2203">
        <v>0</v>
      </c>
    </row>
    <row r="2204" spans="1:21" x14ac:dyDescent="0.25">
      <c r="A2204" t="str">
        <f>"10780769"</f>
        <v>10780769</v>
      </c>
      <c r="B2204" t="s">
        <v>15</v>
      </c>
      <c r="C2204" s="1">
        <v>44071</v>
      </c>
      <c r="D2204" s="2">
        <f>YEAR(C2204)</f>
        <v>2020</v>
      </c>
      <c r="E2204">
        <v>167000</v>
      </c>
      <c r="F2204" t="s">
        <v>85</v>
      </c>
      <c r="G2204">
        <v>1972</v>
      </c>
      <c r="H2204">
        <v>207</v>
      </c>
      <c r="I2204" t="s">
        <v>604</v>
      </c>
      <c r="J2204" t="str">
        <f>"2"</f>
        <v>2</v>
      </c>
      <c r="K2204">
        <v>60002</v>
      </c>
      <c r="L2204">
        <v>1040</v>
      </c>
      <c r="M2204">
        <v>8</v>
      </c>
      <c r="N2204">
        <v>1</v>
      </c>
      <c r="O2204">
        <v>1</v>
      </c>
      <c r="P2204" t="s">
        <v>79</v>
      </c>
      <c r="Q2204">
        <v>4</v>
      </c>
      <c r="R2204">
        <v>0</v>
      </c>
      <c r="S2204" t="s">
        <v>22</v>
      </c>
      <c r="T2204">
        <v>2</v>
      </c>
      <c r="U2204">
        <v>0</v>
      </c>
    </row>
    <row r="2205" spans="1:21" x14ac:dyDescent="0.25">
      <c r="A2205" t="str">
        <f>"10469932"</f>
        <v>10469932</v>
      </c>
      <c r="B2205" t="s">
        <v>15</v>
      </c>
      <c r="C2205" s="1">
        <v>43735</v>
      </c>
      <c r="D2205" s="2">
        <f>YEAR(C2205)</f>
        <v>2019</v>
      </c>
      <c r="E2205">
        <v>117000</v>
      </c>
      <c r="F2205" t="s">
        <v>85</v>
      </c>
      <c r="G2205">
        <v>1960</v>
      </c>
      <c r="H2205">
        <v>580</v>
      </c>
      <c r="I2205" t="s">
        <v>605</v>
      </c>
      <c r="J2205" t="str">
        <f>"2"</f>
        <v>2</v>
      </c>
      <c r="K2205">
        <v>60002</v>
      </c>
      <c r="L2205">
        <v>1047</v>
      </c>
      <c r="M2205">
        <v>6</v>
      </c>
      <c r="N2205">
        <v>1</v>
      </c>
      <c r="O2205">
        <v>0</v>
      </c>
      <c r="P2205" t="s">
        <v>18</v>
      </c>
      <c r="Q2205">
        <v>2</v>
      </c>
      <c r="R2205">
        <v>0</v>
      </c>
      <c r="S2205" t="s">
        <v>22</v>
      </c>
      <c r="T2205">
        <v>2.5</v>
      </c>
      <c r="U2205">
        <v>0</v>
      </c>
    </row>
    <row r="2206" spans="1:21" x14ac:dyDescent="0.25">
      <c r="A2206" t="str">
        <f>"10537733"</f>
        <v>10537733</v>
      </c>
      <c r="B2206" t="s">
        <v>15</v>
      </c>
      <c r="C2206" s="1">
        <v>44148</v>
      </c>
      <c r="D2206" s="2">
        <f>YEAR(C2206)</f>
        <v>2020</v>
      </c>
      <c r="E2206">
        <v>160000</v>
      </c>
      <c r="F2206" t="s">
        <v>85</v>
      </c>
      <c r="G2206">
        <v>1960</v>
      </c>
      <c r="H2206">
        <v>487</v>
      </c>
      <c r="I2206" t="s">
        <v>290</v>
      </c>
      <c r="J2206" t="str">
        <f>"2"</f>
        <v>2</v>
      </c>
      <c r="K2206">
        <v>60002</v>
      </c>
      <c r="L2206">
        <v>1050</v>
      </c>
      <c r="M2206">
        <v>5</v>
      </c>
      <c r="N2206">
        <v>2</v>
      </c>
      <c r="O2206">
        <v>0</v>
      </c>
      <c r="P2206" t="s">
        <v>79</v>
      </c>
      <c r="Q2206">
        <v>3</v>
      </c>
      <c r="R2206">
        <v>1</v>
      </c>
      <c r="S2206" t="s">
        <v>22</v>
      </c>
      <c r="T2206">
        <v>2</v>
      </c>
      <c r="U2206">
        <v>0</v>
      </c>
    </row>
    <row r="2207" spans="1:21" x14ac:dyDescent="0.25">
      <c r="A2207" t="str">
        <f>"10359167"</f>
        <v>10359167</v>
      </c>
      <c r="B2207" t="s">
        <v>15</v>
      </c>
      <c r="C2207" s="1">
        <v>43620</v>
      </c>
      <c r="D2207" s="2">
        <f>YEAR(C2207)</f>
        <v>2019</v>
      </c>
      <c r="E2207">
        <v>174900</v>
      </c>
      <c r="F2207" t="s">
        <v>85</v>
      </c>
      <c r="G2207">
        <v>1960</v>
      </c>
      <c r="H2207">
        <v>42420</v>
      </c>
      <c r="I2207" t="s">
        <v>606</v>
      </c>
      <c r="J2207" t="str">
        <f>"2"</f>
        <v>2</v>
      </c>
      <c r="K2207">
        <v>60002</v>
      </c>
      <c r="L2207">
        <v>1064</v>
      </c>
      <c r="M2207">
        <v>5</v>
      </c>
      <c r="N2207">
        <v>1</v>
      </c>
      <c r="O2207">
        <v>0</v>
      </c>
      <c r="P2207" t="s">
        <v>18</v>
      </c>
      <c r="Q2207">
        <v>2</v>
      </c>
      <c r="R2207">
        <v>0</v>
      </c>
      <c r="S2207" t="s">
        <v>22</v>
      </c>
      <c r="T2207">
        <v>1.5</v>
      </c>
      <c r="U2207">
        <v>0</v>
      </c>
    </row>
    <row r="2208" spans="1:21" x14ac:dyDescent="0.25">
      <c r="A2208" t="str">
        <f>"10797690"</f>
        <v>10797690</v>
      </c>
      <c r="B2208" t="s">
        <v>15</v>
      </c>
      <c r="C2208" s="1">
        <v>44074</v>
      </c>
      <c r="D2208" s="2">
        <f>YEAR(C2208)</f>
        <v>2020</v>
      </c>
      <c r="E2208">
        <v>169900</v>
      </c>
      <c r="F2208" t="s">
        <v>85</v>
      </c>
      <c r="G2208" t="s">
        <v>560</v>
      </c>
      <c r="H2208">
        <v>621</v>
      </c>
      <c r="I2208" t="s">
        <v>570</v>
      </c>
      <c r="J2208" t="str">
        <f>"2"</f>
        <v>2</v>
      </c>
      <c r="K2208">
        <v>60002</v>
      </c>
      <c r="L2208">
        <v>1064</v>
      </c>
      <c r="M2208">
        <v>6</v>
      </c>
      <c r="N2208">
        <v>1</v>
      </c>
      <c r="O2208">
        <v>0</v>
      </c>
      <c r="P2208" t="s">
        <v>18</v>
      </c>
      <c r="Q2208">
        <v>3</v>
      </c>
      <c r="R2208">
        <v>0</v>
      </c>
      <c r="S2208" t="s">
        <v>22</v>
      </c>
      <c r="T2208">
        <v>2.5</v>
      </c>
      <c r="U2208">
        <v>0</v>
      </c>
    </row>
    <row r="2209" spans="1:21" x14ac:dyDescent="0.25">
      <c r="A2209" t="str">
        <f>"10920862"</f>
        <v>10920862</v>
      </c>
      <c r="B2209" t="s">
        <v>15</v>
      </c>
      <c r="C2209" s="1">
        <v>44179</v>
      </c>
      <c r="D2209" s="2">
        <f>YEAR(C2209)</f>
        <v>2020</v>
      </c>
      <c r="E2209">
        <v>145000</v>
      </c>
      <c r="F2209" t="s">
        <v>85</v>
      </c>
      <c r="G2209" t="s">
        <v>560</v>
      </c>
      <c r="H2209">
        <v>627</v>
      </c>
      <c r="I2209" t="s">
        <v>38</v>
      </c>
      <c r="J2209" t="str">
        <f>"2"</f>
        <v>2</v>
      </c>
      <c r="K2209">
        <v>60002</v>
      </c>
      <c r="L2209">
        <v>1064</v>
      </c>
      <c r="M2209">
        <v>4</v>
      </c>
      <c r="N2209">
        <v>1</v>
      </c>
      <c r="O2209">
        <v>0</v>
      </c>
      <c r="P2209" t="s">
        <v>79</v>
      </c>
      <c r="Q2209">
        <v>2</v>
      </c>
      <c r="R2209">
        <v>0</v>
      </c>
      <c r="S2209" t="s">
        <v>22</v>
      </c>
      <c r="T2209">
        <v>2</v>
      </c>
      <c r="U2209">
        <v>0</v>
      </c>
    </row>
    <row r="2210" spans="1:21" x14ac:dyDescent="0.25">
      <c r="A2210" t="s">
        <v>607</v>
      </c>
      <c r="B2210" t="s">
        <v>15</v>
      </c>
      <c r="C2210" s="1">
        <v>43921</v>
      </c>
      <c r="D2210" s="2">
        <f>YEAR(C2210)</f>
        <v>2020</v>
      </c>
      <c r="E2210">
        <v>95000</v>
      </c>
      <c r="F2210" t="s">
        <v>81</v>
      </c>
      <c r="G2210">
        <v>2007</v>
      </c>
      <c r="H2210">
        <v>361</v>
      </c>
      <c r="I2210" t="s">
        <v>608</v>
      </c>
      <c r="J2210" t="s">
        <v>600</v>
      </c>
      <c r="K2210">
        <v>60002</v>
      </c>
      <c r="L2210">
        <v>1066</v>
      </c>
      <c r="M2210">
        <v>4</v>
      </c>
      <c r="N2210">
        <v>1</v>
      </c>
      <c r="O2210">
        <v>1</v>
      </c>
      <c r="P2210" t="s">
        <v>18</v>
      </c>
      <c r="Q2210">
        <v>2</v>
      </c>
      <c r="R2210">
        <v>0</v>
      </c>
      <c r="S2210" t="s">
        <v>21</v>
      </c>
      <c r="T2210">
        <v>1</v>
      </c>
      <c r="U2210">
        <v>0</v>
      </c>
    </row>
    <row r="2211" spans="1:21" x14ac:dyDescent="0.25">
      <c r="A2211" t="str">
        <f>"10661418"</f>
        <v>10661418</v>
      </c>
      <c r="B2211" t="s">
        <v>15</v>
      </c>
      <c r="C2211" s="1">
        <v>44029</v>
      </c>
      <c r="D2211" s="2">
        <f>YEAR(C2211)</f>
        <v>2020</v>
      </c>
      <c r="E2211">
        <v>160125</v>
      </c>
      <c r="F2211" t="s">
        <v>85</v>
      </c>
      <c r="G2211">
        <v>1988</v>
      </c>
      <c r="H2211">
        <v>25283</v>
      </c>
      <c r="I2211" t="s">
        <v>476</v>
      </c>
      <c r="J2211" t="str">
        <f>"2"</f>
        <v>2</v>
      </c>
      <c r="K2211">
        <v>60002</v>
      </c>
      <c r="L2211">
        <v>1071</v>
      </c>
      <c r="M2211">
        <v>7</v>
      </c>
      <c r="N2211">
        <v>2</v>
      </c>
      <c r="O2211">
        <v>0</v>
      </c>
      <c r="P2211" t="s">
        <v>79</v>
      </c>
      <c r="Q2211">
        <v>3</v>
      </c>
      <c r="R2211">
        <v>0</v>
      </c>
      <c r="S2211" t="s">
        <v>21</v>
      </c>
      <c r="T2211">
        <v>2</v>
      </c>
      <c r="U2211">
        <v>0</v>
      </c>
    </row>
    <row r="2212" spans="1:21" x14ac:dyDescent="0.25">
      <c r="A2212" t="str">
        <f>"10450763"</f>
        <v>10450763</v>
      </c>
      <c r="B2212" t="s">
        <v>15</v>
      </c>
      <c r="C2212" s="1">
        <v>43754</v>
      </c>
      <c r="D2212" s="2">
        <f>YEAR(C2212)</f>
        <v>2019</v>
      </c>
      <c r="E2212">
        <v>117000</v>
      </c>
      <c r="F2212" t="s">
        <v>85</v>
      </c>
      <c r="G2212">
        <v>1960</v>
      </c>
      <c r="H2212">
        <v>94</v>
      </c>
      <c r="I2212" t="s">
        <v>158</v>
      </c>
      <c r="J2212" t="str">
        <f>"2"</f>
        <v>2</v>
      </c>
      <c r="K2212">
        <v>60002</v>
      </c>
      <c r="L2212">
        <v>1072</v>
      </c>
      <c r="M2212">
        <v>6</v>
      </c>
      <c r="N2212">
        <v>1</v>
      </c>
      <c r="O2212">
        <v>0</v>
      </c>
      <c r="P2212" t="s">
        <v>18</v>
      </c>
      <c r="Q2212">
        <v>2</v>
      </c>
      <c r="R2212">
        <v>0</v>
      </c>
      <c r="S2212" t="s">
        <v>21</v>
      </c>
      <c r="T2212">
        <v>1</v>
      </c>
      <c r="U2212">
        <v>0</v>
      </c>
    </row>
    <row r="2213" spans="1:21" x14ac:dyDescent="0.25">
      <c r="A2213" t="str">
        <f>"10361321"</f>
        <v>10361321</v>
      </c>
      <c r="B2213" t="s">
        <v>15</v>
      </c>
      <c r="C2213" s="1">
        <v>43601</v>
      </c>
      <c r="D2213" s="2">
        <f>YEAR(C2213)</f>
        <v>2019</v>
      </c>
      <c r="E2213">
        <v>135000</v>
      </c>
      <c r="F2213" t="s">
        <v>85</v>
      </c>
      <c r="G2213">
        <v>1960</v>
      </c>
      <c r="H2213">
        <v>292</v>
      </c>
      <c r="I2213" t="s">
        <v>476</v>
      </c>
      <c r="J2213" t="str">
        <f>"2"</f>
        <v>2</v>
      </c>
      <c r="K2213">
        <v>60002</v>
      </c>
      <c r="L2213">
        <v>1075</v>
      </c>
      <c r="M2213">
        <v>5</v>
      </c>
      <c r="N2213">
        <v>1</v>
      </c>
      <c r="O2213">
        <v>0</v>
      </c>
      <c r="P2213" t="s">
        <v>18</v>
      </c>
      <c r="Q2213">
        <v>2</v>
      </c>
      <c r="R2213">
        <v>0</v>
      </c>
      <c r="S2213" t="s">
        <v>22</v>
      </c>
      <c r="T2213">
        <v>1</v>
      </c>
      <c r="U2213">
        <v>0</v>
      </c>
    </row>
    <row r="2214" spans="1:21" x14ac:dyDescent="0.25">
      <c r="A2214" t="str">
        <f>"10834897"</f>
        <v>10834897</v>
      </c>
      <c r="B2214" t="s">
        <v>15</v>
      </c>
      <c r="C2214" s="1">
        <v>44012</v>
      </c>
      <c r="D2214" s="2">
        <f>YEAR(C2214)</f>
        <v>2020</v>
      </c>
      <c r="E2214">
        <v>161900</v>
      </c>
      <c r="F2214" t="s">
        <v>85</v>
      </c>
      <c r="G2214">
        <v>1985</v>
      </c>
      <c r="H2214">
        <v>1324</v>
      </c>
      <c r="I2214" t="s">
        <v>613</v>
      </c>
      <c r="J2214" t="str">
        <f>"2"</f>
        <v>2</v>
      </c>
      <c r="K2214">
        <v>63104</v>
      </c>
      <c r="L2214">
        <v>1078</v>
      </c>
      <c r="M2214">
        <v>7</v>
      </c>
      <c r="N2214">
        <v>2</v>
      </c>
      <c r="O2214">
        <v>0</v>
      </c>
      <c r="P2214" t="s">
        <v>79</v>
      </c>
      <c r="Q2214">
        <v>2</v>
      </c>
      <c r="R2214">
        <v>0</v>
      </c>
      <c r="S2214" t="s">
        <v>19</v>
      </c>
      <c r="T2214">
        <v>0</v>
      </c>
      <c r="U2214">
        <v>0</v>
      </c>
    </row>
    <row r="2215" spans="1:21" x14ac:dyDescent="0.25">
      <c r="A2215" t="str">
        <f>"10588967"</f>
        <v>10588967</v>
      </c>
      <c r="B2215" t="s">
        <v>15</v>
      </c>
      <c r="C2215" s="1">
        <v>43903</v>
      </c>
      <c r="D2215" s="2">
        <f>YEAR(C2215)</f>
        <v>2020</v>
      </c>
      <c r="E2215">
        <v>168000</v>
      </c>
      <c r="F2215" t="s">
        <v>85</v>
      </c>
      <c r="G2215">
        <v>1955</v>
      </c>
      <c r="H2215">
        <v>39766</v>
      </c>
      <c r="I2215" t="s">
        <v>568</v>
      </c>
      <c r="J2215" t="str">
        <f>"2"</f>
        <v>2</v>
      </c>
      <c r="K2215">
        <v>60002</v>
      </c>
      <c r="L2215">
        <v>1080</v>
      </c>
      <c r="M2215">
        <v>5</v>
      </c>
      <c r="N2215">
        <v>1</v>
      </c>
      <c r="O2215">
        <v>0</v>
      </c>
      <c r="P2215" t="s">
        <v>18</v>
      </c>
      <c r="Q2215">
        <v>2</v>
      </c>
      <c r="R2215">
        <v>0</v>
      </c>
      <c r="S2215" t="s">
        <v>21</v>
      </c>
      <c r="T2215">
        <v>1</v>
      </c>
      <c r="U2215">
        <v>0</v>
      </c>
    </row>
    <row r="2216" spans="1:21" x14ac:dyDescent="0.25">
      <c r="A2216" t="str">
        <f>"10442452"</f>
        <v>10442452</v>
      </c>
      <c r="B2216" t="s">
        <v>15</v>
      </c>
      <c r="C2216" s="1">
        <v>43700</v>
      </c>
      <c r="D2216" s="2">
        <f>YEAR(C2216)</f>
        <v>2019</v>
      </c>
      <c r="E2216">
        <v>139900</v>
      </c>
      <c r="F2216" t="s">
        <v>85</v>
      </c>
      <c r="G2216">
        <v>1965</v>
      </c>
      <c r="H2216">
        <v>43100</v>
      </c>
      <c r="I2216" t="s">
        <v>570</v>
      </c>
      <c r="J2216" t="str">
        <f>"2"</f>
        <v>2</v>
      </c>
      <c r="K2216">
        <v>60002</v>
      </c>
      <c r="L2216">
        <v>1080</v>
      </c>
      <c r="M2216">
        <v>4</v>
      </c>
      <c r="N2216">
        <v>1</v>
      </c>
      <c r="O2216">
        <v>0</v>
      </c>
      <c r="P2216" t="s">
        <v>18</v>
      </c>
      <c r="Q2216">
        <v>2</v>
      </c>
      <c r="R2216">
        <v>0</v>
      </c>
      <c r="S2216" t="s">
        <v>22</v>
      </c>
      <c r="T2216">
        <v>2</v>
      </c>
      <c r="U2216">
        <v>0</v>
      </c>
    </row>
    <row r="2217" spans="1:21" x14ac:dyDescent="0.25">
      <c r="A2217" t="str">
        <f>"10732271"</f>
        <v>10732271</v>
      </c>
      <c r="B2217" t="s">
        <v>15</v>
      </c>
      <c r="C2217" s="1">
        <v>44036</v>
      </c>
      <c r="D2217" s="2">
        <f>YEAR(C2217)</f>
        <v>2020</v>
      </c>
      <c r="E2217">
        <v>158000</v>
      </c>
      <c r="F2217" t="s">
        <v>85</v>
      </c>
      <c r="G2217">
        <v>1989</v>
      </c>
      <c r="H2217">
        <v>277</v>
      </c>
      <c r="I2217" t="s">
        <v>572</v>
      </c>
      <c r="J2217" t="str">
        <f>"2"</f>
        <v>2</v>
      </c>
      <c r="K2217">
        <v>60002</v>
      </c>
      <c r="L2217">
        <v>1081</v>
      </c>
      <c r="M2217">
        <v>5</v>
      </c>
      <c r="N2217">
        <v>1</v>
      </c>
      <c r="O2217">
        <v>0</v>
      </c>
      <c r="P2217" t="s">
        <v>18</v>
      </c>
      <c r="Q2217">
        <v>3</v>
      </c>
      <c r="R2217">
        <v>0</v>
      </c>
      <c r="S2217" t="s">
        <v>21</v>
      </c>
      <c r="T2217">
        <v>2</v>
      </c>
      <c r="U2217">
        <v>0</v>
      </c>
    </row>
    <row r="2218" spans="1:21" x14ac:dyDescent="0.25">
      <c r="A2218" t="str">
        <f>"10279016"</f>
        <v>10279016</v>
      </c>
      <c r="B2218" t="s">
        <v>15</v>
      </c>
      <c r="C2218" s="1">
        <v>43560</v>
      </c>
      <c r="D2218" s="2">
        <f>YEAR(C2218)</f>
        <v>2019</v>
      </c>
      <c r="E2218">
        <v>167000</v>
      </c>
      <c r="F2218" t="s">
        <v>85</v>
      </c>
      <c r="G2218">
        <v>1950</v>
      </c>
      <c r="H2218">
        <v>971</v>
      </c>
      <c r="I2218" t="s">
        <v>579</v>
      </c>
      <c r="J2218" t="str">
        <f>"2"</f>
        <v>2</v>
      </c>
      <c r="K2218">
        <v>60002</v>
      </c>
      <c r="L2218">
        <v>1086</v>
      </c>
      <c r="M2218">
        <v>7</v>
      </c>
      <c r="N2218">
        <v>1</v>
      </c>
      <c r="O2218">
        <v>0</v>
      </c>
      <c r="P2218" t="s">
        <v>18</v>
      </c>
      <c r="Q2218">
        <v>3</v>
      </c>
      <c r="R2218">
        <v>0</v>
      </c>
      <c r="S2218" t="s">
        <v>22</v>
      </c>
      <c r="T2218">
        <v>1</v>
      </c>
      <c r="U2218">
        <v>0</v>
      </c>
    </row>
    <row r="2219" spans="1:21" x14ac:dyDescent="0.25">
      <c r="A2219" t="str">
        <f>"10472117"</f>
        <v>10472117</v>
      </c>
      <c r="B2219" t="s">
        <v>15</v>
      </c>
      <c r="C2219" s="1">
        <v>43914</v>
      </c>
      <c r="D2219" s="2">
        <f>YEAR(C2219)</f>
        <v>2020</v>
      </c>
      <c r="E2219">
        <v>144800</v>
      </c>
      <c r="F2219" t="s">
        <v>85</v>
      </c>
      <c r="G2219">
        <v>1965</v>
      </c>
      <c r="H2219">
        <v>235</v>
      </c>
      <c r="I2219" t="s">
        <v>158</v>
      </c>
      <c r="J2219" t="str">
        <f>"2"</f>
        <v>2</v>
      </c>
      <c r="K2219">
        <v>60002</v>
      </c>
      <c r="L2219">
        <v>1092</v>
      </c>
      <c r="M2219">
        <v>6</v>
      </c>
      <c r="N2219">
        <v>1</v>
      </c>
      <c r="O2219">
        <v>0</v>
      </c>
      <c r="P2219" t="s">
        <v>18</v>
      </c>
      <c r="Q2219">
        <v>3</v>
      </c>
      <c r="R2219">
        <v>0</v>
      </c>
      <c r="S2219" t="s">
        <v>22</v>
      </c>
      <c r="T2219">
        <v>2</v>
      </c>
      <c r="U2219">
        <v>0</v>
      </c>
    </row>
    <row r="2220" spans="1:21" x14ac:dyDescent="0.25">
      <c r="A2220" t="str">
        <f>"10560345"</f>
        <v>10560345</v>
      </c>
      <c r="B2220" t="s">
        <v>15</v>
      </c>
      <c r="C2220" s="1">
        <v>43970</v>
      </c>
      <c r="D2220" s="2">
        <f>YEAR(C2220)</f>
        <v>2020</v>
      </c>
      <c r="E2220">
        <v>135000</v>
      </c>
      <c r="F2220" t="s">
        <v>85</v>
      </c>
      <c r="G2220" t="s">
        <v>560</v>
      </c>
      <c r="H2220">
        <v>39477</v>
      </c>
      <c r="I2220" t="s">
        <v>616</v>
      </c>
      <c r="J2220" t="str">
        <f>"2"</f>
        <v>2</v>
      </c>
      <c r="K2220">
        <v>60002</v>
      </c>
      <c r="L2220">
        <v>1100</v>
      </c>
      <c r="M2220">
        <v>6</v>
      </c>
      <c r="N2220">
        <v>1</v>
      </c>
      <c r="O2220">
        <v>0</v>
      </c>
      <c r="P2220" t="s">
        <v>18</v>
      </c>
      <c r="Q2220">
        <v>3</v>
      </c>
      <c r="R2220">
        <v>0</v>
      </c>
      <c r="S2220" t="s">
        <v>22</v>
      </c>
      <c r="T2220">
        <v>2</v>
      </c>
      <c r="U2220">
        <v>0</v>
      </c>
    </row>
    <row r="2221" spans="1:21" x14ac:dyDescent="0.25">
      <c r="A2221" t="str">
        <f>"10917160"</f>
        <v>10917160</v>
      </c>
      <c r="B2221" t="s">
        <v>15</v>
      </c>
      <c r="C2221" s="1">
        <v>44130</v>
      </c>
      <c r="D2221" s="2">
        <f>YEAR(C2221)</f>
        <v>2020</v>
      </c>
      <c r="E2221">
        <v>335000</v>
      </c>
      <c r="F2221" t="s">
        <v>85</v>
      </c>
      <c r="G2221">
        <v>1960</v>
      </c>
      <c r="H2221">
        <v>39451</v>
      </c>
      <c r="I2221" t="s">
        <v>617</v>
      </c>
      <c r="J2221" t="str">
        <f>"2"</f>
        <v>2</v>
      </c>
      <c r="K2221">
        <v>60002</v>
      </c>
      <c r="L2221">
        <v>1100</v>
      </c>
      <c r="M2221">
        <v>5</v>
      </c>
      <c r="N2221">
        <v>1</v>
      </c>
      <c r="O2221">
        <v>0</v>
      </c>
      <c r="P2221" t="s">
        <v>18</v>
      </c>
      <c r="Q2221">
        <v>2</v>
      </c>
      <c r="R2221">
        <v>0</v>
      </c>
      <c r="S2221" t="s">
        <v>22</v>
      </c>
      <c r="T2221">
        <v>2</v>
      </c>
      <c r="U2221">
        <v>0</v>
      </c>
    </row>
    <row r="2222" spans="1:21" x14ac:dyDescent="0.25">
      <c r="A2222" t="str">
        <f>"10350573"</f>
        <v>10350573</v>
      </c>
      <c r="B2222" t="s">
        <v>15</v>
      </c>
      <c r="C2222" s="1">
        <v>43860</v>
      </c>
      <c r="D2222" s="2">
        <f>YEAR(C2222)</f>
        <v>2020</v>
      </c>
      <c r="E2222">
        <v>135000</v>
      </c>
      <c r="F2222" t="s">
        <v>85</v>
      </c>
      <c r="G2222">
        <v>1970</v>
      </c>
      <c r="H2222">
        <v>42121</v>
      </c>
      <c r="I2222" t="s">
        <v>618</v>
      </c>
      <c r="J2222" t="str">
        <f>"2"</f>
        <v>2</v>
      </c>
      <c r="K2222">
        <v>60002</v>
      </c>
      <c r="L2222">
        <v>1102</v>
      </c>
      <c r="M2222">
        <v>6</v>
      </c>
      <c r="N2222">
        <v>2</v>
      </c>
      <c r="O2222">
        <v>0</v>
      </c>
      <c r="P2222" t="s">
        <v>18</v>
      </c>
      <c r="Q2222">
        <v>3</v>
      </c>
      <c r="R2222">
        <v>0</v>
      </c>
      <c r="S2222" t="s">
        <v>22</v>
      </c>
      <c r="T2222">
        <v>2</v>
      </c>
      <c r="U2222">
        <v>0</v>
      </c>
    </row>
    <row r="2223" spans="1:21" x14ac:dyDescent="0.25">
      <c r="A2223" t="str">
        <f>"10884614"</f>
        <v>10884614</v>
      </c>
      <c r="B2223" t="s">
        <v>15</v>
      </c>
      <c r="C2223" s="1">
        <v>44134</v>
      </c>
      <c r="D2223" s="2">
        <f>YEAR(C2223)</f>
        <v>2020</v>
      </c>
      <c r="E2223">
        <v>95000</v>
      </c>
      <c r="F2223" t="s">
        <v>85</v>
      </c>
      <c r="G2223">
        <v>1965</v>
      </c>
      <c r="H2223">
        <v>105</v>
      </c>
      <c r="I2223" t="s">
        <v>158</v>
      </c>
      <c r="J2223" t="str">
        <f>"2"</f>
        <v>2</v>
      </c>
      <c r="K2223">
        <v>60002</v>
      </c>
      <c r="L2223">
        <v>1104</v>
      </c>
      <c r="M2223">
        <v>6</v>
      </c>
      <c r="N2223">
        <v>1</v>
      </c>
      <c r="O2223">
        <v>0</v>
      </c>
      <c r="P2223" t="s">
        <v>18</v>
      </c>
      <c r="Q2223">
        <v>3</v>
      </c>
      <c r="R2223">
        <v>0</v>
      </c>
      <c r="S2223" t="s">
        <v>22</v>
      </c>
      <c r="T2223">
        <v>2.5</v>
      </c>
      <c r="U2223">
        <v>0</v>
      </c>
    </row>
    <row r="2224" spans="1:21" x14ac:dyDescent="0.25">
      <c r="A2224" t="str">
        <f>"10706030"</f>
        <v>10706030</v>
      </c>
      <c r="B2224" t="s">
        <v>15</v>
      </c>
      <c r="C2224" s="1">
        <v>44083</v>
      </c>
      <c r="D2224" s="2">
        <f>YEAR(C2224)</f>
        <v>2020</v>
      </c>
      <c r="E2224">
        <v>145000</v>
      </c>
      <c r="F2224" t="s">
        <v>85</v>
      </c>
      <c r="G2224">
        <v>1955</v>
      </c>
      <c r="H2224">
        <v>26170</v>
      </c>
      <c r="I2224" t="s">
        <v>592</v>
      </c>
      <c r="J2224" t="str">
        <f>"2"</f>
        <v>2</v>
      </c>
      <c r="K2224">
        <v>60002</v>
      </c>
      <c r="L2224">
        <v>1114</v>
      </c>
      <c r="M2224">
        <v>5</v>
      </c>
      <c r="N2224">
        <v>1</v>
      </c>
      <c r="O2224">
        <v>0</v>
      </c>
      <c r="P2224" t="s">
        <v>18</v>
      </c>
      <c r="Q2224">
        <v>3</v>
      </c>
      <c r="R2224">
        <v>0</v>
      </c>
      <c r="S2224" t="s">
        <v>21</v>
      </c>
      <c r="T2224">
        <v>1</v>
      </c>
      <c r="U2224">
        <v>0</v>
      </c>
    </row>
    <row r="2225" spans="1:21" x14ac:dyDescent="0.25">
      <c r="A2225" t="str">
        <f>"10250347"</f>
        <v>10250347</v>
      </c>
      <c r="B2225" t="s">
        <v>15</v>
      </c>
      <c r="C2225" s="1">
        <v>43521</v>
      </c>
      <c r="D2225" s="2">
        <f>YEAR(C2225)</f>
        <v>2019</v>
      </c>
      <c r="E2225">
        <v>168000</v>
      </c>
      <c r="F2225" t="s">
        <v>85</v>
      </c>
      <c r="G2225">
        <v>1989</v>
      </c>
      <c r="H2225">
        <v>26464</v>
      </c>
      <c r="I2225" t="s">
        <v>619</v>
      </c>
      <c r="J2225" t="str">
        <f>"2"</f>
        <v>2</v>
      </c>
      <c r="K2225">
        <v>60002</v>
      </c>
      <c r="L2225">
        <v>1115</v>
      </c>
      <c r="M2225">
        <v>7</v>
      </c>
      <c r="N2225">
        <v>2</v>
      </c>
      <c r="O2225">
        <v>1</v>
      </c>
      <c r="P2225" t="s">
        <v>79</v>
      </c>
      <c r="Q2225">
        <v>3</v>
      </c>
      <c r="R2225">
        <v>0</v>
      </c>
      <c r="S2225" t="s">
        <v>21</v>
      </c>
      <c r="T2225">
        <v>2.5</v>
      </c>
      <c r="U2225">
        <v>0</v>
      </c>
    </row>
    <row r="2226" spans="1:21" x14ac:dyDescent="0.25">
      <c r="A2226" t="str">
        <f>"10436366"</f>
        <v>10436366</v>
      </c>
      <c r="B2226" t="s">
        <v>15</v>
      </c>
      <c r="C2226" s="1">
        <v>43738</v>
      </c>
      <c r="D2226" s="2">
        <f>YEAR(C2226)</f>
        <v>2019</v>
      </c>
      <c r="E2226">
        <v>123000</v>
      </c>
      <c r="F2226" t="s">
        <v>85</v>
      </c>
      <c r="G2226">
        <v>1960</v>
      </c>
      <c r="H2226">
        <v>42521</v>
      </c>
      <c r="I2226" t="s">
        <v>225</v>
      </c>
      <c r="J2226" t="str">
        <f>"2"</f>
        <v>2</v>
      </c>
      <c r="K2226">
        <v>60002</v>
      </c>
      <c r="L2226">
        <v>1130</v>
      </c>
      <c r="M2226">
        <v>6</v>
      </c>
      <c r="N2226">
        <v>1</v>
      </c>
      <c r="O2226">
        <v>0</v>
      </c>
      <c r="P2226" t="s">
        <v>18</v>
      </c>
      <c r="Q2226">
        <v>3</v>
      </c>
      <c r="R2226">
        <v>0</v>
      </c>
      <c r="S2226" t="s">
        <v>22</v>
      </c>
      <c r="T2226">
        <v>2</v>
      </c>
      <c r="U2226">
        <v>0</v>
      </c>
    </row>
    <row r="2227" spans="1:21" x14ac:dyDescent="0.25">
      <c r="A2227" t="str">
        <f>"10623076"</f>
        <v>10623076</v>
      </c>
      <c r="B2227" t="s">
        <v>15</v>
      </c>
      <c r="C2227" s="1">
        <v>43888</v>
      </c>
      <c r="D2227" s="2">
        <f>YEAR(C2227)</f>
        <v>2020</v>
      </c>
      <c r="E2227">
        <v>36050</v>
      </c>
      <c r="F2227" t="s">
        <v>85</v>
      </c>
      <c r="G2227">
        <v>1950</v>
      </c>
      <c r="H2227">
        <v>42360</v>
      </c>
      <c r="I2227" t="s">
        <v>615</v>
      </c>
      <c r="J2227" t="str">
        <f>"2"</f>
        <v>2</v>
      </c>
      <c r="K2227">
        <v>60002</v>
      </c>
      <c r="L2227">
        <v>1136</v>
      </c>
      <c r="M2227">
        <v>4</v>
      </c>
      <c r="N2227">
        <v>1</v>
      </c>
      <c r="O2227">
        <v>0</v>
      </c>
      <c r="P2227" t="s">
        <v>18</v>
      </c>
      <c r="Q2227">
        <v>2</v>
      </c>
      <c r="R2227">
        <v>0</v>
      </c>
      <c r="S2227" t="s">
        <v>19</v>
      </c>
      <c r="T2227">
        <v>0</v>
      </c>
      <c r="U2227">
        <v>0</v>
      </c>
    </row>
    <row r="2228" spans="1:21" x14ac:dyDescent="0.25">
      <c r="A2228" t="s">
        <v>621</v>
      </c>
      <c r="B2228" t="s">
        <v>15</v>
      </c>
      <c r="C2228" s="1">
        <v>43609</v>
      </c>
      <c r="D2228" s="2">
        <f>YEAR(C2228)</f>
        <v>2019</v>
      </c>
      <c r="E2228">
        <v>105000</v>
      </c>
      <c r="F2228" t="s">
        <v>16</v>
      </c>
      <c r="G2228">
        <v>2001</v>
      </c>
      <c r="H2228">
        <v>39752</v>
      </c>
      <c r="I2228" t="s">
        <v>622</v>
      </c>
      <c r="J2228" t="s">
        <v>600</v>
      </c>
      <c r="K2228">
        <v>60002</v>
      </c>
      <c r="L2228">
        <v>1138</v>
      </c>
      <c r="M2228">
        <v>5</v>
      </c>
      <c r="N2228">
        <v>2</v>
      </c>
      <c r="O2228">
        <v>0</v>
      </c>
      <c r="P2228" t="s">
        <v>18</v>
      </c>
      <c r="Q2228">
        <v>2</v>
      </c>
      <c r="R2228">
        <v>0</v>
      </c>
      <c r="S2228" t="s">
        <v>21</v>
      </c>
      <c r="T2228">
        <v>1</v>
      </c>
      <c r="U2228">
        <v>0</v>
      </c>
    </row>
    <row r="2229" spans="1:21" x14ac:dyDescent="0.25">
      <c r="A2229" t="str">
        <f>"10409070"</f>
        <v>10409070</v>
      </c>
      <c r="B2229" t="s">
        <v>15</v>
      </c>
      <c r="C2229" s="1">
        <v>43672</v>
      </c>
      <c r="D2229" s="2">
        <f>YEAR(C2229)</f>
        <v>2019</v>
      </c>
      <c r="E2229">
        <v>200000</v>
      </c>
      <c r="F2229" t="s">
        <v>85</v>
      </c>
      <c r="G2229">
        <v>1960</v>
      </c>
      <c r="H2229">
        <v>23803</v>
      </c>
      <c r="I2229" t="s">
        <v>623</v>
      </c>
      <c r="J2229" t="str">
        <f>"2"</f>
        <v>2</v>
      </c>
      <c r="K2229">
        <v>60002</v>
      </c>
      <c r="L2229">
        <v>1140</v>
      </c>
      <c r="M2229">
        <v>5</v>
      </c>
      <c r="N2229">
        <v>1</v>
      </c>
      <c r="O2229">
        <v>1</v>
      </c>
      <c r="P2229" t="s">
        <v>18</v>
      </c>
      <c r="Q2229">
        <v>2</v>
      </c>
      <c r="R2229">
        <v>0</v>
      </c>
      <c r="S2229" t="s">
        <v>22</v>
      </c>
      <c r="T2229">
        <v>4</v>
      </c>
      <c r="U2229">
        <v>0</v>
      </c>
    </row>
    <row r="2230" spans="1:21" x14ac:dyDescent="0.25">
      <c r="A2230" t="str">
        <f>"10748842"</f>
        <v>10748842</v>
      </c>
      <c r="B2230" t="s">
        <v>15</v>
      </c>
      <c r="C2230" s="1">
        <v>44064</v>
      </c>
      <c r="D2230" s="2">
        <f>YEAR(C2230)</f>
        <v>2020</v>
      </c>
      <c r="E2230">
        <v>138000</v>
      </c>
      <c r="F2230" t="s">
        <v>85</v>
      </c>
      <c r="G2230">
        <v>1967</v>
      </c>
      <c r="H2230">
        <v>40184</v>
      </c>
      <c r="I2230" t="s">
        <v>575</v>
      </c>
      <c r="J2230" t="str">
        <f>"2"</f>
        <v>2</v>
      </c>
      <c r="K2230">
        <v>60002</v>
      </c>
      <c r="L2230">
        <v>1144</v>
      </c>
      <c r="M2230">
        <v>4</v>
      </c>
      <c r="N2230">
        <v>1</v>
      </c>
      <c r="O2230">
        <v>0</v>
      </c>
      <c r="P2230" t="s">
        <v>18</v>
      </c>
      <c r="Q2230">
        <v>2</v>
      </c>
      <c r="R2230">
        <v>0</v>
      </c>
      <c r="S2230" t="s">
        <v>22</v>
      </c>
      <c r="T2230">
        <v>2</v>
      </c>
      <c r="U2230">
        <v>0</v>
      </c>
    </row>
    <row r="2231" spans="1:21" x14ac:dyDescent="0.25">
      <c r="A2231" t="str">
        <f>"10625658"</f>
        <v>10625658</v>
      </c>
      <c r="B2231" t="s">
        <v>15</v>
      </c>
      <c r="C2231" s="1">
        <v>43951</v>
      </c>
      <c r="D2231" s="2">
        <f>YEAR(C2231)</f>
        <v>2020</v>
      </c>
      <c r="E2231">
        <v>129900</v>
      </c>
      <c r="F2231" t="s">
        <v>85</v>
      </c>
      <c r="G2231">
        <v>1955</v>
      </c>
      <c r="H2231">
        <v>43386</v>
      </c>
      <c r="I2231" t="s">
        <v>592</v>
      </c>
      <c r="J2231" t="str">
        <f>"2"</f>
        <v>2</v>
      </c>
      <c r="K2231">
        <v>60002</v>
      </c>
      <c r="L2231">
        <v>1149</v>
      </c>
      <c r="M2231">
        <v>6</v>
      </c>
      <c r="N2231">
        <v>1</v>
      </c>
      <c r="O2231">
        <v>0</v>
      </c>
      <c r="P2231" t="s">
        <v>18</v>
      </c>
      <c r="Q2231">
        <v>3</v>
      </c>
      <c r="R2231">
        <v>0</v>
      </c>
      <c r="S2231" t="s">
        <v>22</v>
      </c>
      <c r="T2231">
        <v>1</v>
      </c>
      <c r="U2231">
        <v>0</v>
      </c>
    </row>
    <row r="2232" spans="1:21" x14ac:dyDescent="0.25">
      <c r="A2232" t="str">
        <f>"10304229"</f>
        <v>10304229</v>
      </c>
      <c r="B2232" t="s">
        <v>15</v>
      </c>
      <c r="C2232" s="1">
        <v>43572</v>
      </c>
      <c r="D2232" s="2">
        <f>YEAR(C2232)</f>
        <v>2019</v>
      </c>
      <c r="E2232">
        <v>124000</v>
      </c>
      <c r="F2232" t="s">
        <v>85</v>
      </c>
      <c r="G2232">
        <v>1950</v>
      </c>
      <c r="H2232">
        <v>38427</v>
      </c>
      <c r="I2232" t="s">
        <v>530</v>
      </c>
      <c r="J2232" t="str">
        <f>"2"</f>
        <v>2</v>
      </c>
      <c r="K2232">
        <v>60002</v>
      </c>
      <c r="L2232">
        <v>1152</v>
      </c>
      <c r="M2232">
        <v>7</v>
      </c>
      <c r="N2232">
        <v>1</v>
      </c>
      <c r="O2232">
        <v>0</v>
      </c>
      <c r="P2232" t="s">
        <v>18</v>
      </c>
      <c r="Q2232">
        <v>3</v>
      </c>
      <c r="R2232">
        <v>0</v>
      </c>
      <c r="S2232" t="s">
        <v>22</v>
      </c>
      <c r="T2232">
        <v>1</v>
      </c>
      <c r="U2232">
        <v>0</v>
      </c>
    </row>
    <row r="2233" spans="1:21" x14ac:dyDescent="0.25">
      <c r="A2233" t="str">
        <f>"10783546"</f>
        <v>10783546</v>
      </c>
      <c r="B2233" t="s">
        <v>15</v>
      </c>
      <c r="C2233" s="1">
        <v>44074</v>
      </c>
      <c r="D2233" s="2">
        <f>YEAR(C2233)</f>
        <v>2020</v>
      </c>
      <c r="E2233">
        <v>140000</v>
      </c>
      <c r="F2233" t="s">
        <v>85</v>
      </c>
      <c r="G2233">
        <v>1950</v>
      </c>
      <c r="H2233">
        <v>38427</v>
      </c>
      <c r="I2233" t="s">
        <v>530</v>
      </c>
      <c r="J2233" t="str">
        <f>"2"</f>
        <v>2</v>
      </c>
      <c r="K2233">
        <v>60002</v>
      </c>
      <c r="L2233">
        <v>1152</v>
      </c>
      <c r="M2233">
        <v>7</v>
      </c>
      <c r="N2233">
        <v>1</v>
      </c>
      <c r="O2233">
        <v>0</v>
      </c>
      <c r="P2233" t="s">
        <v>18</v>
      </c>
      <c r="Q2233">
        <v>3</v>
      </c>
      <c r="R2233">
        <v>0</v>
      </c>
      <c r="S2233" t="s">
        <v>22</v>
      </c>
      <c r="T2233">
        <v>1</v>
      </c>
      <c r="U2233">
        <v>0</v>
      </c>
    </row>
    <row r="2234" spans="1:21" x14ac:dyDescent="0.25">
      <c r="A2234" t="str">
        <f>"10845333"</f>
        <v>10845333</v>
      </c>
      <c r="B2234" t="s">
        <v>15</v>
      </c>
      <c r="C2234" s="1">
        <v>44096</v>
      </c>
      <c r="D2234" s="2">
        <f>YEAR(C2234)</f>
        <v>2020</v>
      </c>
      <c r="E2234">
        <v>165000</v>
      </c>
      <c r="F2234" t="s">
        <v>85</v>
      </c>
      <c r="G2234">
        <v>1958</v>
      </c>
      <c r="H2234">
        <v>237</v>
      </c>
      <c r="I2234" t="s">
        <v>616</v>
      </c>
      <c r="J2234" t="str">
        <f>"2"</f>
        <v>2</v>
      </c>
      <c r="K2234">
        <v>60002</v>
      </c>
      <c r="L2234">
        <v>1152</v>
      </c>
      <c r="M2234">
        <v>5</v>
      </c>
      <c r="N2234">
        <v>1</v>
      </c>
      <c r="O2234">
        <v>0</v>
      </c>
      <c r="P2234" t="s">
        <v>18</v>
      </c>
      <c r="Q2234">
        <v>3</v>
      </c>
      <c r="R2234">
        <v>0</v>
      </c>
      <c r="S2234" t="s">
        <v>22</v>
      </c>
      <c r="T2234">
        <v>2.5</v>
      </c>
      <c r="U2234">
        <v>0</v>
      </c>
    </row>
    <row r="2235" spans="1:21" x14ac:dyDescent="0.25">
      <c r="A2235" t="str">
        <f>"10608857"</f>
        <v>10608857</v>
      </c>
      <c r="B2235" t="s">
        <v>15</v>
      </c>
      <c r="C2235" s="1">
        <v>43871</v>
      </c>
      <c r="D2235" s="2">
        <f>YEAR(C2235)</f>
        <v>2020</v>
      </c>
      <c r="E2235">
        <v>126000</v>
      </c>
      <c r="F2235" t="s">
        <v>85</v>
      </c>
      <c r="G2235">
        <v>1970</v>
      </c>
      <c r="H2235">
        <v>591</v>
      </c>
      <c r="I2235" t="s">
        <v>96</v>
      </c>
      <c r="J2235" t="str">
        <f>"2"</f>
        <v>2</v>
      </c>
      <c r="K2235">
        <v>60002</v>
      </c>
      <c r="L2235">
        <v>1154</v>
      </c>
      <c r="M2235">
        <v>6</v>
      </c>
      <c r="N2235">
        <v>2</v>
      </c>
      <c r="O2235">
        <v>0</v>
      </c>
      <c r="P2235" t="s">
        <v>79</v>
      </c>
      <c r="Q2235">
        <v>2</v>
      </c>
      <c r="R2235">
        <v>0</v>
      </c>
      <c r="S2235" t="s">
        <v>22</v>
      </c>
      <c r="T2235">
        <v>1</v>
      </c>
      <c r="U2235">
        <v>0</v>
      </c>
    </row>
    <row r="2236" spans="1:21" x14ac:dyDescent="0.25">
      <c r="A2236" t="str">
        <f>"10559820"</f>
        <v>10559820</v>
      </c>
      <c r="B2236" t="s">
        <v>15</v>
      </c>
      <c r="C2236" s="1">
        <v>43895</v>
      </c>
      <c r="D2236" s="2">
        <f>YEAR(C2236)</f>
        <v>2020</v>
      </c>
      <c r="E2236">
        <v>185000</v>
      </c>
      <c r="F2236" t="s">
        <v>85</v>
      </c>
      <c r="G2236">
        <v>1959</v>
      </c>
      <c r="H2236">
        <v>42751</v>
      </c>
      <c r="I2236" t="s">
        <v>624</v>
      </c>
      <c r="J2236" t="str">
        <f>"2"</f>
        <v>2</v>
      </c>
      <c r="K2236">
        <v>60002</v>
      </c>
      <c r="L2236">
        <v>1174</v>
      </c>
      <c r="M2236">
        <v>7</v>
      </c>
      <c r="N2236">
        <v>1</v>
      </c>
      <c r="O2236">
        <v>0</v>
      </c>
      <c r="P2236" t="s">
        <v>18</v>
      </c>
      <c r="Q2236">
        <v>2</v>
      </c>
      <c r="R2236">
        <v>1</v>
      </c>
      <c r="S2236" t="s">
        <v>22</v>
      </c>
      <c r="T2236">
        <v>1</v>
      </c>
      <c r="U2236">
        <v>0</v>
      </c>
    </row>
    <row r="2237" spans="1:21" x14ac:dyDescent="0.25">
      <c r="A2237" t="str">
        <f>"10809883"</f>
        <v>10809883</v>
      </c>
      <c r="B2237" t="s">
        <v>15</v>
      </c>
      <c r="C2237" s="1">
        <v>44120</v>
      </c>
      <c r="D2237" s="2">
        <f>YEAR(C2237)</f>
        <v>2020</v>
      </c>
      <c r="E2237">
        <v>230000</v>
      </c>
      <c r="F2237" t="s">
        <v>85</v>
      </c>
      <c r="G2237">
        <v>1961</v>
      </c>
      <c r="H2237">
        <v>585</v>
      </c>
      <c r="I2237" t="s">
        <v>290</v>
      </c>
      <c r="J2237" t="str">
        <f>"2"</f>
        <v>2</v>
      </c>
      <c r="K2237">
        <v>60002</v>
      </c>
      <c r="L2237">
        <v>1176</v>
      </c>
      <c r="M2237">
        <v>6</v>
      </c>
      <c r="N2237">
        <v>2</v>
      </c>
      <c r="O2237">
        <v>0</v>
      </c>
      <c r="P2237" t="s">
        <v>79</v>
      </c>
      <c r="Q2237">
        <v>3</v>
      </c>
      <c r="R2237">
        <v>0</v>
      </c>
      <c r="S2237" t="s">
        <v>21</v>
      </c>
      <c r="T2237">
        <v>1</v>
      </c>
      <c r="U2237">
        <v>0</v>
      </c>
    </row>
    <row r="2238" spans="1:21" x14ac:dyDescent="0.25">
      <c r="A2238" t="str">
        <f>"10303800"</f>
        <v>10303800</v>
      </c>
      <c r="B2238" t="s">
        <v>15</v>
      </c>
      <c r="C2238" s="1">
        <v>43578</v>
      </c>
      <c r="D2238" s="2">
        <f>YEAR(C2238)</f>
        <v>2019</v>
      </c>
      <c r="E2238">
        <v>189000</v>
      </c>
      <c r="F2238" t="s">
        <v>85</v>
      </c>
      <c r="G2238">
        <v>2000</v>
      </c>
      <c r="H2238">
        <v>589</v>
      </c>
      <c r="I2238" t="s">
        <v>626</v>
      </c>
      <c r="J2238" t="str">
        <f>"2"</f>
        <v>2</v>
      </c>
      <c r="K2238">
        <v>60002</v>
      </c>
      <c r="L2238">
        <v>1184</v>
      </c>
      <c r="M2238">
        <v>6</v>
      </c>
      <c r="N2238">
        <v>2</v>
      </c>
      <c r="O2238">
        <v>1</v>
      </c>
      <c r="P2238" t="s">
        <v>79</v>
      </c>
      <c r="Q2238">
        <v>3</v>
      </c>
      <c r="R2238">
        <v>0</v>
      </c>
      <c r="S2238" t="s">
        <v>21</v>
      </c>
      <c r="T2238">
        <v>2</v>
      </c>
      <c r="U2238">
        <v>0</v>
      </c>
    </row>
    <row r="2239" spans="1:21" x14ac:dyDescent="0.25">
      <c r="A2239" t="str">
        <f>"10708266"</f>
        <v>10708266</v>
      </c>
      <c r="B2239" t="s">
        <v>15</v>
      </c>
      <c r="C2239" s="1">
        <v>43994</v>
      </c>
      <c r="D2239" s="2">
        <f>YEAR(C2239)</f>
        <v>2020</v>
      </c>
      <c r="E2239">
        <v>122900</v>
      </c>
      <c r="F2239" t="s">
        <v>85</v>
      </c>
      <c r="G2239">
        <v>1926</v>
      </c>
      <c r="H2239">
        <v>999</v>
      </c>
      <c r="I2239" t="s">
        <v>579</v>
      </c>
      <c r="J2239" t="str">
        <f>"2"</f>
        <v>2</v>
      </c>
      <c r="K2239">
        <v>60002</v>
      </c>
      <c r="L2239">
        <v>1184</v>
      </c>
      <c r="M2239">
        <v>5</v>
      </c>
      <c r="N2239">
        <v>1</v>
      </c>
      <c r="O2239">
        <v>0</v>
      </c>
      <c r="P2239" t="s">
        <v>79</v>
      </c>
      <c r="Q2239">
        <v>2</v>
      </c>
      <c r="R2239">
        <v>0</v>
      </c>
      <c r="S2239" t="s">
        <v>22</v>
      </c>
      <c r="T2239">
        <v>2</v>
      </c>
      <c r="U2239">
        <v>0</v>
      </c>
    </row>
    <row r="2240" spans="1:21" x14ac:dyDescent="0.25">
      <c r="A2240" t="s">
        <v>627</v>
      </c>
      <c r="B2240" t="s">
        <v>15</v>
      </c>
      <c r="C2240" s="1">
        <v>44085</v>
      </c>
      <c r="D2240" s="2">
        <f>YEAR(C2240)</f>
        <v>2020</v>
      </c>
      <c r="E2240">
        <v>134900</v>
      </c>
      <c r="F2240" t="s">
        <v>16</v>
      </c>
      <c r="G2240">
        <v>1998</v>
      </c>
      <c r="H2240">
        <v>40023</v>
      </c>
      <c r="I2240" t="s">
        <v>628</v>
      </c>
      <c r="J2240" t="s">
        <v>600</v>
      </c>
      <c r="K2240">
        <v>60002</v>
      </c>
      <c r="L2240">
        <v>1186</v>
      </c>
      <c r="M2240">
        <v>6</v>
      </c>
      <c r="N2240">
        <v>1</v>
      </c>
      <c r="O2240">
        <v>1</v>
      </c>
      <c r="P2240" t="s">
        <v>18</v>
      </c>
      <c r="Q2240">
        <v>3</v>
      </c>
      <c r="R2240">
        <v>0</v>
      </c>
      <c r="S2240" t="s">
        <v>21</v>
      </c>
      <c r="T2240">
        <v>1</v>
      </c>
      <c r="U2240">
        <v>0</v>
      </c>
    </row>
    <row r="2241" spans="1:21" x14ac:dyDescent="0.25">
      <c r="A2241" t="s">
        <v>630</v>
      </c>
      <c r="B2241" t="s">
        <v>15</v>
      </c>
      <c r="C2241" s="1">
        <v>43955</v>
      </c>
      <c r="D2241" s="2">
        <f>YEAR(C2241)</f>
        <v>2020</v>
      </c>
      <c r="E2241">
        <v>121000</v>
      </c>
      <c r="F2241" t="s">
        <v>16</v>
      </c>
      <c r="G2241">
        <v>1998</v>
      </c>
      <c r="H2241">
        <v>40030</v>
      </c>
      <c r="I2241" t="s">
        <v>631</v>
      </c>
      <c r="J2241" t="s">
        <v>600</v>
      </c>
      <c r="K2241">
        <v>60002</v>
      </c>
      <c r="L2241">
        <v>1186</v>
      </c>
      <c r="M2241">
        <v>6</v>
      </c>
      <c r="N2241">
        <v>1</v>
      </c>
      <c r="O2241">
        <v>1</v>
      </c>
      <c r="P2241" t="s">
        <v>18</v>
      </c>
      <c r="Q2241">
        <v>2</v>
      </c>
      <c r="R2241">
        <v>0</v>
      </c>
      <c r="S2241" t="s">
        <v>21</v>
      </c>
      <c r="T2241">
        <v>1</v>
      </c>
      <c r="U2241">
        <v>0</v>
      </c>
    </row>
    <row r="2242" spans="1:21" x14ac:dyDescent="0.25">
      <c r="A2242" t="str">
        <f>"10300173"</f>
        <v>10300173</v>
      </c>
      <c r="B2242" t="s">
        <v>15</v>
      </c>
      <c r="C2242" s="1">
        <v>43585</v>
      </c>
      <c r="D2242" s="2">
        <f>YEAR(C2242)</f>
        <v>2019</v>
      </c>
      <c r="E2242">
        <v>179653</v>
      </c>
      <c r="F2242" t="s">
        <v>85</v>
      </c>
      <c r="G2242">
        <v>2005</v>
      </c>
      <c r="H2242">
        <v>322</v>
      </c>
      <c r="I2242" t="s">
        <v>604</v>
      </c>
      <c r="J2242" t="str">
        <f>"2"</f>
        <v>2</v>
      </c>
      <c r="K2242">
        <v>60002</v>
      </c>
      <c r="L2242">
        <v>1188</v>
      </c>
      <c r="M2242">
        <v>7</v>
      </c>
      <c r="N2242">
        <v>2</v>
      </c>
      <c r="O2242">
        <v>0</v>
      </c>
      <c r="P2242" t="s">
        <v>18</v>
      </c>
      <c r="Q2242">
        <v>3</v>
      </c>
      <c r="R2242">
        <v>0</v>
      </c>
      <c r="S2242" t="s">
        <v>21</v>
      </c>
      <c r="T2242">
        <v>2</v>
      </c>
      <c r="U2242">
        <v>0</v>
      </c>
    </row>
    <row r="2243" spans="1:21" x14ac:dyDescent="0.25">
      <c r="A2243" t="s">
        <v>632</v>
      </c>
      <c r="B2243" t="s">
        <v>15</v>
      </c>
      <c r="C2243" s="1">
        <v>43704</v>
      </c>
      <c r="D2243" s="2">
        <f>YEAR(C2243)</f>
        <v>2019</v>
      </c>
      <c r="E2243">
        <v>145000</v>
      </c>
      <c r="F2243" t="s">
        <v>81</v>
      </c>
      <c r="G2243">
        <v>1992</v>
      </c>
      <c r="H2243">
        <v>437</v>
      </c>
      <c r="I2243" t="s">
        <v>633</v>
      </c>
      <c r="J2243" t="s">
        <v>600</v>
      </c>
      <c r="K2243">
        <v>60002</v>
      </c>
      <c r="L2243">
        <v>1195</v>
      </c>
      <c r="M2243">
        <v>5</v>
      </c>
      <c r="N2243">
        <v>1</v>
      </c>
      <c r="O2243">
        <v>1</v>
      </c>
      <c r="P2243" t="s">
        <v>18</v>
      </c>
      <c r="Q2243">
        <v>2</v>
      </c>
      <c r="R2243">
        <v>0</v>
      </c>
      <c r="S2243" t="s">
        <v>21</v>
      </c>
      <c r="T2243">
        <v>1</v>
      </c>
      <c r="U2243">
        <v>0</v>
      </c>
    </row>
    <row r="2244" spans="1:21" x14ac:dyDescent="0.25">
      <c r="A2244" t="s">
        <v>634</v>
      </c>
      <c r="B2244" t="s">
        <v>15</v>
      </c>
      <c r="C2244" s="1">
        <v>43728</v>
      </c>
      <c r="D2244" s="2">
        <f>YEAR(C2244)</f>
        <v>2019</v>
      </c>
      <c r="E2244">
        <v>139500</v>
      </c>
      <c r="F2244" t="s">
        <v>548</v>
      </c>
      <c r="G2244">
        <v>1998</v>
      </c>
      <c r="H2244">
        <v>39959</v>
      </c>
      <c r="I2244" t="s">
        <v>628</v>
      </c>
      <c r="J2244" t="s">
        <v>600</v>
      </c>
      <c r="K2244">
        <v>60002</v>
      </c>
      <c r="L2244">
        <v>1196</v>
      </c>
      <c r="M2244">
        <v>6</v>
      </c>
      <c r="N2244">
        <v>1</v>
      </c>
      <c r="O2244">
        <v>1</v>
      </c>
      <c r="P2244" t="s">
        <v>18</v>
      </c>
      <c r="Q2244">
        <v>3</v>
      </c>
      <c r="R2244">
        <v>0</v>
      </c>
      <c r="S2244" t="s">
        <v>21</v>
      </c>
      <c r="T2244">
        <v>1</v>
      </c>
      <c r="U2244">
        <v>0</v>
      </c>
    </row>
    <row r="2245" spans="1:21" x14ac:dyDescent="0.25">
      <c r="A2245" t="s">
        <v>635</v>
      </c>
      <c r="B2245" t="s">
        <v>15</v>
      </c>
      <c r="C2245" s="1">
        <v>44168</v>
      </c>
      <c r="D2245" s="2">
        <f>YEAR(C2245)</f>
        <v>2020</v>
      </c>
      <c r="E2245">
        <v>150000</v>
      </c>
      <c r="F2245" t="s">
        <v>81</v>
      </c>
      <c r="G2245">
        <v>1991</v>
      </c>
      <c r="H2245">
        <v>351</v>
      </c>
      <c r="I2245" t="s">
        <v>636</v>
      </c>
      <c r="J2245" t="s">
        <v>600</v>
      </c>
      <c r="K2245">
        <v>60002</v>
      </c>
      <c r="L2245">
        <v>1200</v>
      </c>
      <c r="M2245">
        <v>5</v>
      </c>
      <c r="N2245">
        <v>1</v>
      </c>
      <c r="O2245">
        <v>1</v>
      </c>
      <c r="P2245" t="s">
        <v>18</v>
      </c>
      <c r="Q2245">
        <v>2</v>
      </c>
      <c r="R2245">
        <v>0</v>
      </c>
      <c r="S2245" t="s">
        <v>21</v>
      </c>
      <c r="T2245">
        <v>1</v>
      </c>
      <c r="U2245">
        <v>0</v>
      </c>
    </row>
    <row r="2246" spans="1:21" x14ac:dyDescent="0.25">
      <c r="A2246" t="str">
        <f>"10653226"</f>
        <v>10653226</v>
      </c>
      <c r="B2246" t="s">
        <v>15</v>
      </c>
      <c r="C2246" s="1">
        <v>43955</v>
      </c>
      <c r="D2246" s="2">
        <f>YEAR(C2246)</f>
        <v>2020</v>
      </c>
      <c r="E2246">
        <v>200000</v>
      </c>
      <c r="F2246" t="s">
        <v>85</v>
      </c>
      <c r="G2246">
        <v>1975</v>
      </c>
      <c r="H2246">
        <v>149</v>
      </c>
      <c r="I2246" t="s">
        <v>637</v>
      </c>
      <c r="J2246" t="str">
        <f>"2"</f>
        <v>2</v>
      </c>
      <c r="K2246">
        <v>60002</v>
      </c>
      <c r="L2246">
        <v>1200</v>
      </c>
      <c r="M2246">
        <v>6</v>
      </c>
      <c r="N2246">
        <v>1</v>
      </c>
      <c r="O2246">
        <v>0</v>
      </c>
      <c r="P2246" t="s">
        <v>18</v>
      </c>
      <c r="Q2246">
        <v>2</v>
      </c>
      <c r="R2246">
        <v>0</v>
      </c>
      <c r="S2246" t="s">
        <v>21</v>
      </c>
      <c r="T2246">
        <v>2.5</v>
      </c>
      <c r="U2246">
        <v>0</v>
      </c>
    </row>
    <row r="2247" spans="1:21" x14ac:dyDescent="0.25">
      <c r="A2247" t="str">
        <f>"10451618"</f>
        <v>10451618</v>
      </c>
      <c r="B2247" t="s">
        <v>15</v>
      </c>
      <c r="C2247" s="1">
        <v>43713</v>
      </c>
      <c r="D2247" s="2">
        <f>YEAR(C2247)</f>
        <v>2019</v>
      </c>
      <c r="E2247">
        <v>137000</v>
      </c>
      <c r="F2247" t="s">
        <v>85</v>
      </c>
      <c r="G2247">
        <v>1963</v>
      </c>
      <c r="H2247">
        <v>43330</v>
      </c>
      <c r="I2247" t="s">
        <v>592</v>
      </c>
      <c r="J2247" t="str">
        <f>"2"</f>
        <v>2</v>
      </c>
      <c r="K2247">
        <v>60002</v>
      </c>
      <c r="L2247">
        <v>1200</v>
      </c>
      <c r="M2247">
        <v>5</v>
      </c>
      <c r="N2247">
        <v>1</v>
      </c>
      <c r="O2247">
        <v>0</v>
      </c>
      <c r="P2247" t="s">
        <v>18</v>
      </c>
      <c r="Q2247">
        <v>2</v>
      </c>
      <c r="R2247">
        <v>0</v>
      </c>
      <c r="S2247" t="s">
        <v>22</v>
      </c>
      <c r="T2247">
        <v>1</v>
      </c>
      <c r="U2247">
        <v>0</v>
      </c>
    </row>
    <row r="2248" spans="1:21" x14ac:dyDescent="0.25">
      <c r="A2248" t="str">
        <f>"10519714"</f>
        <v>10519714</v>
      </c>
      <c r="B2248" t="s">
        <v>15</v>
      </c>
      <c r="C2248" s="1">
        <v>43941</v>
      </c>
      <c r="D2248" s="2">
        <f>YEAR(C2248)</f>
        <v>2020</v>
      </c>
      <c r="E2248">
        <v>99900</v>
      </c>
      <c r="F2248" t="s">
        <v>85</v>
      </c>
      <c r="G2248">
        <v>1965</v>
      </c>
      <c r="H2248">
        <v>27931</v>
      </c>
      <c r="I2248" t="s">
        <v>586</v>
      </c>
      <c r="J2248" t="str">
        <f>"2"</f>
        <v>2</v>
      </c>
      <c r="K2248">
        <v>60002</v>
      </c>
      <c r="L2248">
        <v>1200</v>
      </c>
      <c r="M2248">
        <v>6</v>
      </c>
      <c r="N2248">
        <v>2</v>
      </c>
      <c r="O2248">
        <v>0</v>
      </c>
      <c r="P2248" t="s">
        <v>18</v>
      </c>
      <c r="Q2248">
        <v>3</v>
      </c>
      <c r="R2248">
        <v>0</v>
      </c>
      <c r="S2248" t="s">
        <v>22</v>
      </c>
      <c r="T2248">
        <v>2</v>
      </c>
      <c r="U2248">
        <v>0</v>
      </c>
    </row>
    <row r="2249" spans="1:21" x14ac:dyDescent="0.25">
      <c r="A2249" t="s">
        <v>638</v>
      </c>
      <c r="B2249" t="s">
        <v>15</v>
      </c>
      <c r="C2249" s="1">
        <v>43784</v>
      </c>
      <c r="D2249" s="2">
        <f>YEAR(C2249)</f>
        <v>2019</v>
      </c>
      <c r="E2249">
        <v>141000</v>
      </c>
      <c r="F2249" t="s">
        <v>81</v>
      </c>
      <c r="G2249">
        <v>1993</v>
      </c>
      <c r="H2249">
        <v>396</v>
      </c>
      <c r="I2249" t="s">
        <v>639</v>
      </c>
      <c r="J2249" t="s">
        <v>600</v>
      </c>
      <c r="K2249">
        <v>60002</v>
      </c>
      <c r="L2249">
        <v>1205</v>
      </c>
      <c r="M2249">
        <v>5</v>
      </c>
      <c r="N2249">
        <v>2</v>
      </c>
      <c r="O2249">
        <v>1</v>
      </c>
      <c r="P2249" t="s">
        <v>18</v>
      </c>
      <c r="Q2249">
        <v>2</v>
      </c>
      <c r="R2249">
        <v>0</v>
      </c>
      <c r="S2249" t="s">
        <v>21</v>
      </c>
      <c r="T2249">
        <v>1</v>
      </c>
      <c r="U2249">
        <v>0</v>
      </c>
    </row>
    <row r="2250" spans="1:21" x14ac:dyDescent="0.25">
      <c r="A2250" t="str">
        <f>"10751677"</f>
        <v>10751677</v>
      </c>
      <c r="B2250" t="s">
        <v>15</v>
      </c>
      <c r="C2250" s="1">
        <v>44043</v>
      </c>
      <c r="D2250" s="2">
        <f>YEAR(C2250)</f>
        <v>2020</v>
      </c>
      <c r="E2250">
        <v>149900</v>
      </c>
      <c r="F2250" t="s">
        <v>85</v>
      </c>
      <c r="G2250">
        <v>1962</v>
      </c>
      <c r="H2250">
        <v>41573</v>
      </c>
      <c r="I2250" t="s">
        <v>565</v>
      </c>
      <c r="J2250" t="str">
        <f>"2"</f>
        <v>2</v>
      </c>
      <c r="K2250">
        <v>60002</v>
      </c>
      <c r="L2250">
        <v>1208</v>
      </c>
      <c r="M2250">
        <v>6</v>
      </c>
      <c r="N2250">
        <v>1</v>
      </c>
      <c r="O2250">
        <v>0</v>
      </c>
      <c r="P2250" t="s">
        <v>18</v>
      </c>
      <c r="Q2250">
        <v>3</v>
      </c>
      <c r="R2250">
        <v>0</v>
      </c>
      <c r="S2250" t="s">
        <v>21</v>
      </c>
      <c r="T2250">
        <v>2</v>
      </c>
      <c r="U2250">
        <v>0</v>
      </c>
    </row>
    <row r="2251" spans="1:21" x14ac:dyDescent="0.25">
      <c r="A2251" t="str">
        <f>"10268014"</f>
        <v>10268014</v>
      </c>
      <c r="B2251" t="s">
        <v>15</v>
      </c>
      <c r="C2251" s="1">
        <v>43551</v>
      </c>
      <c r="D2251" s="2">
        <f>YEAR(C2251)</f>
        <v>2019</v>
      </c>
      <c r="E2251">
        <v>190000</v>
      </c>
      <c r="F2251" t="s">
        <v>85</v>
      </c>
      <c r="G2251">
        <v>1998</v>
      </c>
      <c r="H2251">
        <v>708</v>
      </c>
      <c r="I2251" t="s">
        <v>640</v>
      </c>
      <c r="J2251" t="str">
        <f>"2"</f>
        <v>2</v>
      </c>
      <c r="K2251">
        <v>60002</v>
      </c>
      <c r="L2251">
        <v>1208</v>
      </c>
      <c r="M2251">
        <v>6</v>
      </c>
      <c r="N2251">
        <v>2</v>
      </c>
      <c r="O2251">
        <v>0</v>
      </c>
      <c r="P2251" t="s">
        <v>18</v>
      </c>
      <c r="Q2251">
        <v>3</v>
      </c>
      <c r="R2251">
        <v>0</v>
      </c>
      <c r="S2251" t="s">
        <v>21</v>
      </c>
      <c r="T2251">
        <v>2</v>
      </c>
      <c r="U2251">
        <v>0</v>
      </c>
    </row>
    <row r="2252" spans="1:21" x14ac:dyDescent="0.25">
      <c r="A2252" t="str">
        <f>"10517187"</f>
        <v>10517187</v>
      </c>
      <c r="B2252" t="s">
        <v>15</v>
      </c>
      <c r="C2252" s="1">
        <v>43819</v>
      </c>
      <c r="D2252" s="2">
        <f>YEAR(C2252)</f>
        <v>2019</v>
      </c>
      <c r="E2252">
        <v>160000</v>
      </c>
      <c r="F2252" t="s">
        <v>85</v>
      </c>
      <c r="G2252">
        <v>1968</v>
      </c>
      <c r="H2252">
        <v>22811</v>
      </c>
      <c r="I2252" t="s">
        <v>641</v>
      </c>
      <c r="J2252" t="str">
        <f>"2"</f>
        <v>2</v>
      </c>
      <c r="K2252">
        <v>60002</v>
      </c>
      <c r="L2252">
        <v>1216</v>
      </c>
      <c r="M2252">
        <v>6</v>
      </c>
      <c r="N2252">
        <v>2</v>
      </c>
      <c r="O2252">
        <v>0</v>
      </c>
      <c r="P2252" t="s">
        <v>18</v>
      </c>
      <c r="Q2252">
        <v>3</v>
      </c>
      <c r="R2252">
        <v>0</v>
      </c>
      <c r="S2252" t="s">
        <v>22</v>
      </c>
      <c r="T2252">
        <v>2</v>
      </c>
      <c r="U2252">
        <v>0</v>
      </c>
    </row>
    <row r="2253" spans="1:21" x14ac:dyDescent="0.25">
      <c r="A2253" t="s">
        <v>642</v>
      </c>
      <c r="B2253" t="s">
        <v>15</v>
      </c>
      <c r="C2253" s="1">
        <v>44092</v>
      </c>
      <c r="D2253" s="2">
        <f>YEAR(C2253)</f>
        <v>2020</v>
      </c>
      <c r="E2253">
        <v>175000</v>
      </c>
      <c r="F2253" t="s">
        <v>548</v>
      </c>
      <c r="G2253">
        <v>1979</v>
      </c>
      <c r="H2253">
        <v>39918</v>
      </c>
      <c r="I2253" t="s">
        <v>63</v>
      </c>
      <c r="J2253" t="s">
        <v>600</v>
      </c>
      <c r="K2253">
        <v>60002</v>
      </c>
      <c r="L2253">
        <v>1225</v>
      </c>
      <c r="M2253">
        <v>7</v>
      </c>
      <c r="N2253">
        <v>3</v>
      </c>
      <c r="O2253">
        <v>0</v>
      </c>
      <c r="P2253" t="s">
        <v>79</v>
      </c>
      <c r="Q2253">
        <v>2.5</v>
      </c>
      <c r="R2253">
        <v>1</v>
      </c>
      <c r="S2253" t="s">
        <v>21</v>
      </c>
      <c r="T2253">
        <v>2</v>
      </c>
      <c r="U2253">
        <v>0</v>
      </c>
    </row>
    <row r="2254" spans="1:21" x14ac:dyDescent="0.25">
      <c r="A2254" t="s">
        <v>643</v>
      </c>
      <c r="B2254" t="s">
        <v>15</v>
      </c>
      <c r="C2254" s="1">
        <v>43599</v>
      </c>
      <c r="D2254" s="2">
        <f>YEAR(C2254)</f>
        <v>2019</v>
      </c>
      <c r="E2254">
        <v>143000</v>
      </c>
      <c r="F2254" t="s">
        <v>81</v>
      </c>
      <c r="G2254">
        <v>1992</v>
      </c>
      <c r="H2254">
        <v>479</v>
      </c>
      <c r="I2254" t="s">
        <v>644</v>
      </c>
      <c r="J2254" t="s">
        <v>600</v>
      </c>
      <c r="K2254">
        <v>60002</v>
      </c>
      <c r="L2254">
        <v>1236</v>
      </c>
      <c r="M2254">
        <v>6</v>
      </c>
      <c r="N2254">
        <v>1</v>
      </c>
      <c r="O2254">
        <v>1</v>
      </c>
      <c r="P2254" t="s">
        <v>18</v>
      </c>
      <c r="Q2254">
        <v>3</v>
      </c>
      <c r="R2254">
        <v>0</v>
      </c>
      <c r="S2254" t="s">
        <v>21</v>
      </c>
      <c r="T2254">
        <v>2</v>
      </c>
      <c r="U2254">
        <v>0</v>
      </c>
    </row>
    <row r="2255" spans="1:21" x14ac:dyDescent="0.25">
      <c r="A2255" t="s">
        <v>645</v>
      </c>
      <c r="B2255" t="s">
        <v>15</v>
      </c>
      <c r="C2255" s="1">
        <v>44029</v>
      </c>
      <c r="D2255" s="2">
        <f>YEAR(C2255)</f>
        <v>2020</v>
      </c>
      <c r="E2255">
        <v>149500</v>
      </c>
      <c r="F2255" t="s">
        <v>81</v>
      </c>
      <c r="G2255">
        <v>1950</v>
      </c>
      <c r="H2255">
        <v>506</v>
      </c>
      <c r="I2255" t="s">
        <v>646</v>
      </c>
      <c r="J2255" t="s">
        <v>600</v>
      </c>
      <c r="K2255">
        <v>60002</v>
      </c>
      <c r="L2255">
        <v>1240</v>
      </c>
      <c r="M2255">
        <v>4</v>
      </c>
      <c r="N2255">
        <v>1</v>
      </c>
      <c r="O2255">
        <v>1</v>
      </c>
      <c r="P2255" t="s">
        <v>18</v>
      </c>
      <c r="Q2255">
        <v>2</v>
      </c>
      <c r="R2255">
        <v>0</v>
      </c>
      <c r="S2255" t="s">
        <v>22</v>
      </c>
      <c r="T2255">
        <v>2</v>
      </c>
      <c r="U2255">
        <v>0</v>
      </c>
    </row>
    <row r="2256" spans="1:21" x14ac:dyDescent="0.25">
      <c r="A2256" t="str">
        <f>"10638835"</f>
        <v>10638835</v>
      </c>
      <c r="B2256" t="s">
        <v>15</v>
      </c>
      <c r="C2256" s="1">
        <v>44022</v>
      </c>
      <c r="D2256" s="2">
        <f>YEAR(C2256)</f>
        <v>2020</v>
      </c>
      <c r="E2256">
        <v>225900</v>
      </c>
      <c r="F2256" t="s">
        <v>85</v>
      </c>
      <c r="G2256">
        <v>1920</v>
      </c>
      <c r="H2256">
        <v>42434</v>
      </c>
      <c r="I2256" t="s">
        <v>647</v>
      </c>
      <c r="J2256" t="str">
        <f>"2"</f>
        <v>2</v>
      </c>
      <c r="K2256">
        <v>60002</v>
      </c>
      <c r="L2256">
        <v>1240</v>
      </c>
      <c r="M2256">
        <v>6</v>
      </c>
      <c r="N2256">
        <v>2</v>
      </c>
      <c r="O2256">
        <v>0</v>
      </c>
      <c r="P2256" t="s">
        <v>18</v>
      </c>
      <c r="Q2256">
        <v>3</v>
      </c>
      <c r="R2256">
        <v>0</v>
      </c>
      <c r="S2256" t="s">
        <v>22</v>
      </c>
      <c r="T2256">
        <v>2.5</v>
      </c>
      <c r="U2256">
        <v>0</v>
      </c>
    </row>
    <row r="2257" spans="1:21" x14ac:dyDescent="0.25">
      <c r="A2257" t="s">
        <v>648</v>
      </c>
      <c r="B2257" t="s">
        <v>15</v>
      </c>
      <c r="C2257" s="1">
        <v>43901</v>
      </c>
      <c r="D2257" s="2">
        <f>YEAR(C2257)</f>
        <v>2020</v>
      </c>
      <c r="E2257">
        <v>95000</v>
      </c>
      <c r="F2257" t="s">
        <v>81</v>
      </c>
      <c r="G2257">
        <v>1991</v>
      </c>
      <c r="H2257">
        <v>446</v>
      </c>
      <c r="I2257" t="s">
        <v>633</v>
      </c>
      <c r="J2257" t="s">
        <v>600</v>
      </c>
      <c r="K2257">
        <v>60002</v>
      </c>
      <c r="L2257">
        <v>1250</v>
      </c>
      <c r="M2257">
        <v>5</v>
      </c>
      <c r="N2257">
        <v>1</v>
      </c>
      <c r="O2257">
        <v>1</v>
      </c>
      <c r="P2257" t="s">
        <v>18</v>
      </c>
      <c r="Q2257">
        <v>2</v>
      </c>
      <c r="R2257">
        <v>0</v>
      </c>
      <c r="S2257" t="s">
        <v>21</v>
      </c>
      <c r="T2257">
        <v>1</v>
      </c>
      <c r="U2257">
        <v>0</v>
      </c>
    </row>
    <row r="2258" spans="1:21" x14ac:dyDescent="0.25">
      <c r="A2258" t="str">
        <f>"10522870"</f>
        <v>10522870</v>
      </c>
      <c r="B2258" t="s">
        <v>15</v>
      </c>
      <c r="C2258" s="1">
        <v>43777</v>
      </c>
      <c r="D2258" s="2">
        <f>YEAR(C2258)</f>
        <v>2019</v>
      </c>
      <c r="E2258">
        <v>177000</v>
      </c>
      <c r="F2258" t="s">
        <v>85</v>
      </c>
      <c r="G2258">
        <v>1960</v>
      </c>
      <c r="H2258">
        <v>26361</v>
      </c>
      <c r="I2258" t="s">
        <v>650</v>
      </c>
      <c r="J2258" t="str">
        <f>"2"</f>
        <v>2</v>
      </c>
      <c r="K2258">
        <v>60002</v>
      </c>
      <c r="L2258">
        <v>1270</v>
      </c>
      <c r="M2258">
        <v>7</v>
      </c>
      <c r="N2258">
        <v>2</v>
      </c>
      <c r="O2258">
        <v>0</v>
      </c>
      <c r="P2258" t="s">
        <v>18</v>
      </c>
      <c r="Q2258">
        <v>3</v>
      </c>
      <c r="R2258">
        <v>1</v>
      </c>
      <c r="S2258" t="s">
        <v>22</v>
      </c>
      <c r="T2258">
        <v>2.5</v>
      </c>
      <c r="U2258">
        <v>0</v>
      </c>
    </row>
    <row r="2259" spans="1:21" x14ac:dyDescent="0.25">
      <c r="A2259" t="str">
        <f>"10414202"</f>
        <v>10414202</v>
      </c>
      <c r="B2259" t="s">
        <v>15</v>
      </c>
      <c r="C2259" s="1">
        <v>43783</v>
      </c>
      <c r="D2259" s="2">
        <f>YEAR(C2259)</f>
        <v>2019</v>
      </c>
      <c r="E2259">
        <v>85000</v>
      </c>
      <c r="F2259" t="s">
        <v>85</v>
      </c>
      <c r="G2259">
        <v>1986</v>
      </c>
      <c r="H2259">
        <v>120</v>
      </c>
      <c r="I2259" t="s">
        <v>651</v>
      </c>
      <c r="J2259" t="str">
        <f>"2"</f>
        <v>2</v>
      </c>
      <c r="K2259">
        <v>60002</v>
      </c>
      <c r="L2259">
        <v>1274</v>
      </c>
      <c r="M2259">
        <v>8</v>
      </c>
      <c r="N2259">
        <v>2</v>
      </c>
      <c r="O2259">
        <v>1</v>
      </c>
      <c r="P2259" t="s">
        <v>79</v>
      </c>
      <c r="Q2259">
        <v>3</v>
      </c>
      <c r="R2259">
        <v>1</v>
      </c>
      <c r="S2259" t="s">
        <v>21</v>
      </c>
      <c r="T2259">
        <v>2</v>
      </c>
      <c r="U2259">
        <v>0</v>
      </c>
    </row>
    <row r="2260" spans="1:21" x14ac:dyDescent="0.25">
      <c r="A2260" t="s">
        <v>652</v>
      </c>
      <c r="B2260" t="s">
        <v>15</v>
      </c>
      <c r="C2260" s="1">
        <v>43802</v>
      </c>
      <c r="D2260" s="2">
        <f>YEAR(C2260)</f>
        <v>2019</v>
      </c>
      <c r="E2260">
        <v>122000</v>
      </c>
      <c r="F2260" t="s">
        <v>16</v>
      </c>
      <c r="G2260">
        <v>2000</v>
      </c>
      <c r="H2260">
        <v>39764</v>
      </c>
      <c r="I2260" t="s">
        <v>622</v>
      </c>
      <c r="J2260" t="s">
        <v>600</v>
      </c>
      <c r="K2260">
        <v>60002</v>
      </c>
      <c r="L2260">
        <v>1276</v>
      </c>
      <c r="M2260">
        <v>5</v>
      </c>
      <c r="N2260">
        <v>2</v>
      </c>
      <c r="O2260">
        <v>0</v>
      </c>
      <c r="P2260" t="s">
        <v>18</v>
      </c>
      <c r="Q2260">
        <v>2</v>
      </c>
      <c r="R2260">
        <v>0</v>
      </c>
      <c r="S2260" t="s">
        <v>21</v>
      </c>
      <c r="T2260">
        <v>1</v>
      </c>
      <c r="U2260">
        <v>0</v>
      </c>
    </row>
    <row r="2261" spans="1:21" x14ac:dyDescent="0.25">
      <c r="A2261" t="str">
        <f>"10887816"</f>
        <v>10887816</v>
      </c>
      <c r="B2261" t="s">
        <v>15</v>
      </c>
      <c r="C2261" s="1">
        <v>44139</v>
      </c>
      <c r="D2261" s="2">
        <f>YEAR(C2261)</f>
        <v>2020</v>
      </c>
      <c r="E2261">
        <v>167500</v>
      </c>
      <c r="F2261" t="s">
        <v>85</v>
      </c>
      <c r="G2261">
        <v>1958</v>
      </c>
      <c r="H2261">
        <v>23066</v>
      </c>
      <c r="I2261" t="s">
        <v>653</v>
      </c>
      <c r="J2261" t="str">
        <f>"2"</f>
        <v>2</v>
      </c>
      <c r="K2261">
        <v>60002</v>
      </c>
      <c r="L2261">
        <v>1277</v>
      </c>
      <c r="M2261">
        <v>3</v>
      </c>
      <c r="N2261">
        <v>1</v>
      </c>
      <c r="O2261">
        <v>1</v>
      </c>
      <c r="P2261" t="s">
        <v>18</v>
      </c>
      <c r="Q2261">
        <v>2</v>
      </c>
      <c r="R2261">
        <v>0</v>
      </c>
      <c r="S2261" t="s">
        <v>21</v>
      </c>
      <c r="T2261">
        <v>1</v>
      </c>
      <c r="U2261">
        <v>0</v>
      </c>
    </row>
    <row r="2262" spans="1:21" x14ac:dyDescent="0.25">
      <c r="A2262" t="str">
        <f>"10780679"</f>
        <v>10780679</v>
      </c>
      <c r="B2262" t="s">
        <v>15</v>
      </c>
      <c r="C2262" s="1">
        <v>44105</v>
      </c>
      <c r="D2262" s="2">
        <f>YEAR(C2262)</f>
        <v>2020</v>
      </c>
      <c r="E2262">
        <v>84000</v>
      </c>
      <c r="F2262" t="s">
        <v>85</v>
      </c>
      <c r="G2262">
        <v>1970</v>
      </c>
      <c r="H2262">
        <v>42557</v>
      </c>
      <c r="I2262" t="s">
        <v>654</v>
      </c>
      <c r="J2262" t="str">
        <f>"2"</f>
        <v>2</v>
      </c>
      <c r="K2262">
        <v>60002</v>
      </c>
      <c r="L2262">
        <v>1277</v>
      </c>
      <c r="M2262">
        <v>4</v>
      </c>
      <c r="N2262">
        <v>1</v>
      </c>
      <c r="O2262">
        <v>0</v>
      </c>
      <c r="P2262" t="s">
        <v>18</v>
      </c>
      <c r="Q2262">
        <v>2</v>
      </c>
      <c r="R2262">
        <v>0</v>
      </c>
      <c r="S2262" t="s">
        <v>22</v>
      </c>
      <c r="T2262">
        <v>1</v>
      </c>
      <c r="U2262">
        <v>0</v>
      </c>
    </row>
    <row r="2263" spans="1:21" x14ac:dyDescent="0.25">
      <c r="A2263" t="s">
        <v>655</v>
      </c>
      <c r="B2263" t="s">
        <v>15</v>
      </c>
      <c r="C2263" s="1">
        <v>43776</v>
      </c>
      <c r="D2263" s="2">
        <f>YEAR(C2263)</f>
        <v>2019</v>
      </c>
      <c r="E2263">
        <v>137000</v>
      </c>
      <c r="F2263" t="s">
        <v>548</v>
      </c>
      <c r="G2263">
        <v>1993</v>
      </c>
      <c r="H2263">
        <v>772</v>
      </c>
      <c r="I2263" t="s">
        <v>656</v>
      </c>
      <c r="J2263" t="s">
        <v>600</v>
      </c>
      <c r="K2263">
        <v>60002</v>
      </c>
      <c r="L2263">
        <v>1280</v>
      </c>
      <c r="M2263">
        <v>8</v>
      </c>
      <c r="N2263">
        <v>1</v>
      </c>
      <c r="O2263">
        <v>1</v>
      </c>
      <c r="P2263" t="s">
        <v>18</v>
      </c>
      <c r="Q2263">
        <v>2</v>
      </c>
      <c r="R2263">
        <v>0</v>
      </c>
      <c r="S2263" t="s">
        <v>21</v>
      </c>
      <c r="T2263">
        <v>2</v>
      </c>
      <c r="U2263">
        <v>0</v>
      </c>
    </row>
    <row r="2264" spans="1:21" x14ac:dyDescent="0.25">
      <c r="A2264" t="s">
        <v>657</v>
      </c>
      <c r="B2264" t="s">
        <v>15</v>
      </c>
      <c r="C2264" s="1">
        <v>43861</v>
      </c>
      <c r="D2264" s="2">
        <f>YEAR(C2264)</f>
        <v>2020</v>
      </c>
      <c r="E2264">
        <v>139000</v>
      </c>
      <c r="F2264" t="s">
        <v>548</v>
      </c>
      <c r="G2264">
        <v>1993</v>
      </c>
      <c r="H2264">
        <v>718</v>
      </c>
      <c r="I2264" t="s">
        <v>658</v>
      </c>
      <c r="J2264" t="s">
        <v>600</v>
      </c>
      <c r="K2264">
        <v>60002</v>
      </c>
      <c r="L2264">
        <v>1280</v>
      </c>
      <c r="M2264">
        <v>5</v>
      </c>
      <c r="N2264">
        <v>1</v>
      </c>
      <c r="O2264">
        <v>1</v>
      </c>
      <c r="P2264" t="s">
        <v>18</v>
      </c>
      <c r="Q2264">
        <v>2</v>
      </c>
      <c r="R2264">
        <v>0</v>
      </c>
      <c r="S2264" t="s">
        <v>21</v>
      </c>
      <c r="T2264">
        <v>2</v>
      </c>
      <c r="U2264">
        <v>0</v>
      </c>
    </row>
    <row r="2265" spans="1:21" x14ac:dyDescent="0.25">
      <c r="A2265" t="s">
        <v>659</v>
      </c>
      <c r="B2265" t="s">
        <v>15</v>
      </c>
      <c r="C2265" s="1">
        <v>43689</v>
      </c>
      <c r="D2265" s="2">
        <f>YEAR(C2265)</f>
        <v>2019</v>
      </c>
      <c r="E2265">
        <v>143000</v>
      </c>
      <c r="F2265" t="s">
        <v>548</v>
      </c>
      <c r="G2265">
        <v>1993</v>
      </c>
      <c r="H2265">
        <v>743</v>
      </c>
      <c r="I2265" t="s">
        <v>658</v>
      </c>
      <c r="J2265" t="s">
        <v>600</v>
      </c>
      <c r="K2265">
        <v>60002</v>
      </c>
      <c r="L2265">
        <v>1280</v>
      </c>
      <c r="M2265">
        <v>6</v>
      </c>
      <c r="N2265">
        <v>1</v>
      </c>
      <c r="O2265">
        <v>1</v>
      </c>
      <c r="P2265" t="s">
        <v>18</v>
      </c>
      <c r="Q2265">
        <v>2</v>
      </c>
      <c r="R2265">
        <v>0</v>
      </c>
      <c r="S2265" t="s">
        <v>21</v>
      </c>
      <c r="T2265">
        <v>2</v>
      </c>
      <c r="U2265">
        <v>0</v>
      </c>
    </row>
    <row r="2266" spans="1:21" x14ac:dyDescent="0.25">
      <c r="A2266" t="str">
        <f>"10406663"</f>
        <v>10406663</v>
      </c>
      <c r="B2266" t="s">
        <v>15</v>
      </c>
      <c r="C2266" s="1">
        <v>43668</v>
      </c>
      <c r="D2266" s="2">
        <f>YEAR(C2266)</f>
        <v>2019</v>
      </c>
      <c r="E2266">
        <v>162000</v>
      </c>
      <c r="F2266" t="s">
        <v>85</v>
      </c>
      <c r="G2266">
        <v>1950</v>
      </c>
      <c r="H2266">
        <v>42211</v>
      </c>
      <c r="I2266" t="s">
        <v>661</v>
      </c>
      <c r="J2266" t="str">
        <f>"2"</f>
        <v>2</v>
      </c>
      <c r="K2266">
        <v>60002</v>
      </c>
      <c r="L2266">
        <v>1300</v>
      </c>
      <c r="M2266">
        <v>4</v>
      </c>
      <c r="N2266">
        <v>1</v>
      </c>
      <c r="O2266">
        <v>0</v>
      </c>
      <c r="P2266" t="s">
        <v>18</v>
      </c>
      <c r="Q2266">
        <v>2</v>
      </c>
      <c r="R2266">
        <v>0</v>
      </c>
      <c r="S2266" t="s">
        <v>22</v>
      </c>
      <c r="T2266">
        <v>2.5</v>
      </c>
      <c r="U2266">
        <v>0</v>
      </c>
    </row>
    <row r="2267" spans="1:21" x14ac:dyDescent="0.25">
      <c r="A2267" t="str">
        <f>"10458638"</f>
        <v>10458638</v>
      </c>
      <c r="B2267" t="s">
        <v>15</v>
      </c>
      <c r="C2267" s="1">
        <v>43874</v>
      </c>
      <c r="D2267" s="2">
        <f>YEAR(C2267)</f>
        <v>2020</v>
      </c>
      <c r="E2267">
        <v>120000</v>
      </c>
      <c r="F2267" t="s">
        <v>85</v>
      </c>
      <c r="G2267">
        <v>1955</v>
      </c>
      <c r="H2267">
        <v>41851</v>
      </c>
      <c r="I2267" t="s">
        <v>53</v>
      </c>
      <c r="J2267" t="str">
        <f>"2"</f>
        <v>2</v>
      </c>
      <c r="K2267">
        <v>60002</v>
      </c>
      <c r="L2267">
        <v>1302</v>
      </c>
      <c r="M2267">
        <v>5</v>
      </c>
      <c r="N2267">
        <v>2</v>
      </c>
      <c r="O2267">
        <v>0</v>
      </c>
      <c r="P2267" t="s">
        <v>18</v>
      </c>
      <c r="Q2267">
        <v>3</v>
      </c>
      <c r="R2267">
        <v>0</v>
      </c>
      <c r="S2267" t="s">
        <v>22</v>
      </c>
      <c r="T2267">
        <v>3</v>
      </c>
      <c r="U2267">
        <v>0</v>
      </c>
    </row>
    <row r="2268" spans="1:21" x14ac:dyDescent="0.25">
      <c r="A2268" t="str">
        <f>"10795206"</f>
        <v>10795206</v>
      </c>
      <c r="B2268" t="s">
        <v>15</v>
      </c>
      <c r="C2268" s="1">
        <v>44082</v>
      </c>
      <c r="D2268" s="2">
        <f>YEAR(C2268)</f>
        <v>2020</v>
      </c>
      <c r="E2268">
        <v>173500</v>
      </c>
      <c r="F2268" t="s">
        <v>85</v>
      </c>
      <c r="G2268">
        <v>1965</v>
      </c>
      <c r="H2268">
        <v>25150</v>
      </c>
      <c r="I2268" t="s">
        <v>224</v>
      </c>
      <c r="J2268" t="str">
        <f>"2"</f>
        <v>2</v>
      </c>
      <c r="K2268">
        <v>60002</v>
      </c>
      <c r="L2268">
        <v>1302</v>
      </c>
      <c r="M2268">
        <v>6</v>
      </c>
      <c r="N2268">
        <v>2</v>
      </c>
      <c r="O2268">
        <v>0</v>
      </c>
      <c r="P2268" t="s">
        <v>18</v>
      </c>
      <c r="Q2268">
        <v>3</v>
      </c>
      <c r="R2268">
        <v>0</v>
      </c>
      <c r="S2268" t="s">
        <v>22</v>
      </c>
      <c r="T2268">
        <v>3</v>
      </c>
      <c r="U2268">
        <v>0</v>
      </c>
    </row>
    <row r="2269" spans="1:21" x14ac:dyDescent="0.25">
      <c r="A2269" t="str">
        <f>"10346748"</f>
        <v>10346748</v>
      </c>
      <c r="B2269" t="s">
        <v>15</v>
      </c>
      <c r="C2269" s="1">
        <v>43598</v>
      </c>
      <c r="D2269" s="2">
        <f>YEAR(C2269)</f>
        <v>2019</v>
      </c>
      <c r="E2269">
        <v>60000</v>
      </c>
      <c r="F2269" t="s">
        <v>85</v>
      </c>
      <c r="G2269">
        <v>1958</v>
      </c>
      <c r="H2269">
        <v>42521</v>
      </c>
      <c r="I2269" t="s">
        <v>592</v>
      </c>
      <c r="J2269" t="str">
        <f>"2"</f>
        <v>2</v>
      </c>
      <c r="K2269">
        <v>60002</v>
      </c>
      <c r="L2269">
        <v>1304</v>
      </c>
      <c r="M2269">
        <v>6</v>
      </c>
      <c r="N2269">
        <v>1</v>
      </c>
      <c r="O2269">
        <v>0</v>
      </c>
      <c r="P2269" t="s">
        <v>18</v>
      </c>
      <c r="Q2269">
        <v>3</v>
      </c>
      <c r="R2269">
        <v>0</v>
      </c>
      <c r="S2269" t="s">
        <v>22</v>
      </c>
      <c r="T2269">
        <v>3</v>
      </c>
      <c r="U2269">
        <v>0</v>
      </c>
    </row>
    <row r="2270" spans="1:21" x14ac:dyDescent="0.25">
      <c r="A2270" t="str">
        <f>"10679872"</f>
        <v>10679872</v>
      </c>
      <c r="B2270" t="s">
        <v>15</v>
      </c>
      <c r="C2270" s="1">
        <v>43995</v>
      </c>
      <c r="D2270" s="2">
        <f>YEAR(C2270)</f>
        <v>2020</v>
      </c>
      <c r="E2270">
        <v>116650</v>
      </c>
      <c r="F2270" t="s">
        <v>85</v>
      </c>
      <c r="G2270">
        <v>1953</v>
      </c>
      <c r="H2270">
        <v>26338</v>
      </c>
      <c r="I2270" t="s">
        <v>662</v>
      </c>
      <c r="J2270" t="str">
        <f>"2"</f>
        <v>2</v>
      </c>
      <c r="K2270">
        <v>60002</v>
      </c>
      <c r="L2270">
        <v>1312</v>
      </c>
      <c r="M2270">
        <v>6</v>
      </c>
      <c r="N2270">
        <v>2</v>
      </c>
      <c r="O2270">
        <v>0</v>
      </c>
      <c r="P2270" t="s">
        <v>18</v>
      </c>
      <c r="Q2270">
        <v>3</v>
      </c>
      <c r="R2270">
        <v>0</v>
      </c>
      <c r="S2270" t="s">
        <v>21</v>
      </c>
      <c r="T2270">
        <v>1</v>
      </c>
      <c r="U2270">
        <v>0</v>
      </c>
    </row>
    <row r="2271" spans="1:21" x14ac:dyDescent="0.25">
      <c r="A2271" t="s">
        <v>666</v>
      </c>
      <c r="B2271" t="s">
        <v>15</v>
      </c>
      <c r="C2271" s="1">
        <v>44022</v>
      </c>
      <c r="D2271" s="2">
        <f>YEAR(C2271)</f>
        <v>2020</v>
      </c>
      <c r="E2271">
        <v>138000</v>
      </c>
      <c r="F2271" t="s">
        <v>16</v>
      </c>
      <c r="G2271">
        <v>2006</v>
      </c>
      <c r="H2271">
        <v>1185</v>
      </c>
      <c r="I2271" t="s">
        <v>667</v>
      </c>
      <c r="J2271" t="s">
        <v>600</v>
      </c>
      <c r="K2271">
        <v>60002</v>
      </c>
      <c r="L2271">
        <v>1320</v>
      </c>
      <c r="M2271">
        <v>5</v>
      </c>
      <c r="N2271">
        <v>1</v>
      </c>
      <c r="O2271">
        <v>1</v>
      </c>
      <c r="P2271" t="s">
        <v>18</v>
      </c>
      <c r="Q2271">
        <v>3</v>
      </c>
      <c r="R2271">
        <v>0</v>
      </c>
      <c r="S2271" t="s">
        <v>21</v>
      </c>
      <c r="T2271">
        <v>2</v>
      </c>
      <c r="U2271">
        <v>0</v>
      </c>
    </row>
    <row r="2272" spans="1:21" x14ac:dyDescent="0.25">
      <c r="A2272" t="str">
        <f>"10697222"</f>
        <v>10697222</v>
      </c>
      <c r="B2272" t="s">
        <v>15</v>
      </c>
      <c r="C2272" s="1">
        <v>44007</v>
      </c>
      <c r="D2272" s="2">
        <f>YEAR(C2272)</f>
        <v>2020</v>
      </c>
      <c r="E2272">
        <v>231000</v>
      </c>
      <c r="F2272" t="s">
        <v>85</v>
      </c>
      <c r="G2272">
        <v>2006</v>
      </c>
      <c r="H2272">
        <v>25324</v>
      </c>
      <c r="I2272" t="s">
        <v>96</v>
      </c>
      <c r="J2272" t="str">
        <f>"2"</f>
        <v>2</v>
      </c>
      <c r="K2272">
        <v>60002</v>
      </c>
      <c r="L2272">
        <v>1320</v>
      </c>
      <c r="M2272">
        <v>6</v>
      </c>
      <c r="N2272">
        <v>2</v>
      </c>
      <c r="O2272">
        <v>0</v>
      </c>
      <c r="P2272" t="s">
        <v>18</v>
      </c>
      <c r="Q2272">
        <v>3</v>
      </c>
      <c r="R2272">
        <v>0</v>
      </c>
      <c r="S2272" t="s">
        <v>21</v>
      </c>
      <c r="T2272">
        <v>2</v>
      </c>
      <c r="U2272">
        <v>0</v>
      </c>
    </row>
    <row r="2273" spans="1:21" x14ac:dyDescent="0.25">
      <c r="A2273" t="str">
        <f>"10455080"</f>
        <v>10455080</v>
      </c>
      <c r="B2273" t="s">
        <v>15</v>
      </c>
      <c r="C2273" s="1">
        <v>43728</v>
      </c>
      <c r="D2273" s="2">
        <f>YEAR(C2273)</f>
        <v>2019</v>
      </c>
      <c r="E2273">
        <v>155000</v>
      </c>
      <c r="F2273" t="s">
        <v>85</v>
      </c>
      <c r="G2273">
        <v>1970</v>
      </c>
      <c r="H2273">
        <v>369</v>
      </c>
      <c r="I2273" t="s">
        <v>209</v>
      </c>
      <c r="J2273" t="str">
        <f>"2"</f>
        <v>2</v>
      </c>
      <c r="K2273">
        <v>60002</v>
      </c>
      <c r="L2273">
        <v>1320</v>
      </c>
      <c r="M2273">
        <v>7</v>
      </c>
      <c r="N2273">
        <v>1</v>
      </c>
      <c r="O2273">
        <v>1</v>
      </c>
      <c r="P2273" t="s">
        <v>18</v>
      </c>
      <c r="Q2273">
        <v>4</v>
      </c>
      <c r="R2273">
        <v>0</v>
      </c>
      <c r="S2273" t="s">
        <v>22</v>
      </c>
      <c r="T2273">
        <v>2.5</v>
      </c>
      <c r="U2273">
        <v>0</v>
      </c>
    </row>
    <row r="2274" spans="1:21" x14ac:dyDescent="0.25">
      <c r="A2274" t="str">
        <f>"10299810"</f>
        <v>10299810</v>
      </c>
      <c r="B2274" t="s">
        <v>15</v>
      </c>
      <c r="C2274" s="1">
        <v>43615</v>
      </c>
      <c r="D2274" s="2">
        <f>YEAR(C2274)</f>
        <v>2019</v>
      </c>
      <c r="E2274">
        <v>78000</v>
      </c>
      <c r="F2274" t="s">
        <v>85</v>
      </c>
      <c r="G2274">
        <v>1955</v>
      </c>
      <c r="H2274">
        <v>161</v>
      </c>
      <c r="I2274" t="s">
        <v>668</v>
      </c>
      <c r="J2274" t="str">
        <f>"2"</f>
        <v>2</v>
      </c>
      <c r="K2274">
        <v>60002</v>
      </c>
      <c r="L2274">
        <v>1326</v>
      </c>
      <c r="M2274">
        <v>6</v>
      </c>
      <c r="N2274">
        <v>1</v>
      </c>
      <c r="O2274">
        <v>1</v>
      </c>
      <c r="P2274" t="s">
        <v>18</v>
      </c>
      <c r="Q2274">
        <v>2</v>
      </c>
      <c r="R2274">
        <v>1</v>
      </c>
      <c r="S2274" t="s">
        <v>21</v>
      </c>
      <c r="T2274">
        <v>2</v>
      </c>
      <c r="U2274">
        <v>0</v>
      </c>
    </row>
    <row r="2275" spans="1:21" x14ac:dyDescent="0.25">
      <c r="A2275" t="str">
        <f>"10485669"</f>
        <v>10485669</v>
      </c>
      <c r="B2275" t="s">
        <v>15</v>
      </c>
      <c r="C2275" s="1">
        <v>43760</v>
      </c>
      <c r="D2275" s="2">
        <f>YEAR(C2275)</f>
        <v>2019</v>
      </c>
      <c r="E2275">
        <v>157500</v>
      </c>
      <c r="F2275" t="s">
        <v>85</v>
      </c>
      <c r="G2275">
        <v>1964</v>
      </c>
      <c r="H2275">
        <v>603</v>
      </c>
      <c r="I2275" t="s">
        <v>96</v>
      </c>
      <c r="J2275" t="str">
        <f>"2"</f>
        <v>2</v>
      </c>
      <c r="K2275">
        <v>60002</v>
      </c>
      <c r="L2275">
        <v>1326</v>
      </c>
      <c r="M2275">
        <v>6</v>
      </c>
      <c r="N2275">
        <v>1</v>
      </c>
      <c r="O2275">
        <v>0</v>
      </c>
      <c r="P2275" t="s">
        <v>18</v>
      </c>
      <c r="Q2275">
        <v>3</v>
      </c>
      <c r="R2275">
        <v>0</v>
      </c>
      <c r="S2275" t="s">
        <v>22</v>
      </c>
      <c r="T2275">
        <v>2</v>
      </c>
      <c r="U2275">
        <v>0</v>
      </c>
    </row>
    <row r="2276" spans="1:21" x14ac:dyDescent="0.25">
      <c r="A2276" t="str">
        <f>"10119418"</f>
        <v>10119418</v>
      </c>
      <c r="B2276" t="s">
        <v>15</v>
      </c>
      <c r="C2276" s="1">
        <v>43483</v>
      </c>
      <c r="D2276" s="2">
        <f>YEAR(C2276)</f>
        <v>2019</v>
      </c>
      <c r="E2276">
        <v>118557</v>
      </c>
      <c r="F2276" t="s">
        <v>85</v>
      </c>
      <c r="G2276">
        <v>1965</v>
      </c>
      <c r="H2276">
        <v>26142</v>
      </c>
      <c r="I2276" t="s">
        <v>591</v>
      </c>
      <c r="J2276" t="str">
        <f>"2"</f>
        <v>2</v>
      </c>
      <c r="K2276">
        <v>60002</v>
      </c>
      <c r="L2276">
        <v>1328</v>
      </c>
      <c r="M2276">
        <v>6</v>
      </c>
      <c r="N2276">
        <v>2</v>
      </c>
      <c r="O2276">
        <v>0</v>
      </c>
      <c r="P2276" t="s">
        <v>18</v>
      </c>
      <c r="Q2276">
        <v>3</v>
      </c>
      <c r="R2276">
        <v>0</v>
      </c>
      <c r="S2276" t="s">
        <v>22</v>
      </c>
      <c r="T2276">
        <v>2</v>
      </c>
      <c r="U2276">
        <v>0</v>
      </c>
    </row>
    <row r="2277" spans="1:21" x14ac:dyDescent="0.25">
      <c r="A2277" t="str">
        <f>"10353445"</f>
        <v>10353445</v>
      </c>
      <c r="B2277" t="s">
        <v>15</v>
      </c>
      <c r="C2277" s="1">
        <v>43630</v>
      </c>
      <c r="D2277" s="2">
        <f>YEAR(C2277)</f>
        <v>2019</v>
      </c>
      <c r="E2277">
        <v>200000</v>
      </c>
      <c r="F2277" t="s">
        <v>85</v>
      </c>
      <c r="G2277">
        <v>1997</v>
      </c>
      <c r="H2277">
        <v>680</v>
      </c>
      <c r="I2277" t="s">
        <v>669</v>
      </c>
      <c r="J2277" t="str">
        <f>"2"</f>
        <v>2</v>
      </c>
      <c r="K2277">
        <v>60002</v>
      </c>
      <c r="L2277">
        <v>1335</v>
      </c>
      <c r="M2277">
        <v>6</v>
      </c>
      <c r="N2277">
        <v>2</v>
      </c>
      <c r="O2277">
        <v>0</v>
      </c>
      <c r="P2277" t="s">
        <v>18</v>
      </c>
      <c r="Q2277">
        <v>3</v>
      </c>
      <c r="R2277">
        <v>0</v>
      </c>
      <c r="S2277" t="s">
        <v>21</v>
      </c>
      <c r="T2277">
        <v>2</v>
      </c>
      <c r="U2277">
        <v>0</v>
      </c>
    </row>
    <row r="2278" spans="1:21" x14ac:dyDescent="0.25">
      <c r="A2278" t="str">
        <f>"10310501"</f>
        <v>10310501</v>
      </c>
      <c r="B2278" t="s">
        <v>15</v>
      </c>
      <c r="C2278" s="1">
        <v>43585</v>
      </c>
      <c r="D2278" s="2">
        <f>YEAR(C2278)</f>
        <v>2019</v>
      </c>
      <c r="E2278">
        <v>197500</v>
      </c>
      <c r="F2278" t="s">
        <v>85</v>
      </c>
      <c r="G2278">
        <v>1964</v>
      </c>
      <c r="H2278">
        <v>26708</v>
      </c>
      <c r="I2278" t="s">
        <v>670</v>
      </c>
      <c r="J2278" t="str">
        <f>"2"</f>
        <v>2</v>
      </c>
      <c r="K2278">
        <v>60002</v>
      </c>
      <c r="L2278">
        <v>1336</v>
      </c>
      <c r="M2278">
        <v>7</v>
      </c>
      <c r="N2278">
        <v>2</v>
      </c>
      <c r="O2278">
        <v>0</v>
      </c>
      <c r="P2278" t="s">
        <v>18</v>
      </c>
      <c r="Q2278">
        <v>3</v>
      </c>
      <c r="R2278">
        <v>0</v>
      </c>
      <c r="S2278" t="s">
        <v>22</v>
      </c>
      <c r="T2278">
        <v>4</v>
      </c>
      <c r="U2278">
        <v>0</v>
      </c>
    </row>
    <row r="2279" spans="1:21" x14ac:dyDescent="0.25">
      <c r="A2279" t="str">
        <f>"10374899"</f>
        <v>10374899</v>
      </c>
      <c r="B2279" t="s">
        <v>15</v>
      </c>
      <c r="C2279" s="1">
        <v>43663</v>
      </c>
      <c r="D2279" s="2">
        <f>YEAR(C2279)</f>
        <v>2019</v>
      </c>
      <c r="E2279">
        <v>216000</v>
      </c>
      <c r="F2279" t="s">
        <v>85</v>
      </c>
      <c r="G2279">
        <v>1970</v>
      </c>
      <c r="H2279">
        <v>23845</v>
      </c>
      <c r="I2279" t="s">
        <v>671</v>
      </c>
      <c r="J2279" t="str">
        <f>"2"</f>
        <v>2</v>
      </c>
      <c r="K2279">
        <v>60002</v>
      </c>
      <c r="L2279">
        <v>1339</v>
      </c>
      <c r="M2279">
        <v>8</v>
      </c>
      <c r="N2279">
        <v>2</v>
      </c>
      <c r="O2279">
        <v>0</v>
      </c>
      <c r="P2279" t="s">
        <v>79</v>
      </c>
      <c r="Q2279">
        <v>4</v>
      </c>
      <c r="R2279">
        <v>0</v>
      </c>
      <c r="S2279" t="s">
        <v>21</v>
      </c>
      <c r="T2279">
        <v>2</v>
      </c>
      <c r="U2279">
        <v>0</v>
      </c>
    </row>
    <row r="2280" spans="1:21" x14ac:dyDescent="0.25">
      <c r="A2280" t="str">
        <f>"10379560"</f>
        <v>10379560</v>
      </c>
      <c r="B2280" t="s">
        <v>15</v>
      </c>
      <c r="C2280" s="1">
        <v>43641</v>
      </c>
      <c r="D2280" s="2">
        <f>YEAR(C2280)</f>
        <v>2019</v>
      </c>
      <c r="E2280">
        <v>250000</v>
      </c>
      <c r="F2280" t="s">
        <v>85</v>
      </c>
      <c r="G2280">
        <v>2002</v>
      </c>
      <c r="H2280">
        <v>41038</v>
      </c>
      <c r="I2280" t="s">
        <v>603</v>
      </c>
      <c r="J2280" t="str">
        <f>"2"</f>
        <v>2</v>
      </c>
      <c r="K2280">
        <v>60002</v>
      </c>
      <c r="L2280">
        <v>1344</v>
      </c>
      <c r="M2280">
        <v>6</v>
      </c>
      <c r="N2280">
        <v>2</v>
      </c>
      <c r="O2280">
        <v>0</v>
      </c>
      <c r="P2280" t="s">
        <v>18</v>
      </c>
      <c r="Q2280">
        <v>3</v>
      </c>
      <c r="R2280">
        <v>0</v>
      </c>
      <c r="S2280" t="s">
        <v>21</v>
      </c>
      <c r="T2280">
        <v>4</v>
      </c>
      <c r="U2280">
        <v>0</v>
      </c>
    </row>
    <row r="2281" spans="1:21" x14ac:dyDescent="0.25">
      <c r="A2281" t="str">
        <f>"10916444"</f>
        <v>10916444</v>
      </c>
      <c r="B2281" t="s">
        <v>15</v>
      </c>
      <c r="C2281" s="1">
        <v>44183</v>
      </c>
      <c r="D2281" s="2">
        <f>YEAR(C2281)</f>
        <v>2020</v>
      </c>
      <c r="E2281">
        <v>154500</v>
      </c>
      <c r="F2281" t="s">
        <v>85</v>
      </c>
      <c r="G2281">
        <v>1962</v>
      </c>
      <c r="H2281">
        <v>277</v>
      </c>
      <c r="I2281" t="s">
        <v>673</v>
      </c>
      <c r="J2281" t="str">
        <f>"2"</f>
        <v>2</v>
      </c>
      <c r="K2281">
        <v>60002</v>
      </c>
      <c r="L2281">
        <v>1350</v>
      </c>
      <c r="M2281">
        <v>6</v>
      </c>
      <c r="N2281">
        <v>1</v>
      </c>
      <c r="O2281">
        <v>0</v>
      </c>
      <c r="P2281" t="s">
        <v>18</v>
      </c>
      <c r="Q2281">
        <v>3</v>
      </c>
      <c r="R2281">
        <v>0</v>
      </c>
      <c r="S2281" t="s">
        <v>22</v>
      </c>
      <c r="T2281">
        <v>2.5</v>
      </c>
      <c r="U2281">
        <v>0</v>
      </c>
    </row>
    <row r="2282" spans="1:21" x14ac:dyDescent="0.25">
      <c r="A2282" t="s">
        <v>674</v>
      </c>
      <c r="B2282" t="s">
        <v>15</v>
      </c>
      <c r="C2282" s="1">
        <v>44172</v>
      </c>
      <c r="D2282" s="2">
        <f>YEAR(C2282)</f>
        <v>2020</v>
      </c>
      <c r="E2282">
        <v>159000</v>
      </c>
      <c r="F2282" t="s">
        <v>81</v>
      </c>
      <c r="G2282">
        <v>1991</v>
      </c>
      <c r="H2282">
        <v>416</v>
      </c>
      <c r="I2282" t="s">
        <v>675</v>
      </c>
      <c r="J2282" t="s">
        <v>600</v>
      </c>
      <c r="K2282">
        <v>60002</v>
      </c>
      <c r="L2282">
        <v>1351</v>
      </c>
      <c r="M2282">
        <v>6</v>
      </c>
      <c r="N2282">
        <v>2</v>
      </c>
      <c r="O2282">
        <v>0</v>
      </c>
      <c r="P2282" t="s">
        <v>18</v>
      </c>
      <c r="Q2282">
        <v>3</v>
      </c>
      <c r="R2282">
        <v>0</v>
      </c>
      <c r="S2282" t="s">
        <v>21</v>
      </c>
      <c r="T2282">
        <v>2</v>
      </c>
      <c r="U2282">
        <v>0</v>
      </c>
    </row>
    <row r="2283" spans="1:21" x14ac:dyDescent="0.25">
      <c r="A2283" t="s">
        <v>676</v>
      </c>
      <c r="B2283" t="s">
        <v>15</v>
      </c>
      <c r="C2283" s="1">
        <v>43668</v>
      </c>
      <c r="D2283" s="2">
        <f>YEAR(C2283)</f>
        <v>2019</v>
      </c>
      <c r="E2283">
        <v>154000</v>
      </c>
      <c r="F2283" t="s">
        <v>81</v>
      </c>
      <c r="G2283">
        <v>1993</v>
      </c>
      <c r="H2283">
        <v>595</v>
      </c>
      <c r="I2283" t="s">
        <v>677</v>
      </c>
      <c r="J2283" t="s">
        <v>600</v>
      </c>
      <c r="K2283">
        <v>60002</v>
      </c>
      <c r="L2283">
        <v>1356</v>
      </c>
      <c r="M2283">
        <v>8</v>
      </c>
      <c r="N2283">
        <v>2</v>
      </c>
      <c r="O2283">
        <v>1</v>
      </c>
      <c r="P2283" t="s">
        <v>79</v>
      </c>
      <c r="Q2283">
        <v>4</v>
      </c>
      <c r="R2283">
        <v>2</v>
      </c>
      <c r="S2283" t="s">
        <v>21</v>
      </c>
      <c r="T2283">
        <v>1</v>
      </c>
      <c r="U2283">
        <v>0</v>
      </c>
    </row>
    <row r="2284" spans="1:21" x14ac:dyDescent="0.25">
      <c r="A2284" t="str">
        <f>"10584433"</f>
        <v>10584433</v>
      </c>
      <c r="B2284" t="s">
        <v>15</v>
      </c>
      <c r="C2284" s="1">
        <v>43868</v>
      </c>
      <c r="D2284" s="2">
        <f>YEAR(C2284)</f>
        <v>2020</v>
      </c>
      <c r="E2284">
        <v>232500</v>
      </c>
      <c r="F2284" t="s">
        <v>85</v>
      </c>
      <c r="G2284">
        <v>1969</v>
      </c>
      <c r="H2284">
        <v>25452</v>
      </c>
      <c r="I2284" t="s">
        <v>678</v>
      </c>
      <c r="J2284" t="str">
        <f>"2"</f>
        <v>2</v>
      </c>
      <c r="K2284">
        <v>60002</v>
      </c>
      <c r="L2284">
        <v>1360</v>
      </c>
      <c r="M2284">
        <v>7</v>
      </c>
      <c r="N2284">
        <v>2</v>
      </c>
      <c r="O2284">
        <v>0</v>
      </c>
      <c r="P2284" t="s">
        <v>18</v>
      </c>
      <c r="Q2284">
        <v>3</v>
      </c>
      <c r="R2284">
        <v>0</v>
      </c>
      <c r="S2284" t="s">
        <v>22</v>
      </c>
      <c r="T2284">
        <v>2.5</v>
      </c>
      <c r="U2284">
        <v>0</v>
      </c>
    </row>
    <row r="2285" spans="1:21" x14ac:dyDescent="0.25">
      <c r="A2285" t="str">
        <f>"10663209"</f>
        <v>10663209</v>
      </c>
      <c r="B2285" t="s">
        <v>15</v>
      </c>
      <c r="C2285" s="1">
        <v>44060</v>
      </c>
      <c r="D2285" s="2">
        <f>YEAR(C2285)</f>
        <v>2020</v>
      </c>
      <c r="E2285">
        <v>215000</v>
      </c>
      <c r="F2285" t="s">
        <v>85</v>
      </c>
      <c r="G2285">
        <v>1988</v>
      </c>
      <c r="H2285">
        <v>40404</v>
      </c>
      <c r="I2285" t="s">
        <v>679</v>
      </c>
      <c r="J2285" t="str">
        <f>"2"</f>
        <v>2</v>
      </c>
      <c r="K2285">
        <v>60002</v>
      </c>
      <c r="L2285">
        <v>1362</v>
      </c>
      <c r="M2285">
        <v>4</v>
      </c>
      <c r="N2285">
        <v>2</v>
      </c>
      <c r="O2285">
        <v>0</v>
      </c>
      <c r="P2285" t="s">
        <v>18</v>
      </c>
      <c r="Q2285">
        <v>2</v>
      </c>
      <c r="R2285">
        <v>0</v>
      </c>
      <c r="S2285" t="s">
        <v>21</v>
      </c>
      <c r="T2285">
        <v>2.5</v>
      </c>
      <c r="U2285">
        <v>0</v>
      </c>
    </row>
    <row r="2286" spans="1:21" x14ac:dyDescent="0.25">
      <c r="A2286" t="str">
        <f>"10592913"</f>
        <v>10592913</v>
      </c>
      <c r="B2286" t="s">
        <v>15</v>
      </c>
      <c r="C2286" s="1">
        <v>44012</v>
      </c>
      <c r="D2286" s="2">
        <f>YEAR(C2286)</f>
        <v>2020</v>
      </c>
      <c r="E2286">
        <v>182500</v>
      </c>
      <c r="F2286" t="s">
        <v>85</v>
      </c>
      <c r="G2286">
        <v>1955</v>
      </c>
      <c r="H2286">
        <v>40767</v>
      </c>
      <c r="I2286" t="s">
        <v>680</v>
      </c>
      <c r="J2286" t="str">
        <f>"2"</f>
        <v>2</v>
      </c>
      <c r="K2286">
        <v>60002</v>
      </c>
      <c r="L2286">
        <v>1372</v>
      </c>
      <c r="M2286">
        <v>6</v>
      </c>
      <c r="N2286">
        <v>1</v>
      </c>
      <c r="O2286">
        <v>0</v>
      </c>
      <c r="P2286" t="s">
        <v>18</v>
      </c>
      <c r="Q2286">
        <v>3</v>
      </c>
      <c r="R2286">
        <v>0</v>
      </c>
      <c r="S2286" t="s">
        <v>22</v>
      </c>
      <c r="T2286">
        <v>1</v>
      </c>
      <c r="U2286">
        <v>0</v>
      </c>
    </row>
    <row r="2287" spans="1:21" x14ac:dyDescent="0.25">
      <c r="A2287" t="str">
        <f>"10042675"</f>
        <v>10042675</v>
      </c>
      <c r="B2287" t="s">
        <v>15</v>
      </c>
      <c r="C2287" s="1">
        <v>43490</v>
      </c>
      <c r="D2287" s="2">
        <f>YEAR(C2287)</f>
        <v>2019</v>
      </c>
      <c r="E2287">
        <v>150000</v>
      </c>
      <c r="F2287" t="s">
        <v>85</v>
      </c>
      <c r="G2287">
        <v>2000</v>
      </c>
      <c r="H2287">
        <v>45</v>
      </c>
      <c r="I2287" t="s">
        <v>682</v>
      </c>
      <c r="J2287" t="str">
        <f>"2"</f>
        <v>2</v>
      </c>
      <c r="K2287">
        <v>60002</v>
      </c>
      <c r="L2287">
        <v>1398</v>
      </c>
      <c r="M2287">
        <v>5</v>
      </c>
      <c r="N2287">
        <v>2</v>
      </c>
      <c r="O2287">
        <v>0</v>
      </c>
      <c r="P2287" t="s">
        <v>18</v>
      </c>
      <c r="Q2287">
        <v>2</v>
      </c>
      <c r="R2287">
        <v>0</v>
      </c>
      <c r="S2287" t="s">
        <v>21</v>
      </c>
      <c r="T2287">
        <v>2</v>
      </c>
      <c r="U2287">
        <v>0</v>
      </c>
    </row>
    <row r="2288" spans="1:21" x14ac:dyDescent="0.25">
      <c r="A2288" t="str">
        <f>"10093725"</f>
        <v>10093725</v>
      </c>
      <c r="B2288" t="s">
        <v>15</v>
      </c>
      <c r="C2288" s="1">
        <v>43602</v>
      </c>
      <c r="D2288" s="2">
        <f>YEAR(C2288)</f>
        <v>2019</v>
      </c>
      <c r="E2288">
        <v>225000</v>
      </c>
      <c r="F2288" t="s">
        <v>85</v>
      </c>
      <c r="G2288">
        <v>2019</v>
      </c>
      <c r="H2288">
        <v>26061</v>
      </c>
      <c r="I2288" t="s">
        <v>53</v>
      </c>
      <c r="J2288" t="str">
        <f>"2"</f>
        <v>2</v>
      </c>
      <c r="K2288">
        <v>60002</v>
      </c>
      <c r="L2288">
        <v>1400</v>
      </c>
      <c r="M2288">
        <v>6</v>
      </c>
      <c r="N2288">
        <v>2</v>
      </c>
      <c r="O2288">
        <v>0</v>
      </c>
      <c r="P2288" t="s">
        <v>18</v>
      </c>
      <c r="Q2288">
        <v>3</v>
      </c>
      <c r="R2288">
        <v>0</v>
      </c>
      <c r="S2288" t="s">
        <v>21</v>
      </c>
      <c r="T2288">
        <v>2</v>
      </c>
      <c r="U2288">
        <v>0</v>
      </c>
    </row>
    <row r="2289" spans="1:21" x14ac:dyDescent="0.25">
      <c r="A2289" t="str">
        <f>"10501034"</f>
        <v>10501034</v>
      </c>
      <c r="B2289" t="s">
        <v>15</v>
      </c>
      <c r="C2289" s="1">
        <v>43886</v>
      </c>
      <c r="D2289" s="2">
        <f>YEAR(C2289)</f>
        <v>2020</v>
      </c>
      <c r="E2289">
        <v>179000</v>
      </c>
      <c r="F2289" t="s">
        <v>85</v>
      </c>
      <c r="G2289">
        <v>1957</v>
      </c>
      <c r="H2289">
        <v>205</v>
      </c>
      <c r="I2289" t="s">
        <v>572</v>
      </c>
      <c r="J2289" t="str">
        <f>"2"</f>
        <v>2</v>
      </c>
      <c r="K2289">
        <v>60002</v>
      </c>
      <c r="L2289">
        <v>1400</v>
      </c>
      <c r="M2289">
        <v>6</v>
      </c>
      <c r="N2289">
        <v>2</v>
      </c>
      <c r="O2289">
        <v>0</v>
      </c>
      <c r="P2289" t="s">
        <v>18</v>
      </c>
      <c r="Q2289">
        <v>3</v>
      </c>
      <c r="R2289">
        <v>0</v>
      </c>
      <c r="S2289" t="s">
        <v>21</v>
      </c>
      <c r="T2289">
        <v>3</v>
      </c>
      <c r="U2289">
        <v>0</v>
      </c>
    </row>
    <row r="2290" spans="1:21" x14ac:dyDescent="0.25">
      <c r="A2290" t="str">
        <f>"10333386"</f>
        <v>10333386</v>
      </c>
      <c r="B2290" t="s">
        <v>15</v>
      </c>
      <c r="C2290" s="1">
        <v>43609</v>
      </c>
      <c r="D2290" s="2">
        <f>YEAR(C2290)</f>
        <v>2019</v>
      </c>
      <c r="E2290">
        <v>202500</v>
      </c>
      <c r="F2290" t="s">
        <v>85</v>
      </c>
      <c r="G2290">
        <v>1960</v>
      </c>
      <c r="H2290">
        <v>22737</v>
      </c>
      <c r="I2290" t="s">
        <v>683</v>
      </c>
      <c r="J2290" t="str">
        <f>"2"</f>
        <v>2</v>
      </c>
      <c r="K2290">
        <v>60002</v>
      </c>
      <c r="L2290">
        <v>1400</v>
      </c>
      <c r="M2290">
        <v>6</v>
      </c>
      <c r="N2290">
        <v>2</v>
      </c>
      <c r="O2290">
        <v>0</v>
      </c>
      <c r="P2290" t="s">
        <v>18</v>
      </c>
      <c r="Q2290">
        <v>3</v>
      </c>
      <c r="R2290">
        <v>0</v>
      </c>
      <c r="S2290" t="s">
        <v>22</v>
      </c>
      <c r="T2290">
        <v>2</v>
      </c>
      <c r="U2290">
        <v>0</v>
      </c>
    </row>
    <row r="2291" spans="1:21" x14ac:dyDescent="0.25">
      <c r="A2291" t="s">
        <v>684</v>
      </c>
      <c r="B2291" t="s">
        <v>15</v>
      </c>
      <c r="C2291" s="1">
        <v>44186</v>
      </c>
      <c r="D2291" s="2">
        <f>YEAR(C2291)</f>
        <v>2020</v>
      </c>
      <c r="E2291">
        <v>131000</v>
      </c>
      <c r="F2291" t="s">
        <v>16</v>
      </c>
      <c r="G2291">
        <v>2001</v>
      </c>
      <c r="H2291">
        <v>39843</v>
      </c>
      <c r="I2291" t="s">
        <v>104</v>
      </c>
      <c r="J2291" t="s">
        <v>600</v>
      </c>
      <c r="K2291">
        <v>60002</v>
      </c>
      <c r="L2291">
        <v>1402</v>
      </c>
      <c r="M2291">
        <v>5</v>
      </c>
      <c r="N2291">
        <v>2</v>
      </c>
      <c r="O2291">
        <v>0</v>
      </c>
      <c r="P2291" t="s">
        <v>18</v>
      </c>
      <c r="Q2291">
        <v>2</v>
      </c>
      <c r="R2291">
        <v>0</v>
      </c>
      <c r="S2291" t="s">
        <v>21</v>
      </c>
      <c r="T2291">
        <v>1</v>
      </c>
      <c r="U2291">
        <v>0</v>
      </c>
    </row>
    <row r="2292" spans="1:21" x14ac:dyDescent="0.25">
      <c r="A2292" t="s">
        <v>685</v>
      </c>
      <c r="B2292" t="s">
        <v>15</v>
      </c>
      <c r="C2292" s="1">
        <v>43822</v>
      </c>
      <c r="D2292" s="2">
        <f>YEAR(C2292)</f>
        <v>2019</v>
      </c>
      <c r="E2292">
        <v>139500</v>
      </c>
      <c r="F2292" t="s">
        <v>81</v>
      </c>
      <c r="G2292">
        <v>1993</v>
      </c>
      <c r="H2292">
        <v>475</v>
      </c>
      <c r="I2292" t="s">
        <v>644</v>
      </c>
      <c r="J2292" t="s">
        <v>600</v>
      </c>
      <c r="K2292">
        <v>60002</v>
      </c>
      <c r="L2292">
        <v>1404</v>
      </c>
      <c r="M2292">
        <v>4</v>
      </c>
      <c r="N2292">
        <v>2</v>
      </c>
      <c r="O2292">
        <v>1</v>
      </c>
      <c r="P2292" t="s">
        <v>18</v>
      </c>
      <c r="Q2292">
        <v>2</v>
      </c>
      <c r="R2292">
        <v>0</v>
      </c>
      <c r="S2292" t="s">
        <v>21</v>
      </c>
      <c r="T2292">
        <v>2.5</v>
      </c>
      <c r="U2292">
        <v>0</v>
      </c>
    </row>
    <row r="2293" spans="1:21" x14ac:dyDescent="0.25">
      <c r="A2293" t="str">
        <f>"10895415"</f>
        <v>10895415</v>
      </c>
      <c r="B2293" t="s">
        <v>15</v>
      </c>
      <c r="C2293" s="1">
        <v>44158</v>
      </c>
      <c r="D2293" s="2">
        <f>YEAR(C2293)</f>
        <v>2020</v>
      </c>
      <c r="E2293">
        <v>209000</v>
      </c>
      <c r="F2293" t="s">
        <v>85</v>
      </c>
      <c r="G2293">
        <v>1996</v>
      </c>
      <c r="H2293">
        <v>855</v>
      </c>
      <c r="I2293" t="s">
        <v>686</v>
      </c>
      <c r="J2293" t="str">
        <f>"2"</f>
        <v>2</v>
      </c>
      <c r="K2293">
        <v>60002</v>
      </c>
      <c r="L2293">
        <v>1409</v>
      </c>
      <c r="M2293">
        <v>6</v>
      </c>
      <c r="N2293">
        <v>2</v>
      </c>
      <c r="O2293">
        <v>1</v>
      </c>
      <c r="P2293" t="s">
        <v>18</v>
      </c>
      <c r="Q2293">
        <v>3</v>
      </c>
      <c r="R2293">
        <v>0</v>
      </c>
      <c r="S2293" t="s">
        <v>21</v>
      </c>
      <c r="T2293">
        <v>3</v>
      </c>
      <c r="U2293">
        <v>0</v>
      </c>
    </row>
    <row r="2294" spans="1:21" x14ac:dyDescent="0.25">
      <c r="A2294" t="str">
        <f>"10292228"</f>
        <v>10292228</v>
      </c>
      <c r="B2294" t="s">
        <v>15</v>
      </c>
      <c r="C2294" s="1">
        <v>43594</v>
      </c>
      <c r="D2294" s="2">
        <f>YEAR(C2294)</f>
        <v>2019</v>
      </c>
      <c r="E2294">
        <v>202000</v>
      </c>
      <c r="F2294" t="s">
        <v>85</v>
      </c>
      <c r="G2294">
        <v>1970</v>
      </c>
      <c r="H2294">
        <v>26615</v>
      </c>
      <c r="I2294" t="s">
        <v>687</v>
      </c>
      <c r="J2294" t="str">
        <f>"2"</f>
        <v>2</v>
      </c>
      <c r="K2294">
        <v>60002</v>
      </c>
      <c r="L2294">
        <v>1416</v>
      </c>
      <c r="M2294">
        <v>7</v>
      </c>
      <c r="N2294">
        <v>2</v>
      </c>
      <c r="O2294">
        <v>0</v>
      </c>
      <c r="P2294" t="s">
        <v>18</v>
      </c>
      <c r="Q2294">
        <v>3</v>
      </c>
      <c r="R2294">
        <v>0</v>
      </c>
      <c r="S2294" t="s">
        <v>21</v>
      </c>
      <c r="T2294">
        <v>2</v>
      </c>
      <c r="U2294">
        <v>0</v>
      </c>
    </row>
    <row r="2295" spans="1:21" x14ac:dyDescent="0.25">
      <c r="A2295" t="str">
        <f>"10548995"</f>
        <v>10548995</v>
      </c>
      <c r="B2295" t="s">
        <v>15</v>
      </c>
      <c r="C2295" s="1">
        <v>44032</v>
      </c>
      <c r="D2295" s="2">
        <f>YEAR(C2295)</f>
        <v>2020</v>
      </c>
      <c r="E2295">
        <v>160000</v>
      </c>
      <c r="F2295" t="s">
        <v>85</v>
      </c>
      <c r="G2295">
        <v>1964</v>
      </c>
      <c r="H2295">
        <v>40347</v>
      </c>
      <c r="I2295" t="s">
        <v>570</v>
      </c>
      <c r="J2295" t="str">
        <f>"2"</f>
        <v>2</v>
      </c>
      <c r="K2295">
        <v>60002</v>
      </c>
      <c r="L2295">
        <v>1427</v>
      </c>
      <c r="M2295">
        <v>6</v>
      </c>
      <c r="N2295">
        <v>1</v>
      </c>
      <c r="O2295">
        <v>0</v>
      </c>
      <c r="P2295" t="s">
        <v>18</v>
      </c>
      <c r="Q2295">
        <v>2</v>
      </c>
      <c r="R2295">
        <v>0</v>
      </c>
      <c r="S2295" t="s">
        <v>21</v>
      </c>
      <c r="T2295">
        <v>1</v>
      </c>
      <c r="U2295">
        <v>0</v>
      </c>
    </row>
    <row r="2296" spans="1:21" x14ac:dyDescent="0.25">
      <c r="A2296" t="s">
        <v>688</v>
      </c>
      <c r="B2296" t="s">
        <v>15</v>
      </c>
      <c r="C2296" s="1">
        <v>43959</v>
      </c>
      <c r="D2296" s="2">
        <f>YEAR(C2296)</f>
        <v>2020</v>
      </c>
      <c r="E2296">
        <v>170000</v>
      </c>
      <c r="F2296" t="s">
        <v>16</v>
      </c>
      <c r="G2296">
        <v>2005</v>
      </c>
      <c r="H2296">
        <v>1214</v>
      </c>
      <c r="I2296" t="s">
        <v>689</v>
      </c>
      <c r="J2296" t="s">
        <v>600</v>
      </c>
      <c r="K2296">
        <v>60002</v>
      </c>
      <c r="L2296">
        <v>1429</v>
      </c>
      <c r="M2296">
        <v>6</v>
      </c>
      <c r="N2296">
        <v>2</v>
      </c>
      <c r="O2296">
        <v>1</v>
      </c>
      <c r="P2296" t="s">
        <v>18</v>
      </c>
      <c r="Q2296">
        <v>3</v>
      </c>
      <c r="R2296">
        <v>0</v>
      </c>
      <c r="S2296" t="s">
        <v>21</v>
      </c>
      <c r="T2296">
        <v>2</v>
      </c>
      <c r="U2296">
        <v>0</v>
      </c>
    </row>
    <row r="2297" spans="1:21" x14ac:dyDescent="0.25">
      <c r="A2297" t="str">
        <f>"10126904"</f>
        <v>10126904</v>
      </c>
      <c r="B2297" t="s">
        <v>15</v>
      </c>
      <c r="C2297" s="1">
        <v>43525</v>
      </c>
      <c r="D2297" s="2">
        <f>YEAR(C2297)</f>
        <v>2019</v>
      </c>
      <c r="E2297">
        <v>165000</v>
      </c>
      <c r="F2297" t="s">
        <v>85</v>
      </c>
      <c r="G2297">
        <v>1955</v>
      </c>
      <c r="H2297">
        <v>41400</v>
      </c>
      <c r="I2297" t="s">
        <v>69</v>
      </c>
      <c r="J2297" t="str">
        <f>"2"</f>
        <v>2</v>
      </c>
      <c r="K2297">
        <v>60002</v>
      </c>
      <c r="L2297">
        <v>1436</v>
      </c>
      <c r="M2297">
        <v>6</v>
      </c>
      <c r="N2297">
        <v>2</v>
      </c>
      <c r="O2297">
        <v>0</v>
      </c>
      <c r="P2297" t="s">
        <v>18</v>
      </c>
      <c r="Q2297">
        <v>3</v>
      </c>
      <c r="R2297">
        <v>0</v>
      </c>
      <c r="S2297" t="s">
        <v>22</v>
      </c>
      <c r="T2297">
        <v>2.5</v>
      </c>
      <c r="U2297">
        <v>0</v>
      </c>
    </row>
    <row r="2298" spans="1:21" x14ac:dyDescent="0.25">
      <c r="A2298" t="str">
        <f>"10807904"</f>
        <v>10807904</v>
      </c>
      <c r="B2298" t="s">
        <v>15</v>
      </c>
      <c r="C2298" s="1">
        <v>44084</v>
      </c>
      <c r="D2298" s="2">
        <f>YEAR(C2298)</f>
        <v>2020</v>
      </c>
      <c r="E2298">
        <v>195000</v>
      </c>
      <c r="F2298" t="s">
        <v>85</v>
      </c>
      <c r="G2298">
        <v>1963</v>
      </c>
      <c r="H2298">
        <v>316</v>
      </c>
      <c r="I2298" t="s">
        <v>158</v>
      </c>
      <c r="J2298" t="str">
        <f>"2"</f>
        <v>2</v>
      </c>
      <c r="K2298">
        <v>60002</v>
      </c>
      <c r="L2298">
        <v>1437</v>
      </c>
      <c r="M2298">
        <v>6</v>
      </c>
      <c r="N2298">
        <v>2</v>
      </c>
      <c r="O2298">
        <v>0</v>
      </c>
      <c r="P2298" t="s">
        <v>18</v>
      </c>
      <c r="Q2298">
        <v>3</v>
      </c>
      <c r="R2298">
        <v>0</v>
      </c>
      <c r="S2298" t="s">
        <v>21</v>
      </c>
      <c r="T2298">
        <v>1.5</v>
      </c>
      <c r="U2298">
        <v>0</v>
      </c>
    </row>
    <row r="2299" spans="1:21" x14ac:dyDescent="0.25">
      <c r="A2299" t="s">
        <v>690</v>
      </c>
      <c r="B2299" t="s">
        <v>15</v>
      </c>
      <c r="C2299" s="1">
        <v>43769</v>
      </c>
      <c r="D2299" s="2">
        <f>YEAR(C2299)</f>
        <v>2019</v>
      </c>
      <c r="E2299">
        <v>152000</v>
      </c>
      <c r="F2299" t="s">
        <v>81</v>
      </c>
      <c r="G2299">
        <v>1989</v>
      </c>
      <c r="H2299">
        <v>423</v>
      </c>
      <c r="I2299" t="s">
        <v>633</v>
      </c>
      <c r="J2299" t="s">
        <v>600</v>
      </c>
      <c r="K2299">
        <v>60002</v>
      </c>
      <c r="L2299">
        <v>1446</v>
      </c>
      <c r="M2299">
        <v>6</v>
      </c>
      <c r="N2299">
        <v>2</v>
      </c>
      <c r="O2299">
        <v>1</v>
      </c>
      <c r="P2299" t="s">
        <v>18</v>
      </c>
      <c r="Q2299">
        <v>3</v>
      </c>
      <c r="R2299">
        <v>0</v>
      </c>
      <c r="S2299" t="s">
        <v>21</v>
      </c>
      <c r="T2299">
        <v>2</v>
      </c>
      <c r="U2299">
        <v>0</v>
      </c>
    </row>
    <row r="2300" spans="1:21" x14ac:dyDescent="0.25">
      <c r="A2300" t="str">
        <f>"10427703"</f>
        <v>10427703</v>
      </c>
      <c r="B2300" t="s">
        <v>15</v>
      </c>
      <c r="C2300" s="1">
        <v>43781</v>
      </c>
      <c r="D2300" s="2">
        <f>YEAR(C2300)</f>
        <v>2019</v>
      </c>
      <c r="E2300">
        <v>120000</v>
      </c>
      <c r="F2300" t="s">
        <v>85</v>
      </c>
      <c r="G2300">
        <v>1960</v>
      </c>
      <c r="H2300">
        <v>26160</v>
      </c>
      <c r="I2300" t="s">
        <v>398</v>
      </c>
      <c r="J2300" t="str">
        <f>"2"</f>
        <v>2</v>
      </c>
      <c r="K2300">
        <v>60002</v>
      </c>
      <c r="L2300">
        <v>1454</v>
      </c>
      <c r="M2300">
        <v>6</v>
      </c>
      <c r="N2300">
        <v>1</v>
      </c>
      <c r="O2300">
        <v>0</v>
      </c>
      <c r="P2300" t="s">
        <v>18</v>
      </c>
      <c r="Q2300">
        <v>3</v>
      </c>
      <c r="R2300">
        <v>0</v>
      </c>
      <c r="S2300" t="s">
        <v>22</v>
      </c>
      <c r="T2300">
        <v>2</v>
      </c>
      <c r="U2300">
        <v>0</v>
      </c>
    </row>
    <row r="2301" spans="1:21" x14ac:dyDescent="0.25">
      <c r="A2301" t="str">
        <f>"10788012"</f>
        <v>10788012</v>
      </c>
      <c r="B2301" t="s">
        <v>15</v>
      </c>
      <c r="C2301" s="1">
        <v>44076</v>
      </c>
      <c r="D2301" s="2">
        <f>YEAR(C2301)</f>
        <v>2020</v>
      </c>
      <c r="E2301">
        <v>185000</v>
      </c>
      <c r="F2301" t="s">
        <v>85</v>
      </c>
      <c r="G2301">
        <v>1963</v>
      </c>
      <c r="H2301">
        <v>142</v>
      </c>
      <c r="I2301" t="s">
        <v>94</v>
      </c>
      <c r="J2301" t="str">
        <f>"2"</f>
        <v>2</v>
      </c>
      <c r="K2301">
        <v>60002</v>
      </c>
      <c r="L2301">
        <v>1459</v>
      </c>
      <c r="M2301">
        <v>5</v>
      </c>
      <c r="N2301">
        <v>1</v>
      </c>
      <c r="O2301">
        <v>1</v>
      </c>
      <c r="P2301" t="s">
        <v>18</v>
      </c>
      <c r="Q2301">
        <v>3</v>
      </c>
      <c r="R2301">
        <v>0</v>
      </c>
      <c r="S2301" t="s">
        <v>22</v>
      </c>
      <c r="T2301">
        <v>2</v>
      </c>
      <c r="U2301">
        <v>0</v>
      </c>
    </row>
    <row r="2302" spans="1:21" x14ac:dyDescent="0.25">
      <c r="A2302" t="str">
        <f>"10619259"</f>
        <v>10619259</v>
      </c>
      <c r="B2302" t="s">
        <v>15</v>
      </c>
      <c r="C2302" s="1">
        <v>43980</v>
      </c>
      <c r="D2302" s="2">
        <f>YEAR(C2302)</f>
        <v>2020</v>
      </c>
      <c r="E2302">
        <v>207500</v>
      </c>
      <c r="F2302" t="s">
        <v>85</v>
      </c>
      <c r="G2302">
        <v>2004</v>
      </c>
      <c r="H2302">
        <v>26564</v>
      </c>
      <c r="I2302" t="s">
        <v>691</v>
      </c>
      <c r="J2302" t="str">
        <f>"2"</f>
        <v>2</v>
      </c>
      <c r="K2302">
        <v>60002</v>
      </c>
      <c r="L2302">
        <v>1464</v>
      </c>
      <c r="M2302">
        <v>8</v>
      </c>
      <c r="N2302">
        <v>3</v>
      </c>
      <c r="O2302">
        <v>0</v>
      </c>
      <c r="P2302" t="s">
        <v>79</v>
      </c>
      <c r="Q2302">
        <v>3</v>
      </c>
      <c r="R2302">
        <v>0</v>
      </c>
      <c r="S2302" t="s">
        <v>21</v>
      </c>
      <c r="T2302">
        <v>2</v>
      </c>
      <c r="U2302">
        <v>0</v>
      </c>
    </row>
    <row r="2303" spans="1:21" x14ac:dyDescent="0.25">
      <c r="A2303" t="str">
        <f>"10371270"</f>
        <v>10371270</v>
      </c>
      <c r="B2303" t="s">
        <v>15</v>
      </c>
      <c r="C2303" s="1">
        <v>43795</v>
      </c>
      <c r="D2303" s="2">
        <f>YEAR(C2303)</f>
        <v>2019</v>
      </c>
      <c r="E2303">
        <v>180000</v>
      </c>
      <c r="F2303" t="s">
        <v>85</v>
      </c>
      <c r="G2303">
        <v>1972</v>
      </c>
      <c r="H2303">
        <v>151</v>
      </c>
      <c r="I2303" t="s">
        <v>668</v>
      </c>
      <c r="J2303" t="str">
        <f>"2"</f>
        <v>2</v>
      </c>
      <c r="K2303">
        <v>60002</v>
      </c>
      <c r="L2303">
        <v>1470</v>
      </c>
      <c r="M2303">
        <v>6</v>
      </c>
      <c r="N2303">
        <v>2</v>
      </c>
      <c r="O2303">
        <v>0</v>
      </c>
      <c r="P2303" t="s">
        <v>18</v>
      </c>
      <c r="Q2303">
        <v>3</v>
      </c>
      <c r="R2303">
        <v>0</v>
      </c>
      <c r="S2303" t="s">
        <v>21</v>
      </c>
      <c r="T2303">
        <v>1</v>
      </c>
      <c r="U2303">
        <v>0</v>
      </c>
    </row>
    <row r="2304" spans="1:21" x14ac:dyDescent="0.25">
      <c r="A2304" t="s">
        <v>692</v>
      </c>
      <c r="B2304" t="s">
        <v>15</v>
      </c>
      <c r="C2304" s="1">
        <v>44064</v>
      </c>
      <c r="D2304" s="2">
        <f>YEAR(C2304)</f>
        <v>2020</v>
      </c>
      <c r="E2304">
        <v>143000</v>
      </c>
      <c r="F2304" t="s">
        <v>548</v>
      </c>
      <c r="G2304">
        <v>1993</v>
      </c>
      <c r="H2304">
        <v>745</v>
      </c>
      <c r="I2304" t="s">
        <v>658</v>
      </c>
      <c r="J2304" t="s">
        <v>600</v>
      </c>
      <c r="K2304">
        <v>60002</v>
      </c>
      <c r="L2304">
        <v>1471</v>
      </c>
      <c r="M2304">
        <v>7</v>
      </c>
      <c r="N2304">
        <v>1</v>
      </c>
      <c r="O2304">
        <v>1</v>
      </c>
      <c r="P2304" t="s">
        <v>18</v>
      </c>
      <c r="Q2304">
        <v>2</v>
      </c>
      <c r="R2304">
        <v>0</v>
      </c>
      <c r="S2304" t="s">
        <v>21</v>
      </c>
      <c r="T2304">
        <v>2</v>
      </c>
      <c r="U2304">
        <v>0</v>
      </c>
    </row>
    <row r="2305" spans="1:21" x14ac:dyDescent="0.25">
      <c r="A2305" t="str">
        <f>"10734883"</f>
        <v>10734883</v>
      </c>
      <c r="B2305" t="s">
        <v>15</v>
      </c>
      <c r="C2305" s="1">
        <v>44067</v>
      </c>
      <c r="D2305" s="2">
        <f>YEAR(C2305)</f>
        <v>2020</v>
      </c>
      <c r="E2305">
        <v>193000</v>
      </c>
      <c r="F2305" t="s">
        <v>85</v>
      </c>
      <c r="G2305" t="s">
        <v>560</v>
      </c>
      <c r="H2305">
        <v>40381</v>
      </c>
      <c r="I2305" t="s">
        <v>693</v>
      </c>
      <c r="J2305" t="str">
        <f>"2"</f>
        <v>2</v>
      </c>
      <c r="K2305">
        <v>60002</v>
      </c>
      <c r="L2305">
        <v>1472</v>
      </c>
      <c r="M2305">
        <v>6</v>
      </c>
      <c r="N2305">
        <v>1</v>
      </c>
      <c r="O2305">
        <v>0</v>
      </c>
      <c r="P2305" t="s">
        <v>18</v>
      </c>
      <c r="Q2305">
        <v>3</v>
      </c>
      <c r="R2305">
        <v>0</v>
      </c>
      <c r="S2305" t="s">
        <v>22</v>
      </c>
      <c r="T2305">
        <v>2</v>
      </c>
      <c r="U2305">
        <v>0</v>
      </c>
    </row>
    <row r="2306" spans="1:21" x14ac:dyDescent="0.25">
      <c r="A2306" t="str">
        <f>"10593875"</f>
        <v>10593875</v>
      </c>
      <c r="B2306" t="s">
        <v>15</v>
      </c>
      <c r="C2306" s="1">
        <v>43854</v>
      </c>
      <c r="D2306" s="2">
        <f>YEAR(C2306)</f>
        <v>2020</v>
      </c>
      <c r="E2306">
        <v>231000</v>
      </c>
      <c r="F2306" t="s">
        <v>85</v>
      </c>
      <c r="G2306">
        <v>2000</v>
      </c>
      <c r="H2306">
        <v>36</v>
      </c>
      <c r="I2306" t="s">
        <v>694</v>
      </c>
      <c r="J2306" t="str">
        <f>"2"</f>
        <v>2</v>
      </c>
      <c r="K2306">
        <v>60002</v>
      </c>
      <c r="L2306">
        <v>1475</v>
      </c>
      <c r="M2306">
        <v>7</v>
      </c>
      <c r="N2306">
        <v>3</v>
      </c>
      <c r="O2306">
        <v>0</v>
      </c>
      <c r="P2306" t="s">
        <v>79</v>
      </c>
      <c r="Q2306">
        <v>3</v>
      </c>
      <c r="R2306">
        <v>1</v>
      </c>
      <c r="S2306" t="s">
        <v>21</v>
      </c>
      <c r="T2306">
        <v>2</v>
      </c>
      <c r="U2306">
        <v>0</v>
      </c>
    </row>
    <row r="2307" spans="1:21" x14ac:dyDescent="0.25">
      <c r="A2307" t="str">
        <f>"10335350"</f>
        <v>10335350</v>
      </c>
      <c r="B2307" t="s">
        <v>15</v>
      </c>
      <c r="C2307" s="1">
        <v>43609</v>
      </c>
      <c r="D2307" s="2">
        <f>YEAR(C2307)</f>
        <v>2019</v>
      </c>
      <c r="E2307">
        <v>176000</v>
      </c>
      <c r="F2307" t="s">
        <v>85</v>
      </c>
      <c r="G2307">
        <v>1994</v>
      </c>
      <c r="H2307">
        <v>626</v>
      </c>
      <c r="I2307" t="s">
        <v>605</v>
      </c>
      <c r="J2307" t="str">
        <f>"2"</f>
        <v>2</v>
      </c>
      <c r="K2307">
        <v>60002</v>
      </c>
      <c r="L2307">
        <v>1476</v>
      </c>
      <c r="M2307">
        <v>6</v>
      </c>
      <c r="N2307">
        <v>2</v>
      </c>
      <c r="O2307">
        <v>0</v>
      </c>
      <c r="P2307" t="s">
        <v>18</v>
      </c>
      <c r="Q2307">
        <v>3</v>
      </c>
      <c r="R2307">
        <v>0</v>
      </c>
      <c r="S2307" t="s">
        <v>21</v>
      </c>
      <c r="T2307">
        <v>2</v>
      </c>
      <c r="U2307">
        <v>0</v>
      </c>
    </row>
    <row r="2308" spans="1:21" x14ac:dyDescent="0.25">
      <c r="A2308" t="str">
        <f>"10740880"</f>
        <v>10740880</v>
      </c>
      <c r="B2308" t="s">
        <v>15</v>
      </c>
      <c r="C2308" s="1">
        <v>44040</v>
      </c>
      <c r="D2308" s="2">
        <f>YEAR(C2308)</f>
        <v>2020</v>
      </c>
      <c r="E2308">
        <v>161000</v>
      </c>
      <c r="F2308" t="s">
        <v>85</v>
      </c>
      <c r="G2308" t="s">
        <v>560</v>
      </c>
      <c r="H2308">
        <v>40523</v>
      </c>
      <c r="I2308" t="s">
        <v>679</v>
      </c>
      <c r="J2308" t="str">
        <f>"2"</f>
        <v>2</v>
      </c>
      <c r="K2308">
        <v>60002</v>
      </c>
      <c r="L2308">
        <v>1478</v>
      </c>
      <c r="M2308">
        <v>8</v>
      </c>
      <c r="N2308">
        <v>1</v>
      </c>
      <c r="O2308">
        <v>0</v>
      </c>
      <c r="P2308" t="s">
        <v>18</v>
      </c>
      <c r="Q2308">
        <v>4</v>
      </c>
      <c r="R2308">
        <v>0</v>
      </c>
      <c r="S2308" t="s">
        <v>21</v>
      </c>
      <c r="T2308">
        <v>1</v>
      </c>
      <c r="U2308">
        <v>0</v>
      </c>
    </row>
    <row r="2309" spans="1:21" x14ac:dyDescent="0.25">
      <c r="A2309" t="s">
        <v>695</v>
      </c>
      <c r="B2309" t="s">
        <v>15</v>
      </c>
      <c r="C2309" s="1">
        <v>44167</v>
      </c>
      <c r="D2309" s="2">
        <f>YEAR(C2309)</f>
        <v>2020</v>
      </c>
      <c r="E2309">
        <v>173000</v>
      </c>
      <c r="F2309" t="s">
        <v>548</v>
      </c>
      <c r="G2309">
        <v>1996</v>
      </c>
      <c r="H2309">
        <v>39815</v>
      </c>
      <c r="I2309" t="s">
        <v>104</v>
      </c>
      <c r="J2309" t="s">
        <v>600</v>
      </c>
      <c r="K2309">
        <v>60002</v>
      </c>
      <c r="L2309">
        <v>1487</v>
      </c>
      <c r="M2309">
        <v>6</v>
      </c>
      <c r="N2309">
        <v>2</v>
      </c>
      <c r="O2309">
        <v>1</v>
      </c>
      <c r="P2309" t="s">
        <v>18</v>
      </c>
      <c r="Q2309">
        <v>2</v>
      </c>
      <c r="R2309">
        <v>0</v>
      </c>
      <c r="S2309" t="s">
        <v>21</v>
      </c>
      <c r="T2309">
        <v>2</v>
      </c>
      <c r="U2309">
        <v>0</v>
      </c>
    </row>
    <row r="2310" spans="1:21" x14ac:dyDescent="0.25">
      <c r="A2310" t="s">
        <v>696</v>
      </c>
      <c r="B2310" t="s">
        <v>15</v>
      </c>
      <c r="C2310" s="1">
        <v>44071</v>
      </c>
      <c r="D2310" s="2">
        <f>YEAR(C2310)</f>
        <v>2020</v>
      </c>
      <c r="E2310">
        <v>178000</v>
      </c>
      <c r="F2310" t="s">
        <v>548</v>
      </c>
      <c r="G2310">
        <v>1996</v>
      </c>
      <c r="H2310">
        <v>39823</v>
      </c>
      <c r="I2310" t="s">
        <v>104</v>
      </c>
      <c r="J2310" t="s">
        <v>600</v>
      </c>
      <c r="K2310">
        <v>60002</v>
      </c>
      <c r="L2310">
        <v>1487</v>
      </c>
      <c r="M2310">
        <v>6</v>
      </c>
      <c r="N2310">
        <v>2</v>
      </c>
      <c r="O2310">
        <v>1</v>
      </c>
      <c r="P2310" t="s">
        <v>18</v>
      </c>
      <c r="Q2310">
        <v>2</v>
      </c>
      <c r="R2310">
        <v>0</v>
      </c>
      <c r="S2310" t="s">
        <v>21</v>
      </c>
      <c r="T2310">
        <v>2</v>
      </c>
      <c r="U2310">
        <v>0</v>
      </c>
    </row>
    <row r="2311" spans="1:21" x14ac:dyDescent="0.25">
      <c r="A2311" t="s">
        <v>697</v>
      </c>
      <c r="B2311" t="s">
        <v>15</v>
      </c>
      <c r="C2311" s="1">
        <v>43773</v>
      </c>
      <c r="D2311" s="2">
        <f>YEAR(C2311)</f>
        <v>2019</v>
      </c>
      <c r="E2311">
        <v>160000</v>
      </c>
      <c r="F2311" t="s">
        <v>81</v>
      </c>
      <c r="G2311">
        <v>1991</v>
      </c>
      <c r="H2311">
        <v>432</v>
      </c>
      <c r="I2311" t="s">
        <v>644</v>
      </c>
      <c r="J2311" t="s">
        <v>600</v>
      </c>
      <c r="K2311">
        <v>60002</v>
      </c>
      <c r="L2311">
        <v>1500</v>
      </c>
      <c r="M2311">
        <v>6</v>
      </c>
      <c r="N2311">
        <v>2</v>
      </c>
      <c r="O2311">
        <v>1</v>
      </c>
      <c r="P2311" t="s">
        <v>18</v>
      </c>
      <c r="Q2311">
        <v>3</v>
      </c>
      <c r="R2311">
        <v>0</v>
      </c>
      <c r="S2311" t="s">
        <v>21</v>
      </c>
      <c r="T2311">
        <v>2.5</v>
      </c>
      <c r="U2311">
        <v>0</v>
      </c>
    </row>
    <row r="2312" spans="1:21" x14ac:dyDescent="0.25">
      <c r="A2312" t="str">
        <f>"10936215"</f>
        <v>10936215</v>
      </c>
      <c r="B2312" t="s">
        <v>15</v>
      </c>
      <c r="C2312" s="1">
        <v>44188</v>
      </c>
      <c r="D2312" s="2">
        <f>YEAR(C2312)</f>
        <v>2020</v>
      </c>
      <c r="E2312">
        <v>150000</v>
      </c>
      <c r="F2312" t="s">
        <v>85</v>
      </c>
      <c r="G2312">
        <v>1978</v>
      </c>
      <c r="H2312">
        <v>24921</v>
      </c>
      <c r="I2312" t="s">
        <v>698</v>
      </c>
      <c r="J2312" t="str">
        <f>"2"</f>
        <v>2</v>
      </c>
      <c r="K2312">
        <v>60002</v>
      </c>
      <c r="L2312">
        <v>1500</v>
      </c>
      <c r="M2312">
        <v>8</v>
      </c>
      <c r="N2312">
        <v>3</v>
      </c>
      <c r="O2312">
        <v>0</v>
      </c>
      <c r="P2312" t="s">
        <v>79</v>
      </c>
      <c r="Q2312">
        <v>3</v>
      </c>
      <c r="R2312">
        <v>0</v>
      </c>
      <c r="S2312" t="s">
        <v>21</v>
      </c>
      <c r="T2312">
        <v>2</v>
      </c>
      <c r="U2312">
        <v>0</v>
      </c>
    </row>
    <row r="2313" spans="1:21" x14ac:dyDescent="0.25">
      <c r="A2313" t="str">
        <f>"10855796"</f>
        <v>10855796</v>
      </c>
      <c r="B2313" t="s">
        <v>15</v>
      </c>
      <c r="C2313" s="1">
        <v>44119</v>
      </c>
      <c r="D2313" s="2">
        <f>YEAR(C2313)</f>
        <v>2020</v>
      </c>
      <c r="E2313">
        <v>360000</v>
      </c>
      <c r="F2313" t="s">
        <v>85</v>
      </c>
      <c r="G2313">
        <v>1963</v>
      </c>
      <c r="H2313">
        <v>41966</v>
      </c>
      <c r="I2313" t="s">
        <v>569</v>
      </c>
      <c r="J2313" t="str">
        <f>"2"</f>
        <v>2</v>
      </c>
      <c r="K2313">
        <v>60002</v>
      </c>
      <c r="L2313">
        <v>1500</v>
      </c>
      <c r="M2313">
        <v>8</v>
      </c>
      <c r="N2313">
        <v>2</v>
      </c>
      <c r="O2313">
        <v>0</v>
      </c>
      <c r="P2313" t="s">
        <v>79</v>
      </c>
      <c r="Q2313">
        <v>3</v>
      </c>
      <c r="R2313">
        <v>0</v>
      </c>
      <c r="S2313" t="s">
        <v>22</v>
      </c>
      <c r="T2313">
        <v>1</v>
      </c>
      <c r="U2313">
        <v>0</v>
      </c>
    </row>
    <row r="2314" spans="1:21" x14ac:dyDescent="0.25">
      <c r="A2314" t="str">
        <f>"10709364"</f>
        <v>10709364</v>
      </c>
      <c r="B2314" t="s">
        <v>15</v>
      </c>
      <c r="C2314" s="1">
        <v>44001</v>
      </c>
      <c r="D2314" s="2">
        <f>YEAR(C2314)</f>
        <v>2020</v>
      </c>
      <c r="E2314">
        <v>237000</v>
      </c>
      <c r="F2314" t="s">
        <v>85</v>
      </c>
      <c r="G2314">
        <v>1999</v>
      </c>
      <c r="H2314">
        <v>48</v>
      </c>
      <c r="I2314" t="s">
        <v>700</v>
      </c>
      <c r="J2314" t="str">
        <f>"2"</f>
        <v>2</v>
      </c>
      <c r="K2314">
        <v>60002</v>
      </c>
      <c r="L2314">
        <v>1502</v>
      </c>
      <c r="M2314">
        <v>8</v>
      </c>
      <c r="N2314">
        <v>2</v>
      </c>
      <c r="O2314">
        <v>0</v>
      </c>
      <c r="P2314" t="s">
        <v>18</v>
      </c>
      <c r="Q2314">
        <v>3</v>
      </c>
      <c r="R2314">
        <v>0</v>
      </c>
      <c r="S2314" t="s">
        <v>21</v>
      </c>
      <c r="T2314">
        <v>2</v>
      </c>
      <c r="U2314">
        <v>0</v>
      </c>
    </row>
    <row r="2315" spans="1:21" x14ac:dyDescent="0.25">
      <c r="A2315" t="s">
        <v>701</v>
      </c>
      <c r="B2315" t="s">
        <v>15</v>
      </c>
      <c r="C2315" s="1">
        <v>44085</v>
      </c>
      <c r="D2315" s="2">
        <f>YEAR(C2315)</f>
        <v>2020</v>
      </c>
      <c r="E2315">
        <v>175000</v>
      </c>
      <c r="F2315" t="s">
        <v>548</v>
      </c>
      <c r="G2315">
        <v>1996</v>
      </c>
      <c r="H2315">
        <v>39833</v>
      </c>
      <c r="I2315" t="s">
        <v>702</v>
      </c>
      <c r="J2315" t="s">
        <v>600</v>
      </c>
      <c r="K2315">
        <v>60002</v>
      </c>
      <c r="L2315">
        <v>1505</v>
      </c>
      <c r="M2315">
        <v>7</v>
      </c>
      <c r="N2315">
        <v>2</v>
      </c>
      <c r="O2315">
        <v>1</v>
      </c>
      <c r="P2315" t="s">
        <v>18</v>
      </c>
      <c r="Q2315">
        <v>2</v>
      </c>
      <c r="R2315">
        <v>0</v>
      </c>
      <c r="S2315" t="s">
        <v>21</v>
      </c>
      <c r="T2315">
        <v>2</v>
      </c>
      <c r="U2315">
        <v>0</v>
      </c>
    </row>
    <row r="2316" spans="1:21" x14ac:dyDescent="0.25">
      <c r="A2316" t="s">
        <v>703</v>
      </c>
      <c r="B2316" t="s">
        <v>15</v>
      </c>
      <c r="C2316" s="1">
        <v>43983</v>
      </c>
      <c r="D2316" s="2">
        <f>YEAR(C2316)</f>
        <v>2020</v>
      </c>
      <c r="E2316">
        <v>167000</v>
      </c>
      <c r="F2316" t="s">
        <v>16</v>
      </c>
      <c r="G2316">
        <v>1996</v>
      </c>
      <c r="H2316">
        <v>39757</v>
      </c>
      <c r="I2316" t="s">
        <v>622</v>
      </c>
      <c r="J2316" t="s">
        <v>600</v>
      </c>
      <c r="K2316">
        <v>60002</v>
      </c>
      <c r="L2316">
        <v>1505</v>
      </c>
      <c r="M2316">
        <v>6</v>
      </c>
      <c r="N2316">
        <v>2</v>
      </c>
      <c r="O2316">
        <v>2</v>
      </c>
      <c r="P2316" t="s">
        <v>79</v>
      </c>
      <c r="Q2316">
        <v>2</v>
      </c>
      <c r="R2316">
        <v>0</v>
      </c>
      <c r="S2316" t="s">
        <v>21</v>
      </c>
      <c r="T2316">
        <v>2</v>
      </c>
      <c r="U2316">
        <v>0</v>
      </c>
    </row>
    <row r="2317" spans="1:21" x14ac:dyDescent="0.25">
      <c r="A2317" t="str">
        <f>"10692540"</f>
        <v>10692540</v>
      </c>
      <c r="B2317" t="s">
        <v>15</v>
      </c>
      <c r="C2317" s="1">
        <v>43997</v>
      </c>
      <c r="D2317" s="2">
        <f>YEAR(C2317)</f>
        <v>2020</v>
      </c>
      <c r="E2317">
        <v>192000</v>
      </c>
      <c r="F2317" t="s">
        <v>85</v>
      </c>
      <c r="G2317">
        <v>1970</v>
      </c>
      <c r="H2317">
        <v>591</v>
      </c>
      <c r="I2317" t="s">
        <v>96</v>
      </c>
      <c r="J2317" t="str">
        <f>"2"</f>
        <v>2</v>
      </c>
      <c r="K2317">
        <v>60002</v>
      </c>
      <c r="L2317">
        <v>1506</v>
      </c>
      <c r="M2317">
        <v>6</v>
      </c>
      <c r="N2317">
        <v>2</v>
      </c>
      <c r="O2317">
        <v>0</v>
      </c>
      <c r="P2317" t="s">
        <v>79</v>
      </c>
      <c r="Q2317">
        <v>3</v>
      </c>
      <c r="R2317">
        <v>0</v>
      </c>
      <c r="S2317" t="s">
        <v>22</v>
      </c>
      <c r="T2317">
        <v>1</v>
      </c>
      <c r="U2317">
        <v>0</v>
      </c>
    </row>
    <row r="2318" spans="1:21" x14ac:dyDescent="0.25">
      <c r="A2318" t="str">
        <f>"10685097"</f>
        <v>10685097</v>
      </c>
      <c r="B2318" t="s">
        <v>15</v>
      </c>
      <c r="C2318" s="1">
        <v>43987</v>
      </c>
      <c r="D2318" s="2">
        <f>YEAR(C2318)</f>
        <v>2020</v>
      </c>
      <c r="E2318">
        <v>198900</v>
      </c>
      <c r="F2318" t="s">
        <v>85</v>
      </c>
      <c r="G2318">
        <v>1972</v>
      </c>
      <c r="H2318">
        <v>301</v>
      </c>
      <c r="I2318" t="s">
        <v>572</v>
      </c>
      <c r="J2318" t="str">
        <f>"2"</f>
        <v>2</v>
      </c>
      <c r="K2318">
        <v>60002</v>
      </c>
      <c r="L2318">
        <v>1512</v>
      </c>
      <c r="M2318">
        <v>7</v>
      </c>
      <c r="N2318">
        <v>2</v>
      </c>
      <c r="O2318">
        <v>0</v>
      </c>
      <c r="P2318" t="s">
        <v>18</v>
      </c>
      <c r="Q2318">
        <v>3</v>
      </c>
      <c r="R2318">
        <v>0</v>
      </c>
      <c r="S2318" t="s">
        <v>22</v>
      </c>
      <c r="T2318">
        <v>2.5</v>
      </c>
      <c r="U2318">
        <v>0</v>
      </c>
    </row>
    <row r="2319" spans="1:21" x14ac:dyDescent="0.25">
      <c r="A2319" t="str">
        <f>"10128705"</f>
        <v>10128705</v>
      </c>
      <c r="B2319" t="s">
        <v>15</v>
      </c>
      <c r="C2319" s="1">
        <v>43539</v>
      </c>
      <c r="D2319" s="2">
        <f>YEAR(C2319)</f>
        <v>2019</v>
      </c>
      <c r="E2319">
        <v>169000</v>
      </c>
      <c r="F2319" t="s">
        <v>85</v>
      </c>
      <c r="G2319">
        <v>1972</v>
      </c>
      <c r="H2319">
        <v>333</v>
      </c>
      <c r="I2319" t="s">
        <v>705</v>
      </c>
      <c r="J2319" t="str">
        <f>"2"</f>
        <v>2</v>
      </c>
      <c r="K2319">
        <v>60002</v>
      </c>
      <c r="L2319">
        <v>1512</v>
      </c>
      <c r="M2319">
        <v>9</v>
      </c>
      <c r="N2319">
        <v>2</v>
      </c>
      <c r="O2319">
        <v>0</v>
      </c>
      <c r="P2319" t="s">
        <v>79</v>
      </c>
      <c r="Q2319">
        <v>3</v>
      </c>
      <c r="R2319">
        <v>0</v>
      </c>
      <c r="S2319" t="s">
        <v>22</v>
      </c>
      <c r="T2319">
        <v>2</v>
      </c>
      <c r="U2319">
        <v>0</v>
      </c>
    </row>
    <row r="2320" spans="1:21" x14ac:dyDescent="0.25">
      <c r="A2320" t="str">
        <f>"10658301"</f>
        <v>10658301</v>
      </c>
      <c r="B2320" t="s">
        <v>15</v>
      </c>
      <c r="C2320" s="1">
        <v>43950</v>
      </c>
      <c r="D2320" s="2">
        <f>YEAR(C2320)</f>
        <v>2020</v>
      </c>
      <c r="E2320">
        <v>152500</v>
      </c>
      <c r="F2320" t="s">
        <v>85</v>
      </c>
      <c r="G2320">
        <v>1962</v>
      </c>
      <c r="H2320">
        <v>345</v>
      </c>
      <c r="I2320" t="s">
        <v>673</v>
      </c>
      <c r="J2320" t="str">
        <f>"2"</f>
        <v>2</v>
      </c>
      <c r="K2320">
        <v>60002</v>
      </c>
      <c r="L2320">
        <v>1512</v>
      </c>
      <c r="M2320">
        <v>7</v>
      </c>
      <c r="N2320">
        <v>2</v>
      </c>
      <c r="O2320">
        <v>0</v>
      </c>
      <c r="P2320" t="s">
        <v>79</v>
      </c>
      <c r="Q2320">
        <v>4</v>
      </c>
      <c r="R2320">
        <v>0</v>
      </c>
      <c r="S2320" t="s">
        <v>22</v>
      </c>
      <c r="T2320">
        <v>2.5</v>
      </c>
      <c r="U2320">
        <v>0</v>
      </c>
    </row>
    <row r="2321" spans="1:21" x14ac:dyDescent="0.25">
      <c r="A2321" t="str">
        <f>"10471883"</f>
        <v>10471883</v>
      </c>
      <c r="B2321" t="s">
        <v>15</v>
      </c>
      <c r="C2321" s="1">
        <v>43734</v>
      </c>
      <c r="D2321" s="2">
        <f>YEAR(C2321)</f>
        <v>2019</v>
      </c>
      <c r="E2321">
        <v>184900</v>
      </c>
      <c r="F2321" t="s">
        <v>85</v>
      </c>
      <c r="G2321">
        <v>1963</v>
      </c>
      <c r="H2321">
        <v>26547</v>
      </c>
      <c r="I2321" t="s">
        <v>129</v>
      </c>
      <c r="J2321" t="str">
        <f>"2"</f>
        <v>2</v>
      </c>
      <c r="K2321">
        <v>60002</v>
      </c>
      <c r="L2321">
        <v>1512</v>
      </c>
      <c r="M2321">
        <v>8</v>
      </c>
      <c r="N2321">
        <v>1</v>
      </c>
      <c r="O2321">
        <v>0</v>
      </c>
      <c r="P2321" t="s">
        <v>18</v>
      </c>
      <c r="Q2321">
        <v>4</v>
      </c>
      <c r="R2321">
        <v>0</v>
      </c>
      <c r="S2321" t="s">
        <v>22</v>
      </c>
      <c r="T2321">
        <v>1.5</v>
      </c>
      <c r="U2321">
        <v>0</v>
      </c>
    </row>
    <row r="2322" spans="1:21" x14ac:dyDescent="0.25">
      <c r="A2322" t="s">
        <v>706</v>
      </c>
      <c r="B2322" t="s">
        <v>15</v>
      </c>
      <c r="C2322" s="1">
        <v>44069</v>
      </c>
      <c r="D2322" s="2">
        <f>YEAR(C2322)</f>
        <v>2020</v>
      </c>
      <c r="E2322">
        <v>138000</v>
      </c>
      <c r="F2322" t="s">
        <v>548</v>
      </c>
      <c r="G2322">
        <v>2005</v>
      </c>
      <c r="H2322">
        <v>1195</v>
      </c>
      <c r="I2322" t="s">
        <v>667</v>
      </c>
      <c r="J2322" t="s">
        <v>600</v>
      </c>
      <c r="K2322">
        <v>60002</v>
      </c>
      <c r="L2322">
        <v>1516</v>
      </c>
      <c r="M2322">
        <v>6</v>
      </c>
      <c r="N2322">
        <v>2</v>
      </c>
      <c r="O2322">
        <v>1</v>
      </c>
      <c r="P2322" t="s">
        <v>18</v>
      </c>
      <c r="Q2322">
        <v>3</v>
      </c>
      <c r="R2322">
        <v>0</v>
      </c>
      <c r="S2322" t="s">
        <v>21</v>
      </c>
      <c r="T2322">
        <v>2</v>
      </c>
      <c r="U2322">
        <v>0</v>
      </c>
    </row>
    <row r="2323" spans="1:21" x14ac:dyDescent="0.25">
      <c r="A2323" t="s">
        <v>707</v>
      </c>
      <c r="B2323" t="s">
        <v>15</v>
      </c>
      <c r="C2323" s="1">
        <v>44085</v>
      </c>
      <c r="D2323" s="2">
        <f>YEAR(C2323)</f>
        <v>2020</v>
      </c>
      <c r="E2323">
        <v>172500</v>
      </c>
      <c r="F2323" t="s">
        <v>548</v>
      </c>
      <c r="G2323">
        <v>2006</v>
      </c>
      <c r="H2323">
        <v>1192</v>
      </c>
      <c r="I2323" t="s">
        <v>708</v>
      </c>
      <c r="J2323" t="s">
        <v>600</v>
      </c>
      <c r="K2323">
        <v>60002</v>
      </c>
      <c r="L2323">
        <v>1516</v>
      </c>
      <c r="M2323">
        <v>7</v>
      </c>
      <c r="N2323">
        <v>3</v>
      </c>
      <c r="O2323">
        <v>0</v>
      </c>
      <c r="P2323" t="s">
        <v>18</v>
      </c>
      <c r="Q2323">
        <v>3</v>
      </c>
      <c r="R2323">
        <v>0</v>
      </c>
      <c r="S2323" t="s">
        <v>21</v>
      </c>
      <c r="T2323">
        <v>2</v>
      </c>
      <c r="U2323">
        <v>0</v>
      </c>
    </row>
    <row r="2324" spans="1:21" x14ac:dyDescent="0.25">
      <c r="A2324" t="s">
        <v>709</v>
      </c>
      <c r="B2324" t="s">
        <v>15</v>
      </c>
      <c r="C2324" s="1">
        <v>43973</v>
      </c>
      <c r="D2324" s="2">
        <f>YEAR(C2324)</f>
        <v>2020</v>
      </c>
      <c r="E2324">
        <v>147000</v>
      </c>
      <c r="F2324" t="s">
        <v>548</v>
      </c>
      <c r="G2324">
        <v>2005</v>
      </c>
      <c r="H2324">
        <v>1266</v>
      </c>
      <c r="I2324" t="s">
        <v>665</v>
      </c>
      <c r="J2324" t="s">
        <v>600</v>
      </c>
      <c r="K2324">
        <v>60002</v>
      </c>
      <c r="L2324">
        <v>1516</v>
      </c>
      <c r="M2324">
        <v>7</v>
      </c>
      <c r="N2324">
        <v>2</v>
      </c>
      <c r="O2324">
        <v>1</v>
      </c>
      <c r="P2324" t="s">
        <v>18</v>
      </c>
      <c r="Q2324">
        <v>3</v>
      </c>
      <c r="R2324">
        <v>0</v>
      </c>
      <c r="S2324" t="s">
        <v>21</v>
      </c>
      <c r="T2324">
        <v>2</v>
      </c>
      <c r="U2324">
        <v>0</v>
      </c>
    </row>
    <row r="2325" spans="1:21" x14ac:dyDescent="0.25">
      <c r="A2325" t="str">
        <f>"10434555"</f>
        <v>10434555</v>
      </c>
      <c r="B2325" t="s">
        <v>15</v>
      </c>
      <c r="C2325" s="1">
        <v>43677</v>
      </c>
      <c r="D2325" s="2">
        <f>YEAR(C2325)</f>
        <v>2019</v>
      </c>
      <c r="E2325">
        <v>249000</v>
      </c>
      <c r="F2325" t="s">
        <v>85</v>
      </c>
      <c r="G2325">
        <v>2003</v>
      </c>
      <c r="H2325">
        <v>1000</v>
      </c>
      <c r="I2325" t="s">
        <v>710</v>
      </c>
      <c r="J2325" t="str">
        <f>"2"</f>
        <v>2</v>
      </c>
      <c r="K2325">
        <v>60002</v>
      </c>
      <c r="L2325">
        <v>1517</v>
      </c>
      <c r="M2325">
        <v>9</v>
      </c>
      <c r="N2325">
        <v>2</v>
      </c>
      <c r="O2325">
        <v>1</v>
      </c>
      <c r="P2325" t="s">
        <v>79</v>
      </c>
      <c r="Q2325">
        <v>3</v>
      </c>
      <c r="R2325">
        <v>0</v>
      </c>
      <c r="S2325" t="s">
        <v>21</v>
      </c>
      <c r="T2325">
        <v>3</v>
      </c>
      <c r="U2325">
        <v>0</v>
      </c>
    </row>
    <row r="2326" spans="1:21" x14ac:dyDescent="0.25">
      <c r="A2326" t="str">
        <f>"10471082"</f>
        <v>10471082</v>
      </c>
      <c r="B2326" t="s">
        <v>15</v>
      </c>
      <c r="C2326" s="1">
        <v>43720</v>
      </c>
      <c r="D2326" s="2">
        <f>YEAR(C2326)</f>
        <v>2019</v>
      </c>
      <c r="E2326">
        <v>240000</v>
      </c>
      <c r="F2326" t="s">
        <v>85</v>
      </c>
      <c r="G2326">
        <v>2004</v>
      </c>
      <c r="H2326">
        <v>789</v>
      </c>
      <c r="I2326" t="s">
        <v>712</v>
      </c>
      <c r="J2326" t="str">
        <f>"2"</f>
        <v>2</v>
      </c>
      <c r="K2326">
        <v>60002</v>
      </c>
      <c r="L2326">
        <v>1518</v>
      </c>
      <c r="M2326">
        <v>8</v>
      </c>
      <c r="N2326">
        <v>3</v>
      </c>
      <c r="O2326">
        <v>0</v>
      </c>
      <c r="P2326" t="s">
        <v>79</v>
      </c>
      <c r="Q2326">
        <v>3</v>
      </c>
      <c r="R2326">
        <v>0</v>
      </c>
      <c r="S2326" t="s">
        <v>21</v>
      </c>
      <c r="T2326">
        <v>3</v>
      </c>
      <c r="U2326">
        <v>0</v>
      </c>
    </row>
    <row r="2327" spans="1:21" x14ac:dyDescent="0.25">
      <c r="A2327" t="str">
        <f>"10143575"</f>
        <v>10143575</v>
      </c>
      <c r="B2327" t="s">
        <v>15</v>
      </c>
      <c r="C2327" s="1">
        <v>43518</v>
      </c>
      <c r="D2327" s="2">
        <f>YEAR(C2327)</f>
        <v>2019</v>
      </c>
      <c r="E2327">
        <v>215000</v>
      </c>
      <c r="F2327" t="s">
        <v>85</v>
      </c>
      <c r="G2327">
        <v>1986</v>
      </c>
      <c r="H2327">
        <v>24186</v>
      </c>
      <c r="I2327" t="s">
        <v>713</v>
      </c>
      <c r="J2327" t="str">
        <f>"2"</f>
        <v>2</v>
      </c>
      <c r="K2327">
        <v>60002</v>
      </c>
      <c r="L2327">
        <v>1524</v>
      </c>
      <c r="M2327">
        <v>6</v>
      </c>
      <c r="N2327">
        <v>2</v>
      </c>
      <c r="O2327">
        <v>0</v>
      </c>
      <c r="P2327" t="s">
        <v>18</v>
      </c>
      <c r="Q2327">
        <v>3</v>
      </c>
      <c r="R2327">
        <v>0</v>
      </c>
      <c r="S2327" t="s">
        <v>21</v>
      </c>
      <c r="T2327">
        <v>3</v>
      </c>
      <c r="U2327">
        <v>0</v>
      </c>
    </row>
    <row r="2328" spans="1:21" x14ac:dyDescent="0.25">
      <c r="A2328" t="str">
        <f>"10792217"</f>
        <v>10792217</v>
      </c>
      <c r="B2328" t="s">
        <v>15</v>
      </c>
      <c r="C2328" s="1">
        <v>44089</v>
      </c>
      <c r="D2328" s="2">
        <f>YEAR(C2328)</f>
        <v>2020</v>
      </c>
      <c r="E2328">
        <v>125000</v>
      </c>
      <c r="F2328" t="s">
        <v>85</v>
      </c>
      <c r="G2328">
        <v>1955</v>
      </c>
      <c r="H2328">
        <v>23565</v>
      </c>
      <c r="I2328" t="s">
        <v>714</v>
      </c>
      <c r="J2328" t="str">
        <f>"2"</f>
        <v>2</v>
      </c>
      <c r="K2328">
        <v>60002</v>
      </c>
      <c r="L2328">
        <v>1532</v>
      </c>
      <c r="M2328">
        <v>7</v>
      </c>
      <c r="N2328">
        <v>1</v>
      </c>
      <c r="O2328">
        <v>1</v>
      </c>
      <c r="P2328" t="s">
        <v>18</v>
      </c>
      <c r="Q2328">
        <v>3</v>
      </c>
      <c r="R2328">
        <v>0</v>
      </c>
      <c r="S2328" t="s">
        <v>22</v>
      </c>
      <c r="T2328">
        <v>2.5</v>
      </c>
      <c r="U2328">
        <v>0</v>
      </c>
    </row>
    <row r="2329" spans="1:21" x14ac:dyDescent="0.25">
      <c r="A2329" t="str">
        <f>"10550199"</f>
        <v>10550199</v>
      </c>
      <c r="B2329" t="s">
        <v>15</v>
      </c>
      <c r="C2329" s="1">
        <v>43829</v>
      </c>
      <c r="D2329" s="2">
        <f>YEAR(C2329)</f>
        <v>2019</v>
      </c>
      <c r="E2329">
        <v>140000</v>
      </c>
      <c r="F2329" t="s">
        <v>85</v>
      </c>
      <c r="G2329">
        <v>1972</v>
      </c>
      <c r="H2329">
        <v>465</v>
      </c>
      <c r="I2329" t="s">
        <v>209</v>
      </c>
      <c r="J2329" t="str">
        <f>"2"</f>
        <v>2</v>
      </c>
      <c r="K2329">
        <v>60002</v>
      </c>
      <c r="L2329">
        <v>1532</v>
      </c>
      <c r="M2329">
        <v>7</v>
      </c>
      <c r="N2329">
        <v>1</v>
      </c>
      <c r="O2329">
        <v>0</v>
      </c>
      <c r="P2329" t="s">
        <v>18</v>
      </c>
      <c r="Q2329">
        <v>3</v>
      </c>
      <c r="R2329">
        <v>0</v>
      </c>
      <c r="S2329" t="s">
        <v>22</v>
      </c>
      <c r="T2329">
        <v>2.5</v>
      </c>
      <c r="U2329">
        <v>0</v>
      </c>
    </row>
    <row r="2330" spans="1:21" x14ac:dyDescent="0.25">
      <c r="A2330" t="str">
        <f>"10758718"</f>
        <v>10758718</v>
      </c>
      <c r="B2330" t="s">
        <v>15</v>
      </c>
      <c r="C2330" s="1">
        <v>44061</v>
      </c>
      <c r="D2330" s="2">
        <f>YEAR(C2330)</f>
        <v>2020</v>
      </c>
      <c r="E2330">
        <v>240000</v>
      </c>
      <c r="F2330" t="s">
        <v>85</v>
      </c>
      <c r="G2330">
        <v>1960</v>
      </c>
      <c r="H2330">
        <v>26127</v>
      </c>
      <c r="I2330" t="s">
        <v>715</v>
      </c>
      <c r="J2330" t="str">
        <f>"2"</f>
        <v>2</v>
      </c>
      <c r="K2330">
        <v>60002</v>
      </c>
      <c r="L2330">
        <v>1535</v>
      </c>
      <c r="M2330">
        <v>6</v>
      </c>
      <c r="N2330">
        <v>2</v>
      </c>
      <c r="O2330">
        <v>0</v>
      </c>
      <c r="P2330" t="s">
        <v>18</v>
      </c>
      <c r="Q2330">
        <v>3</v>
      </c>
      <c r="R2330">
        <v>0</v>
      </c>
      <c r="S2330" t="s">
        <v>21</v>
      </c>
      <c r="T2330">
        <v>1.5</v>
      </c>
      <c r="U2330">
        <v>0</v>
      </c>
    </row>
    <row r="2331" spans="1:21" x14ac:dyDescent="0.25">
      <c r="A2331" t="str">
        <f>"10743957"</f>
        <v>10743957</v>
      </c>
      <c r="B2331" t="s">
        <v>15</v>
      </c>
      <c r="C2331" s="1">
        <v>44063</v>
      </c>
      <c r="D2331" s="2">
        <f>YEAR(C2331)</f>
        <v>2020</v>
      </c>
      <c r="E2331">
        <v>173000</v>
      </c>
      <c r="F2331" t="s">
        <v>85</v>
      </c>
      <c r="G2331">
        <v>1965</v>
      </c>
      <c r="H2331">
        <v>43062</v>
      </c>
      <c r="I2331" t="s">
        <v>716</v>
      </c>
      <c r="J2331" t="str">
        <f>"2"</f>
        <v>2</v>
      </c>
      <c r="K2331">
        <v>60002</v>
      </c>
      <c r="L2331">
        <v>1535</v>
      </c>
      <c r="M2331">
        <v>7</v>
      </c>
      <c r="N2331">
        <v>2</v>
      </c>
      <c r="O2331">
        <v>0</v>
      </c>
      <c r="P2331" t="s">
        <v>18</v>
      </c>
      <c r="Q2331">
        <v>3</v>
      </c>
      <c r="R2331">
        <v>0</v>
      </c>
      <c r="S2331" t="s">
        <v>22</v>
      </c>
      <c r="T2331">
        <v>2</v>
      </c>
      <c r="U2331">
        <v>0</v>
      </c>
    </row>
    <row r="2332" spans="1:21" x14ac:dyDescent="0.25">
      <c r="A2332" t="s">
        <v>717</v>
      </c>
      <c r="B2332" t="s">
        <v>15</v>
      </c>
      <c r="C2332" s="1">
        <v>43677</v>
      </c>
      <c r="D2332" s="2">
        <f>YEAR(C2332)</f>
        <v>2019</v>
      </c>
      <c r="E2332">
        <v>140000</v>
      </c>
      <c r="F2332" t="s">
        <v>548</v>
      </c>
      <c r="G2332">
        <v>1993</v>
      </c>
      <c r="H2332">
        <v>769</v>
      </c>
      <c r="I2332" t="s">
        <v>656</v>
      </c>
      <c r="J2332" t="s">
        <v>600</v>
      </c>
      <c r="K2332">
        <v>60002</v>
      </c>
      <c r="L2332">
        <v>1536</v>
      </c>
      <c r="M2332">
        <v>8</v>
      </c>
      <c r="N2332">
        <v>1</v>
      </c>
      <c r="O2332">
        <v>1</v>
      </c>
      <c r="P2332" t="s">
        <v>18</v>
      </c>
      <c r="Q2332">
        <v>3</v>
      </c>
      <c r="R2332">
        <v>0</v>
      </c>
      <c r="S2332" t="s">
        <v>21</v>
      </c>
      <c r="T2332">
        <v>2</v>
      </c>
      <c r="U2332">
        <v>0</v>
      </c>
    </row>
    <row r="2333" spans="1:21" x14ac:dyDescent="0.25">
      <c r="A2333" t="str">
        <f>"10742482"</f>
        <v>10742482</v>
      </c>
      <c r="B2333" t="s">
        <v>15</v>
      </c>
      <c r="C2333" s="1">
        <v>44026</v>
      </c>
      <c r="D2333" s="2">
        <f>YEAR(C2333)</f>
        <v>2020</v>
      </c>
      <c r="E2333">
        <v>280000</v>
      </c>
      <c r="F2333" t="s">
        <v>85</v>
      </c>
      <c r="G2333">
        <v>1968</v>
      </c>
      <c r="H2333">
        <v>40300</v>
      </c>
      <c r="I2333" t="s">
        <v>170</v>
      </c>
      <c r="J2333" t="str">
        <f>"2"</f>
        <v>2</v>
      </c>
      <c r="K2333">
        <v>60002</v>
      </c>
      <c r="L2333">
        <v>1536</v>
      </c>
      <c r="M2333">
        <v>7</v>
      </c>
      <c r="N2333">
        <v>2</v>
      </c>
      <c r="O2333">
        <v>0</v>
      </c>
      <c r="P2333" t="s">
        <v>18</v>
      </c>
      <c r="Q2333">
        <v>3</v>
      </c>
      <c r="R2333">
        <v>0</v>
      </c>
      <c r="S2333" t="s">
        <v>22</v>
      </c>
      <c r="T2333">
        <v>2</v>
      </c>
      <c r="U2333">
        <v>0</v>
      </c>
    </row>
    <row r="2334" spans="1:21" x14ac:dyDescent="0.25">
      <c r="A2334" t="str">
        <f>"10303351"</f>
        <v>10303351</v>
      </c>
      <c r="B2334" t="s">
        <v>15</v>
      </c>
      <c r="C2334" s="1">
        <v>43585</v>
      </c>
      <c r="D2334" s="2">
        <f>YEAR(C2334)</f>
        <v>2019</v>
      </c>
      <c r="E2334">
        <v>179000</v>
      </c>
      <c r="F2334" t="s">
        <v>85</v>
      </c>
      <c r="G2334">
        <v>1975</v>
      </c>
      <c r="H2334">
        <v>39495</v>
      </c>
      <c r="I2334" t="s">
        <v>656</v>
      </c>
      <c r="J2334" t="str">
        <f>"2"</f>
        <v>2</v>
      </c>
      <c r="K2334">
        <v>60002</v>
      </c>
      <c r="L2334">
        <v>1536</v>
      </c>
      <c r="M2334">
        <v>6</v>
      </c>
      <c r="N2334">
        <v>2</v>
      </c>
      <c r="O2334">
        <v>0</v>
      </c>
      <c r="P2334" t="s">
        <v>79</v>
      </c>
      <c r="Q2334">
        <v>3</v>
      </c>
      <c r="R2334">
        <v>0</v>
      </c>
      <c r="S2334" t="s">
        <v>21</v>
      </c>
      <c r="T2334">
        <v>2</v>
      </c>
      <c r="U2334">
        <v>0</v>
      </c>
    </row>
    <row r="2335" spans="1:21" x14ac:dyDescent="0.25">
      <c r="A2335" t="str">
        <f>"10698399"</f>
        <v>10698399</v>
      </c>
      <c r="B2335" t="s">
        <v>15</v>
      </c>
      <c r="C2335" s="1">
        <v>43987</v>
      </c>
      <c r="D2335" s="2">
        <f>YEAR(C2335)</f>
        <v>2020</v>
      </c>
      <c r="E2335">
        <v>202500</v>
      </c>
      <c r="F2335" t="s">
        <v>85</v>
      </c>
      <c r="G2335">
        <v>1928</v>
      </c>
      <c r="H2335">
        <v>422</v>
      </c>
      <c r="I2335" t="s">
        <v>718</v>
      </c>
      <c r="J2335" t="str">
        <f>"2"</f>
        <v>2</v>
      </c>
      <c r="K2335">
        <v>60002</v>
      </c>
      <c r="L2335">
        <v>1537</v>
      </c>
      <c r="M2335">
        <v>9</v>
      </c>
      <c r="N2335">
        <v>2</v>
      </c>
      <c r="O2335">
        <v>0</v>
      </c>
      <c r="P2335" t="s">
        <v>18</v>
      </c>
      <c r="Q2335">
        <v>4</v>
      </c>
      <c r="R2335">
        <v>0</v>
      </c>
      <c r="S2335" t="s">
        <v>22</v>
      </c>
      <c r="T2335">
        <v>2</v>
      </c>
      <c r="U2335">
        <v>0</v>
      </c>
    </row>
    <row r="2336" spans="1:21" x14ac:dyDescent="0.25">
      <c r="A2336" t="s">
        <v>719</v>
      </c>
      <c r="B2336" t="s">
        <v>15</v>
      </c>
      <c r="C2336" s="1">
        <v>44025</v>
      </c>
      <c r="D2336" s="2">
        <f>YEAR(C2336)</f>
        <v>2020</v>
      </c>
      <c r="E2336">
        <v>135000</v>
      </c>
      <c r="F2336" t="s">
        <v>548</v>
      </c>
      <c r="G2336">
        <v>1993</v>
      </c>
      <c r="H2336">
        <v>724</v>
      </c>
      <c r="I2336" t="s">
        <v>658</v>
      </c>
      <c r="J2336" t="s">
        <v>600</v>
      </c>
      <c r="K2336">
        <v>60002</v>
      </c>
      <c r="L2336">
        <v>1538</v>
      </c>
      <c r="M2336">
        <v>7</v>
      </c>
      <c r="N2336">
        <v>1</v>
      </c>
      <c r="O2336">
        <v>1</v>
      </c>
      <c r="P2336" t="s">
        <v>18</v>
      </c>
      <c r="Q2336">
        <v>2</v>
      </c>
      <c r="R2336">
        <v>0</v>
      </c>
      <c r="S2336" t="s">
        <v>21</v>
      </c>
      <c r="T2336">
        <v>2</v>
      </c>
      <c r="U2336">
        <v>0</v>
      </c>
    </row>
    <row r="2337" spans="1:21" x14ac:dyDescent="0.25">
      <c r="A2337" t="str">
        <f>"10642001"</f>
        <v>10642001</v>
      </c>
      <c r="B2337" t="s">
        <v>15</v>
      </c>
      <c r="C2337" s="1">
        <v>43966</v>
      </c>
      <c r="D2337" s="2">
        <f>YEAR(C2337)</f>
        <v>2020</v>
      </c>
      <c r="E2337">
        <v>140000</v>
      </c>
      <c r="F2337" t="s">
        <v>85</v>
      </c>
      <c r="G2337">
        <v>1953</v>
      </c>
      <c r="H2337">
        <v>40182</v>
      </c>
      <c r="I2337" t="s">
        <v>720</v>
      </c>
      <c r="J2337" t="str">
        <f>"2"</f>
        <v>2</v>
      </c>
      <c r="K2337">
        <v>60002</v>
      </c>
      <c r="L2337">
        <v>1544</v>
      </c>
      <c r="M2337">
        <v>5</v>
      </c>
      <c r="N2337">
        <v>1</v>
      </c>
      <c r="O2337">
        <v>1</v>
      </c>
      <c r="P2337" t="s">
        <v>18</v>
      </c>
      <c r="Q2337">
        <v>2</v>
      </c>
      <c r="R2337">
        <v>0</v>
      </c>
      <c r="S2337" t="s">
        <v>21</v>
      </c>
      <c r="T2337">
        <v>2</v>
      </c>
      <c r="U2337">
        <v>0</v>
      </c>
    </row>
    <row r="2338" spans="1:21" x14ac:dyDescent="0.25">
      <c r="A2338" t="str">
        <f>"10822554"</f>
        <v>10822554</v>
      </c>
      <c r="B2338" t="s">
        <v>15</v>
      </c>
      <c r="C2338" s="1">
        <v>44106</v>
      </c>
      <c r="D2338" s="2">
        <f>YEAR(C2338)</f>
        <v>2020</v>
      </c>
      <c r="E2338">
        <v>134000</v>
      </c>
      <c r="F2338" t="s">
        <v>85</v>
      </c>
      <c r="G2338">
        <v>1963</v>
      </c>
      <c r="H2338">
        <v>421</v>
      </c>
      <c r="I2338" t="s">
        <v>718</v>
      </c>
      <c r="J2338" t="str">
        <f>"2"</f>
        <v>2</v>
      </c>
      <c r="K2338">
        <v>60002</v>
      </c>
      <c r="L2338">
        <v>1550</v>
      </c>
      <c r="M2338">
        <v>7</v>
      </c>
      <c r="N2338">
        <v>2</v>
      </c>
      <c r="O2338">
        <v>0</v>
      </c>
      <c r="P2338" t="s">
        <v>18</v>
      </c>
      <c r="Q2338">
        <v>3</v>
      </c>
      <c r="R2338">
        <v>0</v>
      </c>
      <c r="S2338" t="s">
        <v>22</v>
      </c>
      <c r="T2338">
        <v>1</v>
      </c>
      <c r="U2338">
        <v>0</v>
      </c>
    </row>
    <row r="2339" spans="1:21" x14ac:dyDescent="0.25">
      <c r="A2339" t="str">
        <f>"10656956"</f>
        <v>10656956</v>
      </c>
      <c r="B2339" t="s">
        <v>15</v>
      </c>
      <c r="C2339" s="1">
        <v>44025</v>
      </c>
      <c r="D2339" s="2">
        <f>YEAR(C2339)</f>
        <v>2020</v>
      </c>
      <c r="E2339">
        <v>193000</v>
      </c>
      <c r="F2339" t="s">
        <v>85</v>
      </c>
      <c r="G2339">
        <v>1993</v>
      </c>
      <c r="H2339">
        <v>167</v>
      </c>
      <c r="I2339" t="s">
        <v>721</v>
      </c>
      <c r="J2339" t="str">
        <f>"2"</f>
        <v>2</v>
      </c>
      <c r="K2339">
        <v>60002</v>
      </c>
      <c r="L2339">
        <v>1557</v>
      </c>
      <c r="M2339">
        <v>7</v>
      </c>
      <c r="N2339">
        <v>2</v>
      </c>
      <c r="O2339">
        <v>0</v>
      </c>
      <c r="P2339" t="s">
        <v>18</v>
      </c>
      <c r="Q2339">
        <v>3</v>
      </c>
      <c r="R2339">
        <v>0</v>
      </c>
      <c r="S2339" t="s">
        <v>21</v>
      </c>
      <c r="T2339">
        <v>2</v>
      </c>
      <c r="U2339">
        <v>0</v>
      </c>
    </row>
    <row r="2340" spans="1:21" x14ac:dyDescent="0.25">
      <c r="A2340" t="str">
        <f>"10796982"</f>
        <v>10796982</v>
      </c>
      <c r="B2340" t="s">
        <v>15</v>
      </c>
      <c r="C2340" s="1">
        <v>44096</v>
      </c>
      <c r="D2340" s="2">
        <f>YEAR(C2340)</f>
        <v>2020</v>
      </c>
      <c r="E2340">
        <v>243000</v>
      </c>
      <c r="F2340" t="s">
        <v>85</v>
      </c>
      <c r="G2340">
        <v>2002</v>
      </c>
      <c r="H2340">
        <v>585</v>
      </c>
      <c r="I2340" t="s">
        <v>722</v>
      </c>
      <c r="J2340" t="str">
        <f>"2"</f>
        <v>2</v>
      </c>
      <c r="K2340">
        <v>60002</v>
      </c>
      <c r="L2340">
        <v>1572</v>
      </c>
      <c r="M2340">
        <v>7</v>
      </c>
      <c r="N2340">
        <v>3</v>
      </c>
      <c r="O2340">
        <v>0</v>
      </c>
      <c r="P2340" t="s">
        <v>18</v>
      </c>
      <c r="Q2340">
        <v>3</v>
      </c>
      <c r="R2340">
        <v>0</v>
      </c>
      <c r="S2340" t="s">
        <v>21</v>
      </c>
      <c r="T2340">
        <v>2</v>
      </c>
      <c r="U2340">
        <v>0</v>
      </c>
    </row>
    <row r="2341" spans="1:21" x14ac:dyDescent="0.25">
      <c r="A2341" t="str">
        <f>"10298629"</f>
        <v>10298629</v>
      </c>
      <c r="B2341" t="s">
        <v>15</v>
      </c>
      <c r="C2341" s="1">
        <v>43607</v>
      </c>
      <c r="D2341" s="2">
        <f>YEAR(C2341)</f>
        <v>2019</v>
      </c>
      <c r="E2341">
        <v>195500</v>
      </c>
      <c r="F2341" t="s">
        <v>85</v>
      </c>
      <c r="G2341">
        <v>2001</v>
      </c>
      <c r="H2341">
        <v>631</v>
      </c>
      <c r="I2341" t="s">
        <v>723</v>
      </c>
      <c r="J2341" t="str">
        <f>"2"</f>
        <v>2</v>
      </c>
      <c r="K2341">
        <v>60002</v>
      </c>
      <c r="L2341">
        <v>1585</v>
      </c>
      <c r="M2341">
        <v>7</v>
      </c>
      <c r="N2341">
        <v>2</v>
      </c>
      <c r="O2341">
        <v>0</v>
      </c>
      <c r="P2341" t="s">
        <v>18</v>
      </c>
      <c r="Q2341">
        <v>3</v>
      </c>
      <c r="R2341">
        <v>0</v>
      </c>
      <c r="S2341" t="s">
        <v>21</v>
      </c>
      <c r="T2341">
        <v>2</v>
      </c>
      <c r="U2341">
        <v>0</v>
      </c>
    </row>
    <row r="2342" spans="1:21" x14ac:dyDescent="0.25">
      <c r="A2342" t="str">
        <f>"10819254"</f>
        <v>10819254</v>
      </c>
      <c r="B2342" t="s">
        <v>15</v>
      </c>
      <c r="C2342" s="1">
        <v>44120</v>
      </c>
      <c r="D2342" s="2">
        <f>YEAR(C2342)</f>
        <v>2020</v>
      </c>
      <c r="E2342">
        <v>135500</v>
      </c>
      <c r="F2342" t="s">
        <v>85</v>
      </c>
      <c r="G2342">
        <v>1964</v>
      </c>
      <c r="H2342">
        <v>519</v>
      </c>
      <c r="I2342" t="s">
        <v>724</v>
      </c>
      <c r="J2342" t="str">
        <f>"2"</f>
        <v>2</v>
      </c>
      <c r="K2342">
        <v>60002</v>
      </c>
      <c r="L2342">
        <v>1594</v>
      </c>
      <c r="M2342">
        <v>7</v>
      </c>
      <c r="N2342">
        <v>2</v>
      </c>
      <c r="O2342">
        <v>0</v>
      </c>
      <c r="P2342" t="s">
        <v>18</v>
      </c>
      <c r="Q2342">
        <v>3</v>
      </c>
      <c r="R2342">
        <v>0</v>
      </c>
      <c r="S2342" t="s">
        <v>21</v>
      </c>
      <c r="T2342">
        <v>1</v>
      </c>
      <c r="U2342">
        <v>0</v>
      </c>
    </row>
    <row r="2343" spans="1:21" x14ac:dyDescent="0.25">
      <c r="A2343" t="s">
        <v>725</v>
      </c>
      <c r="B2343" t="s">
        <v>15</v>
      </c>
      <c r="C2343" s="1">
        <v>43727</v>
      </c>
      <c r="D2343" s="2">
        <f>YEAR(C2343)</f>
        <v>2019</v>
      </c>
      <c r="E2343">
        <v>195000</v>
      </c>
      <c r="F2343" t="s">
        <v>548</v>
      </c>
      <c r="G2343">
        <v>2003</v>
      </c>
      <c r="H2343">
        <v>1333</v>
      </c>
      <c r="I2343" t="s">
        <v>726</v>
      </c>
      <c r="J2343" t="s">
        <v>600</v>
      </c>
      <c r="K2343">
        <v>60002</v>
      </c>
      <c r="L2343">
        <v>1599</v>
      </c>
      <c r="M2343">
        <v>7</v>
      </c>
      <c r="N2343">
        <v>2</v>
      </c>
      <c r="O2343">
        <v>1</v>
      </c>
      <c r="P2343" t="s">
        <v>18</v>
      </c>
      <c r="Q2343">
        <v>3</v>
      </c>
      <c r="R2343">
        <v>0</v>
      </c>
      <c r="S2343" t="s">
        <v>21</v>
      </c>
      <c r="T2343">
        <v>2</v>
      </c>
      <c r="U2343">
        <v>0</v>
      </c>
    </row>
    <row r="2344" spans="1:21" x14ac:dyDescent="0.25">
      <c r="A2344" t="str">
        <f>"10447250"</f>
        <v>10447250</v>
      </c>
      <c r="B2344" t="s">
        <v>15</v>
      </c>
      <c r="C2344" s="1">
        <v>43705</v>
      </c>
      <c r="D2344" s="2">
        <f>YEAR(C2344)</f>
        <v>2019</v>
      </c>
      <c r="E2344">
        <v>211000</v>
      </c>
      <c r="F2344" t="s">
        <v>85</v>
      </c>
      <c r="G2344">
        <v>1960</v>
      </c>
      <c r="H2344">
        <v>1004</v>
      </c>
      <c r="I2344" t="s">
        <v>727</v>
      </c>
      <c r="J2344" t="str">
        <f>"2"</f>
        <v>2</v>
      </c>
      <c r="K2344">
        <v>60002</v>
      </c>
      <c r="L2344">
        <v>1600</v>
      </c>
      <c r="M2344">
        <v>9</v>
      </c>
      <c r="N2344">
        <v>2</v>
      </c>
      <c r="O2344">
        <v>0</v>
      </c>
      <c r="P2344" t="s">
        <v>18</v>
      </c>
      <c r="Q2344">
        <v>5</v>
      </c>
      <c r="R2344">
        <v>0</v>
      </c>
      <c r="S2344" t="s">
        <v>21</v>
      </c>
      <c r="T2344">
        <v>1</v>
      </c>
      <c r="U2344">
        <v>0</v>
      </c>
    </row>
    <row r="2345" spans="1:21" x14ac:dyDescent="0.25">
      <c r="A2345" t="str">
        <f>"10744293"</f>
        <v>10744293</v>
      </c>
      <c r="B2345" t="s">
        <v>15</v>
      </c>
      <c r="C2345" s="1">
        <v>44147</v>
      </c>
      <c r="D2345" s="2">
        <f>YEAR(C2345)</f>
        <v>2020</v>
      </c>
      <c r="E2345">
        <v>170000</v>
      </c>
      <c r="F2345" t="s">
        <v>85</v>
      </c>
      <c r="G2345">
        <v>1978</v>
      </c>
      <c r="H2345">
        <v>39821</v>
      </c>
      <c r="I2345" t="s">
        <v>728</v>
      </c>
      <c r="J2345" t="str">
        <f>"2"</f>
        <v>2</v>
      </c>
      <c r="K2345">
        <v>60002</v>
      </c>
      <c r="L2345">
        <v>1600</v>
      </c>
      <c r="M2345">
        <v>6</v>
      </c>
      <c r="N2345">
        <v>2</v>
      </c>
      <c r="O2345">
        <v>0</v>
      </c>
      <c r="P2345" t="s">
        <v>18</v>
      </c>
      <c r="Q2345">
        <v>3</v>
      </c>
      <c r="R2345">
        <v>0</v>
      </c>
      <c r="S2345" t="s">
        <v>21</v>
      </c>
      <c r="T2345">
        <v>2</v>
      </c>
      <c r="U2345">
        <v>0</v>
      </c>
    </row>
    <row r="2346" spans="1:21" x14ac:dyDescent="0.25">
      <c r="A2346" t="str">
        <f>"10731104"</f>
        <v>10731104</v>
      </c>
      <c r="B2346" t="s">
        <v>15</v>
      </c>
      <c r="C2346" s="1">
        <v>44103</v>
      </c>
      <c r="D2346" s="2">
        <f>YEAR(C2346)</f>
        <v>2020</v>
      </c>
      <c r="E2346">
        <v>290000</v>
      </c>
      <c r="F2346" t="s">
        <v>85</v>
      </c>
      <c r="G2346">
        <v>1960</v>
      </c>
      <c r="H2346">
        <v>40395</v>
      </c>
      <c r="I2346" t="s">
        <v>729</v>
      </c>
      <c r="J2346" t="str">
        <f>"2"</f>
        <v>2</v>
      </c>
      <c r="K2346">
        <v>60002</v>
      </c>
      <c r="L2346">
        <v>1600</v>
      </c>
      <c r="M2346">
        <v>7</v>
      </c>
      <c r="N2346">
        <v>2</v>
      </c>
      <c r="O2346">
        <v>0</v>
      </c>
      <c r="P2346" t="s">
        <v>18</v>
      </c>
      <c r="Q2346">
        <v>3</v>
      </c>
      <c r="R2346">
        <v>0</v>
      </c>
      <c r="S2346" t="s">
        <v>22</v>
      </c>
      <c r="T2346">
        <v>1</v>
      </c>
      <c r="U2346">
        <v>0</v>
      </c>
    </row>
    <row r="2347" spans="1:21" x14ac:dyDescent="0.25">
      <c r="A2347" t="str">
        <f>"10609304"</f>
        <v>10609304</v>
      </c>
      <c r="B2347" t="s">
        <v>15</v>
      </c>
      <c r="C2347" s="1">
        <v>44154</v>
      </c>
      <c r="D2347" s="2">
        <f>YEAR(C2347)</f>
        <v>2020</v>
      </c>
      <c r="E2347">
        <v>380960</v>
      </c>
      <c r="F2347" t="s">
        <v>85</v>
      </c>
      <c r="G2347">
        <v>2020</v>
      </c>
      <c r="H2347">
        <v>1077</v>
      </c>
      <c r="I2347" t="s">
        <v>730</v>
      </c>
      <c r="J2347" t="str">
        <f>"2"</f>
        <v>2</v>
      </c>
      <c r="K2347">
        <v>60002</v>
      </c>
      <c r="L2347">
        <v>1601</v>
      </c>
      <c r="M2347">
        <v>5</v>
      </c>
      <c r="N2347">
        <v>2</v>
      </c>
      <c r="O2347">
        <v>0</v>
      </c>
      <c r="P2347" t="s">
        <v>18</v>
      </c>
      <c r="Q2347">
        <v>3</v>
      </c>
      <c r="R2347">
        <v>0</v>
      </c>
      <c r="S2347" t="s">
        <v>21</v>
      </c>
      <c r="T2347">
        <v>2</v>
      </c>
      <c r="U2347">
        <v>0</v>
      </c>
    </row>
    <row r="2348" spans="1:21" x14ac:dyDescent="0.25">
      <c r="A2348" t="str">
        <f>"10381812"</f>
        <v>10381812</v>
      </c>
      <c r="B2348" t="s">
        <v>15</v>
      </c>
      <c r="C2348" s="1">
        <v>43701</v>
      </c>
      <c r="D2348" s="2">
        <f>YEAR(C2348)</f>
        <v>2019</v>
      </c>
      <c r="E2348">
        <v>158500</v>
      </c>
      <c r="F2348" t="s">
        <v>85</v>
      </c>
      <c r="G2348">
        <v>1955</v>
      </c>
      <c r="H2348">
        <v>1049</v>
      </c>
      <c r="I2348" t="s">
        <v>731</v>
      </c>
      <c r="J2348" t="str">
        <f>"2"</f>
        <v>2</v>
      </c>
      <c r="K2348">
        <v>60002</v>
      </c>
      <c r="L2348">
        <v>1606</v>
      </c>
      <c r="M2348">
        <v>7</v>
      </c>
      <c r="N2348">
        <v>2</v>
      </c>
      <c r="O2348">
        <v>0</v>
      </c>
      <c r="P2348" t="s">
        <v>18</v>
      </c>
      <c r="Q2348">
        <v>3</v>
      </c>
      <c r="R2348">
        <v>0</v>
      </c>
      <c r="S2348" t="s">
        <v>21</v>
      </c>
      <c r="T2348">
        <v>1.5</v>
      </c>
      <c r="U2348">
        <v>0</v>
      </c>
    </row>
    <row r="2349" spans="1:21" x14ac:dyDescent="0.25">
      <c r="A2349" t="str">
        <f>"10622460"</f>
        <v>10622460</v>
      </c>
      <c r="B2349" t="s">
        <v>15</v>
      </c>
      <c r="C2349" s="1">
        <v>43913</v>
      </c>
      <c r="D2349" s="2">
        <f>YEAR(C2349)</f>
        <v>2020</v>
      </c>
      <c r="E2349">
        <v>235000</v>
      </c>
      <c r="F2349" t="s">
        <v>85</v>
      </c>
      <c r="G2349">
        <v>1959</v>
      </c>
      <c r="H2349">
        <v>42379</v>
      </c>
      <c r="I2349" t="s">
        <v>624</v>
      </c>
      <c r="J2349" t="str">
        <f>"2"</f>
        <v>2</v>
      </c>
      <c r="K2349">
        <v>60002</v>
      </c>
      <c r="L2349">
        <v>1608</v>
      </c>
      <c r="M2349">
        <v>8</v>
      </c>
      <c r="N2349">
        <v>2</v>
      </c>
      <c r="O2349">
        <v>0</v>
      </c>
      <c r="P2349" t="s">
        <v>18</v>
      </c>
      <c r="Q2349">
        <v>3</v>
      </c>
      <c r="R2349">
        <v>1</v>
      </c>
      <c r="S2349" t="s">
        <v>21</v>
      </c>
      <c r="T2349">
        <v>2</v>
      </c>
      <c r="U2349">
        <v>0</v>
      </c>
    </row>
    <row r="2350" spans="1:21" x14ac:dyDescent="0.25">
      <c r="A2350" t="str">
        <f>"10730142"</f>
        <v>10730142</v>
      </c>
      <c r="B2350" t="s">
        <v>15</v>
      </c>
      <c r="C2350" s="1">
        <v>44025</v>
      </c>
      <c r="D2350" s="2">
        <f>YEAR(C2350)</f>
        <v>2020</v>
      </c>
      <c r="E2350">
        <v>205000</v>
      </c>
      <c r="F2350" t="s">
        <v>85</v>
      </c>
      <c r="G2350">
        <v>2001</v>
      </c>
      <c r="H2350">
        <v>86</v>
      </c>
      <c r="I2350" t="s">
        <v>358</v>
      </c>
      <c r="J2350" t="str">
        <f>"2"</f>
        <v>2</v>
      </c>
      <c r="K2350">
        <v>60002</v>
      </c>
      <c r="L2350">
        <v>1609</v>
      </c>
      <c r="M2350">
        <v>8</v>
      </c>
      <c r="N2350">
        <v>2</v>
      </c>
      <c r="O2350">
        <v>1</v>
      </c>
      <c r="P2350" t="s">
        <v>18</v>
      </c>
      <c r="Q2350">
        <v>3</v>
      </c>
      <c r="R2350">
        <v>0</v>
      </c>
      <c r="S2350" t="s">
        <v>21</v>
      </c>
      <c r="T2350">
        <v>2</v>
      </c>
      <c r="U2350">
        <v>0</v>
      </c>
    </row>
    <row r="2351" spans="1:21" x14ac:dyDescent="0.25">
      <c r="A2351" t="str">
        <f>"10747162"</f>
        <v>10747162</v>
      </c>
      <c r="B2351" t="s">
        <v>15</v>
      </c>
      <c r="C2351" s="1">
        <v>44085</v>
      </c>
      <c r="D2351" s="2">
        <f>YEAR(C2351)</f>
        <v>2020</v>
      </c>
      <c r="E2351">
        <v>300000</v>
      </c>
      <c r="F2351" t="s">
        <v>85</v>
      </c>
      <c r="G2351">
        <v>1956</v>
      </c>
      <c r="H2351">
        <v>22924</v>
      </c>
      <c r="I2351" t="s">
        <v>565</v>
      </c>
      <c r="J2351" t="str">
        <f>"2"</f>
        <v>2</v>
      </c>
      <c r="K2351">
        <v>60002</v>
      </c>
      <c r="L2351">
        <v>1610</v>
      </c>
      <c r="M2351">
        <v>7</v>
      </c>
      <c r="N2351">
        <v>1</v>
      </c>
      <c r="O2351">
        <v>1</v>
      </c>
      <c r="P2351" t="s">
        <v>18</v>
      </c>
      <c r="Q2351">
        <v>3</v>
      </c>
      <c r="R2351">
        <v>0</v>
      </c>
      <c r="S2351" t="s">
        <v>21</v>
      </c>
      <c r="T2351">
        <v>2.5</v>
      </c>
      <c r="U2351">
        <v>0</v>
      </c>
    </row>
    <row r="2352" spans="1:21" x14ac:dyDescent="0.25">
      <c r="A2352" t="str">
        <f>"10372002"</f>
        <v>10372002</v>
      </c>
      <c r="B2352" t="s">
        <v>15</v>
      </c>
      <c r="C2352" s="1">
        <v>43661</v>
      </c>
      <c r="D2352" s="2">
        <f>YEAR(C2352)</f>
        <v>2019</v>
      </c>
      <c r="E2352">
        <v>35000</v>
      </c>
      <c r="F2352" t="s">
        <v>85</v>
      </c>
      <c r="G2352">
        <v>1950</v>
      </c>
      <c r="H2352">
        <v>479</v>
      </c>
      <c r="I2352" t="s">
        <v>639</v>
      </c>
      <c r="J2352" t="str">
        <f>"2"</f>
        <v>2</v>
      </c>
      <c r="K2352">
        <v>60002</v>
      </c>
      <c r="L2352">
        <v>1611</v>
      </c>
      <c r="M2352">
        <v>6</v>
      </c>
      <c r="N2352">
        <v>1</v>
      </c>
      <c r="O2352">
        <v>1</v>
      </c>
      <c r="P2352" t="s">
        <v>18</v>
      </c>
      <c r="Q2352">
        <v>2</v>
      </c>
      <c r="R2352">
        <v>0</v>
      </c>
      <c r="S2352" t="s">
        <v>22</v>
      </c>
      <c r="T2352">
        <v>2</v>
      </c>
      <c r="U2352">
        <v>0</v>
      </c>
    </row>
    <row r="2353" spans="1:21" x14ac:dyDescent="0.25">
      <c r="A2353" t="str">
        <f>"10882977"</f>
        <v>10882977</v>
      </c>
      <c r="B2353" t="s">
        <v>15</v>
      </c>
      <c r="C2353" s="1">
        <v>44144</v>
      </c>
      <c r="D2353" s="2">
        <f>YEAR(C2353)</f>
        <v>2020</v>
      </c>
      <c r="E2353">
        <v>196000</v>
      </c>
      <c r="F2353" t="s">
        <v>85</v>
      </c>
      <c r="G2353">
        <v>1950</v>
      </c>
      <c r="H2353">
        <v>479</v>
      </c>
      <c r="I2353" t="s">
        <v>639</v>
      </c>
      <c r="J2353" t="str">
        <f>"2"</f>
        <v>2</v>
      </c>
      <c r="K2353">
        <v>60002</v>
      </c>
      <c r="L2353">
        <v>1611</v>
      </c>
      <c r="M2353">
        <v>6</v>
      </c>
      <c r="N2353">
        <v>2</v>
      </c>
      <c r="O2353">
        <v>0</v>
      </c>
      <c r="P2353" t="s">
        <v>18</v>
      </c>
      <c r="Q2353">
        <v>3</v>
      </c>
      <c r="R2353">
        <v>0</v>
      </c>
      <c r="S2353" t="s">
        <v>22</v>
      </c>
      <c r="T2353">
        <v>3</v>
      </c>
      <c r="U2353">
        <v>0</v>
      </c>
    </row>
    <row r="2354" spans="1:21" x14ac:dyDescent="0.25">
      <c r="A2354" t="str">
        <f>"10108779"</f>
        <v>10108779</v>
      </c>
      <c r="B2354" t="s">
        <v>15</v>
      </c>
      <c r="C2354" s="1">
        <v>43690</v>
      </c>
      <c r="D2354" s="2">
        <f>YEAR(C2354)</f>
        <v>2019</v>
      </c>
      <c r="E2354">
        <v>141000</v>
      </c>
      <c r="F2354" t="s">
        <v>85</v>
      </c>
      <c r="G2354">
        <v>1960</v>
      </c>
      <c r="H2354">
        <v>27044</v>
      </c>
      <c r="I2354" t="s">
        <v>457</v>
      </c>
      <c r="J2354" t="str">
        <f>"2"</f>
        <v>2</v>
      </c>
      <c r="K2354">
        <v>60002</v>
      </c>
      <c r="L2354">
        <v>1616</v>
      </c>
      <c r="M2354">
        <v>5</v>
      </c>
      <c r="N2354">
        <v>1</v>
      </c>
      <c r="O2354">
        <v>1</v>
      </c>
      <c r="P2354" t="s">
        <v>18</v>
      </c>
      <c r="Q2354">
        <v>2</v>
      </c>
      <c r="R2354">
        <v>0</v>
      </c>
      <c r="S2354" t="s">
        <v>21</v>
      </c>
      <c r="T2354">
        <v>2</v>
      </c>
      <c r="U2354">
        <v>0</v>
      </c>
    </row>
    <row r="2355" spans="1:21" x14ac:dyDescent="0.25">
      <c r="A2355" t="str">
        <f>"10092462"</f>
        <v>10092462</v>
      </c>
      <c r="B2355" t="s">
        <v>15</v>
      </c>
      <c r="C2355" s="1">
        <v>43480</v>
      </c>
      <c r="D2355" s="2">
        <f>YEAR(C2355)</f>
        <v>2019</v>
      </c>
      <c r="E2355">
        <v>66000</v>
      </c>
      <c r="F2355" t="s">
        <v>85</v>
      </c>
      <c r="G2355" t="s">
        <v>560</v>
      </c>
      <c r="H2355">
        <v>249</v>
      </c>
      <c r="I2355" t="s">
        <v>572</v>
      </c>
      <c r="J2355" t="str">
        <f>"2"</f>
        <v>2</v>
      </c>
      <c r="K2355">
        <v>60002</v>
      </c>
      <c r="L2355">
        <v>1617</v>
      </c>
      <c r="M2355">
        <v>8</v>
      </c>
      <c r="N2355">
        <v>1</v>
      </c>
      <c r="O2355">
        <v>0</v>
      </c>
      <c r="P2355" t="s">
        <v>18</v>
      </c>
      <c r="Q2355">
        <v>4</v>
      </c>
      <c r="R2355">
        <v>0</v>
      </c>
      <c r="S2355" t="s">
        <v>22</v>
      </c>
      <c r="T2355">
        <v>2</v>
      </c>
      <c r="U2355">
        <v>0</v>
      </c>
    </row>
    <row r="2356" spans="1:21" x14ac:dyDescent="0.25">
      <c r="A2356" t="str">
        <f>"10434752"</f>
        <v>10434752</v>
      </c>
      <c r="B2356" t="s">
        <v>15</v>
      </c>
      <c r="C2356" s="1">
        <v>43682</v>
      </c>
      <c r="D2356" s="2">
        <f>YEAR(C2356)</f>
        <v>2019</v>
      </c>
      <c r="E2356">
        <v>210000</v>
      </c>
      <c r="F2356" t="s">
        <v>85</v>
      </c>
      <c r="G2356">
        <v>2002</v>
      </c>
      <c r="H2356">
        <v>98</v>
      </c>
      <c r="I2356" t="s">
        <v>733</v>
      </c>
      <c r="J2356" t="str">
        <f>"2"</f>
        <v>2</v>
      </c>
      <c r="K2356">
        <v>60002</v>
      </c>
      <c r="L2356">
        <v>1626</v>
      </c>
      <c r="M2356">
        <v>5</v>
      </c>
      <c r="N2356">
        <v>2</v>
      </c>
      <c r="O2356">
        <v>0</v>
      </c>
      <c r="P2356" t="s">
        <v>18</v>
      </c>
      <c r="Q2356">
        <v>2</v>
      </c>
      <c r="R2356">
        <v>0</v>
      </c>
      <c r="S2356" t="s">
        <v>21</v>
      </c>
      <c r="T2356">
        <v>2</v>
      </c>
      <c r="U2356">
        <v>0</v>
      </c>
    </row>
    <row r="2357" spans="1:21" x14ac:dyDescent="0.25">
      <c r="A2357" t="str">
        <f>"10391306"</f>
        <v>10391306</v>
      </c>
      <c r="B2357" t="s">
        <v>15</v>
      </c>
      <c r="C2357" s="1">
        <v>43633</v>
      </c>
      <c r="D2357" s="2">
        <f>YEAR(C2357)</f>
        <v>2019</v>
      </c>
      <c r="E2357">
        <v>207500</v>
      </c>
      <c r="F2357" t="s">
        <v>85</v>
      </c>
      <c r="G2357">
        <v>1974</v>
      </c>
      <c r="H2357">
        <v>631</v>
      </c>
      <c r="I2357" t="s">
        <v>734</v>
      </c>
      <c r="J2357" t="str">
        <f>"2"</f>
        <v>2</v>
      </c>
      <c r="K2357">
        <v>60002</v>
      </c>
      <c r="L2357">
        <v>1630</v>
      </c>
      <c r="M2357">
        <v>8</v>
      </c>
      <c r="N2357">
        <v>2</v>
      </c>
      <c r="O2357">
        <v>0</v>
      </c>
      <c r="P2357" t="s">
        <v>18</v>
      </c>
      <c r="Q2357">
        <v>3</v>
      </c>
      <c r="R2357">
        <v>0</v>
      </c>
      <c r="S2357" t="s">
        <v>21</v>
      </c>
      <c r="T2357">
        <v>1</v>
      </c>
      <c r="U2357">
        <v>0</v>
      </c>
    </row>
    <row r="2358" spans="1:21" x14ac:dyDescent="0.25">
      <c r="A2358" t="str">
        <f>"10730878"</f>
        <v>10730878</v>
      </c>
      <c r="B2358" t="s">
        <v>15</v>
      </c>
      <c r="C2358" s="1">
        <v>44053</v>
      </c>
      <c r="D2358" s="2">
        <f>YEAR(C2358)</f>
        <v>2020</v>
      </c>
      <c r="E2358">
        <v>215000</v>
      </c>
      <c r="F2358" t="s">
        <v>85</v>
      </c>
      <c r="G2358">
        <v>2001</v>
      </c>
      <c r="H2358">
        <v>53</v>
      </c>
      <c r="I2358" t="s">
        <v>735</v>
      </c>
      <c r="J2358" t="str">
        <f>"2"</f>
        <v>2</v>
      </c>
      <c r="K2358">
        <v>60002</v>
      </c>
      <c r="L2358">
        <v>1630</v>
      </c>
      <c r="M2358">
        <v>6</v>
      </c>
      <c r="N2358">
        <v>2</v>
      </c>
      <c r="O2358">
        <v>1</v>
      </c>
      <c r="P2358" t="s">
        <v>18</v>
      </c>
      <c r="Q2358">
        <v>3</v>
      </c>
      <c r="R2358">
        <v>0</v>
      </c>
      <c r="S2358" t="s">
        <v>21</v>
      </c>
      <c r="T2358">
        <v>2</v>
      </c>
      <c r="U2358">
        <v>0</v>
      </c>
    </row>
    <row r="2359" spans="1:21" x14ac:dyDescent="0.25">
      <c r="A2359" t="str">
        <f>"10481150"</f>
        <v>10481150</v>
      </c>
      <c r="B2359" t="s">
        <v>15</v>
      </c>
      <c r="C2359" s="1">
        <v>43857</v>
      </c>
      <c r="D2359" s="2">
        <f>YEAR(C2359)</f>
        <v>2020</v>
      </c>
      <c r="E2359">
        <v>169900</v>
      </c>
      <c r="F2359" t="s">
        <v>85</v>
      </c>
      <c r="G2359">
        <v>1979</v>
      </c>
      <c r="H2359">
        <v>43215</v>
      </c>
      <c r="I2359" t="s">
        <v>457</v>
      </c>
      <c r="J2359" t="str">
        <f>"2"</f>
        <v>2</v>
      </c>
      <c r="K2359">
        <v>60002</v>
      </c>
      <c r="L2359">
        <v>1630</v>
      </c>
      <c r="M2359">
        <v>9</v>
      </c>
      <c r="N2359">
        <v>3</v>
      </c>
      <c r="O2359">
        <v>0</v>
      </c>
      <c r="P2359" t="s">
        <v>79</v>
      </c>
      <c r="Q2359">
        <v>3</v>
      </c>
      <c r="R2359">
        <v>0</v>
      </c>
      <c r="S2359" t="s">
        <v>21</v>
      </c>
      <c r="T2359">
        <v>2</v>
      </c>
      <c r="U2359">
        <v>0</v>
      </c>
    </row>
    <row r="2360" spans="1:21" x14ac:dyDescent="0.25">
      <c r="A2360" t="str">
        <f>"10578226"</f>
        <v>10578226</v>
      </c>
      <c r="B2360" t="s">
        <v>15</v>
      </c>
      <c r="C2360" s="1">
        <v>43920</v>
      </c>
      <c r="D2360" s="2">
        <f>YEAR(C2360)</f>
        <v>2020</v>
      </c>
      <c r="E2360">
        <v>160500</v>
      </c>
      <c r="F2360" t="s">
        <v>85</v>
      </c>
      <c r="G2360">
        <v>1984</v>
      </c>
      <c r="H2360">
        <v>40898</v>
      </c>
      <c r="I2360" t="s">
        <v>736</v>
      </c>
      <c r="J2360" t="str">
        <f>"2"</f>
        <v>2</v>
      </c>
      <c r="K2360">
        <v>60002</v>
      </c>
      <c r="L2360">
        <v>1632</v>
      </c>
      <c r="M2360">
        <v>7</v>
      </c>
      <c r="N2360">
        <v>2</v>
      </c>
      <c r="O2360">
        <v>0</v>
      </c>
      <c r="P2360" t="s">
        <v>18</v>
      </c>
      <c r="Q2360">
        <v>3</v>
      </c>
      <c r="R2360">
        <v>0</v>
      </c>
      <c r="S2360" t="s">
        <v>21</v>
      </c>
      <c r="T2360">
        <v>2</v>
      </c>
      <c r="U2360">
        <v>0</v>
      </c>
    </row>
    <row r="2361" spans="1:21" x14ac:dyDescent="0.25">
      <c r="A2361" t="str">
        <f>"10640330"</f>
        <v>10640330</v>
      </c>
      <c r="B2361" t="s">
        <v>15</v>
      </c>
      <c r="C2361" s="1">
        <v>43991</v>
      </c>
      <c r="D2361" s="2">
        <f>YEAR(C2361)</f>
        <v>2020</v>
      </c>
      <c r="E2361">
        <v>167900</v>
      </c>
      <c r="F2361" t="s">
        <v>85</v>
      </c>
      <c r="G2361">
        <v>1979</v>
      </c>
      <c r="H2361">
        <v>316</v>
      </c>
      <c r="I2361" t="s">
        <v>572</v>
      </c>
      <c r="J2361" t="str">
        <f>"2"</f>
        <v>2</v>
      </c>
      <c r="K2361">
        <v>60002</v>
      </c>
      <c r="L2361">
        <v>1636</v>
      </c>
      <c r="M2361">
        <v>7</v>
      </c>
      <c r="N2361">
        <v>2</v>
      </c>
      <c r="O2361">
        <v>0</v>
      </c>
      <c r="P2361" t="s">
        <v>18</v>
      </c>
      <c r="Q2361">
        <v>4</v>
      </c>
      <c r="R2361">
        <v>0</v>
      </c>
      <c r="S2361" t="s">
        <v>22</v>
      </c>
      <c r="T2361">
        <v>2</v>
      </c>
      <c r="U2361">
        <v>0</v>
      </c>
    </row>
    <row r="2362" spans="1:21" x14ac:dyDescent="0.25">
      <c r="A2362" t="str">
        <f>"10729644"</f>
        <v>10729644</v>
      </c>
      <c r="B2362" t="s">
        <v>15</v>
      </c>
      <c r="C2362" s="1">
        <v>44019</v>
      </c>
      <c r="D2362" s="2">
        <f>YEAR(C2362)</f>
        <v>2020</v>
      </c>
      <c r="E2362">
        <v>210000</v>
      </c>
      <c r="F2362" t="s">
        <v>85</v>
      </c>
      <c r="G2362">
        <v>2005</v>
      </c>
      <c r="H2362">
        <v>929</v>
      </c>
      <c r="I2362" t="s">
        <v>737</v>
      </c>
      <c r="J2362" t="str">
        <f>"2"</f>
        <v>2</v>
      </c>
      <c r="K2362">
        <v>60002</v>
      </c>
      <c r="L2362">
        <v>1640</v>
      </c>
      <c r="M2362">
        <v>6</v>
      </c>
      <c r="N2362">
        <v>2</v>
      </c>
      <c r="O2362">
        <v>1</v>
      </c>
      <c r="P2362" t="s">
        <v>18</v>
      </c>
      <c r="Q2362">
        <v>3</v>
      </c>
      <c r="R2362">
        <v>0</v>
      </c>
      <c r="S2362" t="s">
        <v>21</v>
      </c>
      <c r="T2362">
        <v>2</v>
      </c>
      <c r="U2362">
        <v>0</v>
      </c>
    </row>
    <row r="2363" spans="1:21" x14ac:dyDescent="0.25">
      <c r="A2363" t="str">
        <f>"10751473"</f>
        <v>10751473</v>
      </c>
      <c r="B2363" t="s">
        <v>15</v>
      </c>
      <c r="C2363" s="1">
        <v>44082</v>
      </c>
      <c r="D2363" s="2">
        <f>YEAR(C2363)</f>
        <v>2020</v>
      </c>
      <c r="E2363">
        <v>210000</v>
      </c>
      <c r="F2363" t="s">
        <v>85</v>
      </c>
      <c r="G2363">
        <v>1960</v>
      </c>
      <c r="H2363">
        <v>27123</v>
      </c>
      <c r="I2363" t="s">
        <v>586</v>
      </c>
      <c r="J2363" t="str">
        <f>"2"</f>
        <v>2</v>
      </c>
      <c r="K2363">
        <v>60002</v>
      </c>
      <c r="L2363">
        <v>1640</v>
      </c>
      <c r="M2363">
        <v>7</v>
      </c>
      <c r="N2363">
        <v>1</v>
      </c>
      <c r="O2363">
        <v>1</v>
      </c>
      <c r="P2363" t="s">
        <v>18</v>
      </c>
      <c r="Q2363">
        <v>3</v>
      </c>
      <c r="R2363">
        <v>0</v>
      </c>
      <c r="S2363" t="s">
        <v>21</v>
      </c>
      <c r="T2363">
        <v>2</v>
      </c>
      <c r="U2363">
        <v>0</v>
      </c>
    </row>
    <row r="2364" spans="1:21" x14ac:dyDescent="0.25">
      <c r="A2364" t="str">
        <f>"10317719"</f>
        <v>10317719</v>
      </c>
      <c r="B2364" t="s">
        <v>15</v>
      </c>
      <c r="C2364" s="1">
        <v>43633</v>
      </c>
      <c r="D2364" s="2">
        <f>YEAR(C2364)</f>
        <v>2019</v>
      </c>
      <c r="E2364">
        <v>350000</v>
      </c>
      <c r="F2364" t="s">
        <v>85</v>
      </c>
      <c r="G2364">
        <v>1960</v>
      </c>
      <c r="H2364">
        <v>38114</v>
      </c>
      <c r="I2364" t="s">
        <v>530</v>
      </c>
      <c r="J2364" t="str">
        <f>"2"</f>
        <v>2</v>
      </c>
      <c r="K2364">
        <v>60002</v>
      </c>
      <c r="L2364">
        <v>1641</v>
      </c>
      <c r="M2364">
        <v>7</v>
      </c>
      <c r="N2364">
        <v>1</v>
      </c>
      <c r="O2364">
        <v>1</v>
      </c>
      <c r="P2364" t="s">
        <v>18</v>
      </c>
      <c r="Q2364">
        <v>2</v>
      </c>
      <c r="R2364">
        <v>0</v>
      </c>
      <c r="S2364" t="s">
        <v>22</v>
      </c>
      <c r="T2364">
        <v>3</v>
      </c>
      <c r="U2364">
        <v>0</v>
      </c>
    </row>
    <row r="2365" spans="1:21" x14ac:dyDescent="0.25">
      <c r="A2365" t="str">
        <f>"10420176"</f>
        <v>10420176</v>
      </c>
      <c r="B2365" t="s">
        <v>15</v>
      </c>
      <c r="C2365" s="1">
        <v>43683</v>
      </c>
      <c r="D2365" s="2">
        <f>YEAR(C2365)</f>
        <v>2019</v>
      </c>
      <c r="E2365">
        <v>179000</v>
      </c>
      <c r="F2365" t="s">
        <v>85</v>
      </c>
      <c r="G2365">
        <v>1978</v>
      </c>
      <c r="H2365">
        <v>592</v>
      </c>
      <c r="I2365" t="s">
        <v>738</v>
      </c>
      <c r="J2365" t="str">
        <f>"2"</f>
        <v>2</v>
      </c>
      <c r="K2365">
        <v>60002</v>
      </c>
      <c r="L2365">
        <v>1650</v>
      </c>
      <c r="M2365">
        <v>7</v>
      </c>
      <c r="N2365">
        <v>2</v>
      </c>
      <c r="O2365">
        <v>0</v>
      </c>
      <c r="P2365" t="s">
        <v>79</v>
      </c>
      <c r="Q2365">
        <v>3</v>
      </c>
      <c r="R2365">
        <v>0</v>
      </c>
      <c r="S2365" t="s">
        <v>21</v>
      </c>
      <c r="T2365">
        <v>2</v>
      </c>
      <c r="U2365">
        <v>0</v>
      </c>
    </row>
    <row r="2366" spans="1:21" x14ac:dyDescent="0.25">
      <c r="A2366" t="str">
        <f>"10263089"</f>
        <v>10263089</v>
      </c>
      <c r="B2366" t="s">
        <v>15</v>
      </c>
      <c r="C2366" s="1">
        <v>43531</v>
      </c>
      <c r="D2366" s="2">
        <f>YEAR(C2366)</f>
        <v>2019</v>
      </c>
      <c r="E2366">
        <v>170000</v>
      </c>
      <c r="F2366" t="s">
        <v>85</v>
      </c>
      <c r="G2366">
        <v>1970</v>
      </c>
      <c r="H2366">
        <v>247</v>
      </c>
      <c r="I2366" t="s">
        <v>595</v>
      </c>
      <c r="J2366" t="str">
        <f>"2"</f>
        <v>2</v>
      </c>
      <c r="K2366">
        <v>60002</v>
      </c>
      <c r="L2366">
        <v>1650</v>
      </c>
      <c r="M2366">
        <v>8</v>
      </c>
      <c r="N2366">
        <v>2</v>
      </c>
      <c r="O2366">
        <v>0</v>
      </c>
      <c r="P2366" t="s">
        <v>79</v>
      </c>
      <c r="Q2366">
        <v>4</v>
      </c>
      <c r="R2366">
        <v>0</v>
      </c>
      <c r="S2366" t="s">
        <v>22</v>
      </c>
      <c r="T2366">
        <v>2</v>
      </c>
      <c r="U2366">
        <v>0</v>
      </c>
    </row>
    <row r="2367" spans="1:21" x14ac:dyDescent="0.25">
      <c r="A2367" t="str">
        <f>"10127496"</f>
        <v>10127496</v>
      </c>
      <c r="B2367" t="s">
        <v>15</v>
      </c>
      <c r="C2367" s="1">
        <v>43537</v>
      </c>
      <c r="D2367" s="2">
        <f>YEAR(C2367)</f>
        <v>2019</v>
      </c>
      <c r="E2367">
        <v>186000</v>
      </c>
      <c r="F2367" t="s">
        <v>85</v>
      </c>
      <c r="G2367">
        <v>2004</v>
      </c>
      <c r="H2367">
        <v>1257</v>
      </c>
      <c r="I2367" t="s">
        <v>739</v>
      </c>
      <c r="J2367" t="str">
        <f>"2"</f>
        <v>2</v>
      </c>
      <c r="K2367">
        <v>60002</v>
      </c>
      <c r="L2367">
        <v>1652</v>
      </c>
      <c r="M2367">
        <v>7</v>
      </c>
      <c r="N2367">
        <v>2</v>
      </c>
      <c r="O2367">
        <v>0</v>
      </c>
      <c r="P2367" t="s">
        <v>18</v>
      </c>
      <c r="Q2367">
        <v>3</v>
      </c>
      <c r="R2367">
        <v>0</v>
      </c>
      <c r="S2367" t="s">
        <v>21</v>
      </c>
      <c r="T2367">
        <v>2</v>
      </c>
      <c r="U2367">
        <v>0</v>
      </c>
    </row>
    <row r="2368" spans="1:21" x14ac:dyDescent="0.25">
      <c r="A2368" t="str">
        <f>"10502944"</f>
        <v>10502944</v>
      </c>
      <c r="B2368" t="s">
        <v>15</v>
      </c>
      <c r="C2368" s="1">
        <v>43760</v>
      </c>
      <c r="D2368" s="2">
        <f>YEAR(C2368)</f>
        <v>2019</v>
      </c>
      <c r="E2368">
        <v>166500</v>
      </c>
      <c r="F2368" t="s">
        <v>85</v>
      </c>
      <c r="G2368">
        <v>1940</v>
      </c>
      <c r="H2368">
        <v>639</v>
      </c>
      <c r="I2368" t="s">
        <v>741</v>
      </c>
      <c r="J2368" t="str">
        <f>"2"</f>
        <v>2</v>
      </c>
      <c r="K2368">
        <v>60002</v>
      </c>
      <c r="L2368">
        <v>1660</v>
      </c>
      <c r="M2368">
        <v>7</v>
      </c>
      <c r="N2368">
        <v>1</v>
      </c>
      <c r="O2368">
        <v>0</v>
      </c>
      <c r="P2368" t="s">
        <v>18</v>
      </c>
      <c r="Q2368">
        <v>2</v>
      </c>
      <c r="R2368">
        <v>0</v>
      </c>
      <c r="S2368" t="s">
        <v>22</v>
      </c>
      <c r="T2368">
        <v>2.5</v>
      </c>
      <c r="U2368">
        <v>0</v>
      </c>
    </row>
    <row r="2369" spans="1:21" x14ac:dyDescent="0.25">
      <c r="A2369" t="str">
        <f>"10534129"</f>
        <v>10534129</v>
      </c>
      <c r="B2369" t="s">
        <v>15</v>
      </c>
      <c r="C2369" s="1">
        <v>43804</v>
      </c>
      <c r="D2369" s="2">
        <f>YEAR(C2369)</f>
        <v>2019</v>
      </c>
      <c r="E2369">
        <v>210000</v>
      </c>
      <c r="F2369" t="s">
        <v>85</v>
      </c>
      <c r="G2369">
        <v>2006</v>
      </c>
      <c r="H2369">
        <v>1131</v>
      </c>
      <c r="I2369" t="s">
        <v>742</v>
      </c>
      <c r="J2369" t="str">
        <f>"2"</f>
        <v>2</v>
      </c>
      <c r="K2369">
        <v>60002</v>
      </c>
      <c r="L2369">
        <v>1662</v>
      </c>
      <c r="M2369">
        <v>6</v>
      </c>
      <c r="N2369">
        <v>2</v>
      </c>
      <c r="O2369">
        <v>0</v>
      </c>
      <c r="P2369" t="s">
        <v>18</v>
      </c>
      <c r="Q2369">
        <v>3</v>
      </c>
      <c r="R2369">
        <v>0</v>
      </c>
      <c r="S2369" t="s">
        <v>21</v>
      </c>
      <c r="T2369">
        <v>3</v>
      </c>
      <c r="U2369">
        <v>0</v>
      </c>
    </row>
    <row r="2370" spans="1:21" x14ac:dyDescent="0.25">
      <c r="A2370" t="str">
        <f>"10372057"</f>
        <v>10372057</v>
      </c>
      <c r="B2370" t="s">
        <v>15</v>
      </c>
      <c r="C2370" s="1">
        <v>43635</v>
      </c>
      <c r="D2370" s="2">
        <f>YEAR(C2370)</f>
        <v>2019</v>
      </c>
      <c r="E2370">
        <v>238000</v>
      </c>
      <c r="F2370" t="s">
        <v>85</v>
      </c>
      <c r="G2370">
        <v>2007</v>
      </c>
      <c r="H2370">
        <v>1025</v>
      </c>
      <c r="I2370" t="s">
        <v>744</v>
      </c>
      <c r="J2370" t="str">
        <f>"2"</f>
        <v>2</v>
      </c>
      <c r="K2370">
        <v>60002</v>
      </c>
      <c r="L2370">
        <v>1670</v>
      </c>
      <c r="M2370">
        <v>6</v>
      </c>
      <c r="N2370">
        <v>2</v>
      </c>
      <c r="O2370">
        <v>0</v>
      </c>
      <c r="P2370" t="s">
        <v>18</v>
      </c>
      <c r="Q2370">
        <v>3</v>
      </c>
      <c r="R2370">
        <v>0</v>
      </c>
      <c r="S2370" t="s">
        <v>21</v>
      </c>
      <c r="T2370">
        <v>3</v>
      </c>
      <c r="U2370">
        <v>0</v>
      </c>
    </row>
    <row r="2371" spans="1:21" x14ac:dyDescent="0.25">
      <c r="A2371" t="s">
        <v>745</v>
      </c>
      <c r="B2371" t="s">
        <v>15</v>
      </c>
      <c r="C2371" s="1">
        <v>43698</v>
      </c>
      <c r="D2371" s="2">
        <f>YEAR(C2371)</f>
        <v>2019</v>
      </c>
      <c r="E2371">
        <v>160000</v>
      </c>
      <c r="F2371" t="s">
        <v>548</v>
      </c>
      <c r="G2371">
        <v>2006</v>
      </c>
      <c r="H2371">
        <v>1194</v>
      </c>
      <c r="I2371" t="s">
        <v>667</v>
      </c>
      <c r="J2371" t="s">
        <v>600</v>
      </c>
      <c r="K2371">
        <v>60002</v>
      </c>
      <c r="L2371">
        <v>1676</v>
      </c>
      <c r="M2371">
        <v>7</v>
      </c>
      <c r="N2371">
        <v>2</v>
      </c>
      <c r="O2371">
        <v>1</v>
      </c>
      <c r="P2371" t="s">
        <v>18</v>
      </c>
      <c r="Q2371">
        <v>3</v>
      </c>
      <c r="R2371">
        <v>0</v>
      </c>
      <c r="S2371" t="s">
        <v>21</v>
      </c>
      <c r="T2371">
        <v>2</v>
      </c>
      <c r="U2371">
        <v>0</v>
      </c>
    </row>
    <row r="2372" spans="1:21" x14ac:dyDescent="0.25">
      <c r="A2372" t="str">
        <f>"10334879"</f>
        <v>10334879</v>
      </c>
      <c r="B2372" t="s">
        <v>15</v>
      </c>
      <c r="C2372" s="1">
        <v>43588</v>
      </c>
      <c r="D2372" s="2">
        <f>YEAR(C2372)</f>
        <v>2019</v>
      </c>
      <c r="E2372">
        <v>176900</v>
      </c>
      <c r="F2372" t="s">
        <v>85</v>
      </c>
      <c r="G2372">
        <v>1964</v>
      </c>
      <c r="H2372">
        <v>43367</v>
      </c>
      <c r="I2372" t="s">
        <v>747</v>
      </c>
      <c r="J2372" t="str">
        <f>"2"</f>
        <v>2</v>
      </c>
      <c r="K2372">
        <v>60002</v>
      </c>
      <c r="L2372">
        <v>1677</v>
      </c>
      <c r="M2372">
        <v>6</v>
      </c>
      <c r="N2372">
        <v>2</v>
      </c>
      <c r="O2372">
        <v>0</v>
      </c>
      <c r="P2372" t="s">
        <v>79</v>
      </c>
      <c r="Q2372">
        <v>3</v>
      </c>
      <c r="R2372">
        <v>0</v>
      </c>
      <c r="S2372" t="s">
        <v>22</v>
      </c>
      <c r="T2372">
        <v>2</v>
      </c>
      <c r="U2372">
        <v>0</v>
      </c>
    </row>
    <row r="2373" spans="1:21" x14ac:dyDescent="0.25">
      <c r="A2373" t="str">
        <f>"10549839"</f>
        <v>10549839</v>
      </c>
      <c r="B2373" t="s">
        <v>15</v>
      </c>
      <c r="C2373" s="1">
        <v>43826</v>
      </c>
      <c r="D2373" s="2">
        <f>YEAR(C2373)</f>
        <v>2019</v>
      </c>
      <c r="E2373">
        <v>207990</v>
      </c>
      <c r="F2373" t="s">
        <v>85</v>
      </c>
      <c r="G2373">
        <v>2019</v>
      </c>
      <c r="H2373">
        <v>1823</v>
      </c>
      <c r="I2373" t="s">
        <v>748</v>
      </c>
      <c r="J2373" t="str">
        <f>"2"</f>
        <v>2</v>
      </c>
      <c r="K2373">
        <v>60002</v>
      </c>
      <c r="L2373">
        <v>1680</v>
      </c>
      <c r="M2373">
        <v>7</v>
      </c>
      <c r="N2373">
        <v>2</v>
      </c>
      <c r="O2373">
        <v>1</v>
      </c>
      <c r="P2373" t="s">
        <v>18</v>
      </c>
      <c r="Q2373">
        <v>4</v>
      </c>
      <c r="R2373">
        <v>0</v>
      </c>
      <c r="S2373" t="s">
        <v>21</v>
      </c>
      <c r="T2373">
        <v>2</v>
      </c>
      <c r="U2373">
        <v>0</v>
      </c>
    </row>
    <row r="2374" spans="1:21" x14ac:dyDescent="0.25">
      <c r="A2374" t="str">
        <f>"10329457"</f>
        <v>10329457</v>
      </c>
      <c r="B2374" t="s">
        <v>15</v>
      </c>
      <c r="C2374" s="1">
        <v>43636</v>
      </c>
      <c r="D2374" s="2">
        <f>YEAR(C2374)</f>
        <v>2019</v>
      </c>
      <c r="E2374">
        <v>195000</v>
      </c>
      <c r="F2374" t="s">
        <v>85</v>
      </c>
      <c r="G2374">
        <v>1964</v>
      </c>
      <c r="H2374">
        <v>39525</v>
      </c>
      <c r="I2374" t="s">
        <v>656</v>
      </c>
      <c r="J2374" t="str">
        <f>"2"</f>
        <v>2</v>
      </c>
      <c r="K2374">
        <v>60002</v>
      </c>
      <c r="L2374">
        <v>1680</v>
      </c>
      <c r="M2374">
        <v>7</v>
      </c>
      <c r="N2374">
        <v>1</v>
      </c>
      <c r="O2374">
        <v>1</v>
      </c>
      <c r="P2374" t="s">
        <v>18</v>
      </c>
      <c r="Q2374">
        <v>3</v>
      </c>
      <c r="R2374">
        <v>0</v>
      </c>
      <c r="S2374" t="s">
        <v>22</v>
      </c>
      <c r="T2374">
        <v>2</v>
      </c>
      <c r="U2374">
        <v>0</v>
      </c>
    </row>
    <row r="2375" spans="1:21" x14ac:dyDescent="0.25">
      <c r="A2375" t="str">
        <f>"10382715"</f>
        <v>10382715</v>
      </c>
      <c r="B2375" t="s">
        <v>15</v>
      </c>
      <c r="C2375" s="1">
        <v>43658</v>
      </c>
      <c r="D2375" s="2">
        <f>YEAR(C2375)</f>
        <v>2019</v>
      </c>
      <c r="E2375">
        <v>260500</v>
      </c>
      <c r="F2375" t="s">
        <v>85</v>
      </c>
      <c r="G2375">
        <v>1965</v>
      </c>
      <c r="H2375">
        <v>25266</v>
      </c>
      <c r="I2375" t="s">
        <v>476</v>
      </c>
      <c r="J2375" t="str">
        <f>"2"</f>
        <v>2</v>
      </c>
      <c r="K2375">
        <v>60002</v>
      </c>
      <c r="L2375">
        <v>1683</v>
      </c>
      <c r="M2375">
        <v>7</v>
      </c>
      <c r="N2375">
        <v>2</v>
      </c>
      <c r="O2375">
        <v>0</v>
      </c>
      <c r="P2375" t="s">
        <v>79</v>
      </c>
      <c r="Q2375">
        <v>3</v>
      </c>
      <c r="R2375">
        <v>0</v>
      </c>
      <c r="S2375" t="s">
        <v>21</v>
      </c>
      <c r="T2375">
        <v>3</v>
      </c>
      <c r="U2375">
        <v>0</v>
      </c>
    </row>
    <row r="2376" spans="1:21" x14ac:dyDescent="0.25">
      <c r="A2376" t="str">
        <f>"10767246"</f>
        <v>10767246</v>
      </c>
      <c r="B2376" t="s">
        <v>15</v>
      </c>
      <c r="C2376" s="1">
        <v>44084</v>
      </c>
      <c r="D2376" s="2">
        <f>YEAR(C2376)</f>
        <v>2020</v>
      </c>
      <c r="E2376">
        <v>375000</v>
      </c>
      <c r="F2376" t="s">
        <v>85</v>
      </c>
      <c r="G2376">
        <v>2017</v>
      </c>
      <c r="H2376">
        <v>1121</v>
      </c>
      <c r="I2376" t="s">
        <v>749</v>
      </c>
      <c r="J2376" t="str">
        <f>"2"</f>
        <v>2</v>
      </c>
      <c r="K2376">
        <v>60002</v>
      </c>
      <c r="L2376">
        <v>1686</v>
      </c>
      <c r="M2376">
        <v>9</v>
      </c>
      <c r="N2376">
        <v>3</v>
      </c>
      <c r="O2376">
        <v>0</v>
      </c>
      <c r="P2376" t="s">
        <v>79</v>
      </c>
      <c r="Q2376">
        <v>3</v>
      </c>
      <c r="R2376">
        <v>1</v>
      </c>
      <c r="S2376" t="s">
        <v>21</v>
      </c>
      <c r="T2376">
        <v>3</v>
      </c>
      <c r="U2376">
        <v>0</v>
      </c>
    </row>
    <row r="2377" spans="1:21" x14ac:dyDescent="0.25">
      <c r="A2377" t="s">
        <v>750</v>
      </c>
      <c r="B2377" t="s">
        <v>15</v>
      </c>
      <c r="C2377" s="1">
        <v>43717</v>
      </c>
      <c r="D2377" s="2">
        <f>YEAR(C2377)</f>
        <v>2019</v>
      </c>
      <c r="E2377">
        <v>137500</v>
      </c>
      <c r="F2377" t="s">
        <v>548</v>
      </c>
      <c r="G2377">
        <v>1998</v>
      </c>
      <c r="H2377">
        <v>39967</v>
      </c>
      <c r="I2377" t="s">
        <v>628</v>
      </c>
      <c r="J2377" t="s">
        <v>600</v>
      </c>
      <c r="K2377">
        <v>60002</v>
      </c>
      <c r="L2377">
        <v>1696</v>
      </c>
      <c r="M2377">
        <v>6</v>
      </c>
      <c r="N2377">
        <v>2</v>
      </c>
      <c r="O2377">
        <v>1</v>
      </c>
      <c r="P2377" t="s">
        <v>79</v>
      </c>
      <c r="Q2377">
        <v>3</v>
      </c>
      <c r="R2377">
        <v>0</v>
      </c>
      <c r="S2377" t="s">
        <v>21</v>
      </c>
      <c r="T2377">
        <v>1</v>
      </c>
      <c r="U2377">
        <v>0</v>
      </c>
    </row>
    <row r="2378" spans="1:21" x14ac:dyDescent="0.25">
      <c r="A2378" t="str">
        <f>"10321615"</f>
        <v>10321615</v>
      </c>
      <c r="B2378" t="s">
        <v>15</v>
      </c>
      <c r="C2378" s="1">
        <v>43602</v>
      </c>
      <c r="D2378" s="2">
        <f>YEAR(C2378)</f>
        <v>2019</v>
      </c>
      <c r="E2378">
        <v>207000</v>
      </c>
      <c r="F2378" t="s">
        <v>85</v>
      </c>
      <c r="G2378">
        <v>1951</v>
      </c>
      <c r="H2378">
        <v>600</v>
      </c>
      <c r="I2378" t="s">
        <v>751</v>
      </c>
      <c r="J2378" t="str">
        <f>"2"</f>
        <v>2</v>
      </c>
      <c r="K2378">
        <v>60002</v>
      </c>
      <c r="L2378">
        <v>1700</v>
      </c>
      <c r="M2378">
        <v>7</v>
      </c>
      <c r="N2378">
        <v>1</v>
      </c>
      <c r="O2378">
        <v>2</v>
      </c>
      <c r="P2378" t="s">
        <v>18</v>
      </c>
      <c r="Q2378">
        <v>3</v>
      </c>
      <c r="R2378">
        <v>0</v>
      </c>
      <c r="S2378" t="s">
        <v>21</v>
      </c>
      <c r="T2378">
        <v>3.5</v>
      </c>
      <c r="U2378">
        <v>0</v>
      </c>
    </row>
    <row r="2379" spans="1:21" x14ac:dyDescent="0.25">
      <c r="A2379" t="str">
        <f>"10433831"</f>
        <v>10433831</v>
      </c>
      <c r="B2379" t="s">
        <v>15</v>
      </c>
      <c r="C2379" s="1">
        <v>43818</v>
      </c>
      <c r="D2379" s="2">
        <f>YEAR(C2379)</f>
        <v>2019</v>
      </c>
      <c r="E2379">
        <v>305000</v>
      </c>
      <c r="F2379" t="s">
        <v>85</v>
      </c>
      <c r="G2379">
        <v>1995</v>
      </c>
      <c r="H2379">
        <v>1140</v>
      </c>
      <c r="I2379" t="s">
        <v>207</v>
      </c>
      <c r="J2379" t="str">
        <f>"2"</f>
        <v>2</v>
      </c>
      <c r="K2379">
        <v>60002</v>
      </c>
      <c r="L2379">
        <v>1700</v>
      </c>
      <c r="M2379">
        <v>9</v>
      </c>
      <c r="N2379">
        <v>3</v>
      </c>
      <c r="O2379">
        <v>1</v>
      </c>
      <c r="P2379" t="s">
        <v>79</v>
      </c>
      <c r="Q2379">
        <v>3</v>
      </c>
      <c r="R2379">
        <v>1</v>
      </c>
      <c r="S2379" t="s">
        <v>21</v>
      </c>
      <c r="T2379">
        <v>2</v>
      </c>
      <c r="U2379">
        <v>0</v>
      </c>
    </row>
    <row r="2380" spans="1:21" x14ac:dyDescent="0.25">
      <c r="A2380" t="str">
        <f>"10686246"</f>
        <v>10686246</v>
      </c>
      <c r="B2380" t="s">
        <v>15</v>
      </c>
      <c r="C2380" s="1">
        <v>43978</v>
      </c>
      <c r="D2380" s="2">
        <f>YEAR(C2380)</f>
        <v>2020</v>
      </c>
      <c r="E2380">
        <v>219900</v>
      </c>
      <c r="F2380" t="s">
        <v>85</v>
      </c>
      <c r="G2380">
        <v>1951</v>
      </c>
      <c r="H2380">
        <v>600</v>
      </c>
      <c r="I2380" t="s">
        <v>751</v>
      </c>
      <c r="J2380" t="str">
        <f>"2"</f>
        <v>2</v>
      </c>
      <c r="K2380">
        <v>60002</v>
      </c>
      <c r="L2380">
        <v>1700</v>
      </c>
      <c r="M2380">
        <v>7</v>
      </c>
      <c r="N2380">
        <v>1</v>
      </c>
      <c r="O2380">
        <v>2</v>
      </c>
      <c r="P2380" t="s">
        <v>79</v>
      </c>
      <c r="Q2380">
        <v>3</v>
      </c>
      <c r="R2380">
        <v>0</v>
      </c>
      <c r="S2380" t="s">
        <v>21</v>
      </c>
      <c r="T2380">
        <v>3.5</v>
      </c>
      <c r="U2380">
        <v>0</v>
      </c>
    </row>
    <row r="2381" spans="1:21" x14ac:dyDescent="0.25">
      <c r="A2381" t="str">
        <f>"10292975"</f>
        <v>10292975</v>
      </c>
      <c r="B2381" t="s">
        <v>15</v>
      </c>
      <c r="C2381" s="1">
        <v>43585</v>
      </c>
      <c r="D2381" s="2">
        <f>YEAR(C2381)</f>
        <v>2019</v>
      </c>
      <c r="E2381">
        <v>215000</v>
      </c>
      <c r="F2381" t="s">
        <v>85</v>
      </c>
      <c r="G2381">
        <v>1999</v>
      </c>
      <c r="H2381">
        <v>41</v>
      </c>
      <c r="I2381" t="s">
        <v>752</v>
      </c>
      <c r="J2381" t="str">
        <f>"2"</f>
        <v>2</v>
      </c>
      <c r="K2381">
        <v>60002</v>
      </c>
      <c r="L2381">
        <v>1704</v>
      </c>
      <c r="M2381">
        <v>8</v>
      </c>
      <c r="N2381">
        <v>2</v>
      </c>
      <c r="O2381">
        <v>1</v>
      </c>
      <c r="P2381" t="s">
        <v>18</v>
      </c>
      <c r="Q2381">
        <v>4</v>
      </c>
      <c r="R2381">
        <v>0</v>
      </c>
      <c r="S2381" t="s">
        <v>21</v>
      </c>
      <c r="T2381">
        <v>2</v>
      </c>
      <c r="U2381">
        <v>0</v>
      </c>
    </row>
    <row r="2382" spans="1:21" x14ac:dyDescent="0.25">
      <c r="A2382" t="str">
        <f>"10465907"</f>
        <v>10465907</v>
      </c>
      <c r="B2382" t="s">
        <v>15</v>
      </c>
      <c r="C2382" s="1">
        <v>43731</v>
      </c>
      <c r="D2382" s="2">
        <f>YEAR(C2382)</f>
        <v>2019</v>
      </c>
      <c r="E2382">
        <v>199000</v>
      </c>
      <c r="F2382" t="s">
        <v>85</v>
      </c>
      <c r="G2382">
        <v>1985</v>
      </c>
      <c r="H2382">
        <v>39540</v>
      </c>
      <c r="I2382" t="s">
        <v>753</v>
      </c>
      <c r="J2382" t="str">
        <f>"2"</f>
        <v>2</v>
      </c>
      <c r="K2382">
        <v>60002</v>
      </c>
      <c r="L2382">
        <v>1707</v>
      </c>
      <c r="M2382">
        <v>8</v>
      </c>
      <c r="N2382">
        <v>2</v>
      </c>
      <c r="O2382">
        <v>0</v>
      </c>
      <c r="P2382" t="s">
        <v>79</v>
      </c>
      <c r="Q2382">
        <v>3</v>
      </c>
      <c r="R2382">
        <v>0</v>
      </c>
      <c r="S2382" t="s">
        <v>21</v>
      </c>
      <c r="T2382">
        <v>2</v>
      </c>
      <c r="U2382">
        <v>0</v>
      </c>
    </row>
    <row r="2383" spans="1:21" x14ac:dyDescent="0.25">
      <c r="A2383" t="str">
        <f>"10258055"</f>
        <v>10258055</v>
      </c>
      <c r="B2383" t="s">
        <v>15</v>
      </c>
      <c r="C2383" s="1">
        <v>43551</v>
      </c>
      <c r="D2383" s="2">
        <f>YEAR(C2383)</f>
        <v>2019</v>
      </c>
      <c r="E2383">
        <v>225000</v>
      </c>
      <c r="F2383" t="s">
        <v>85</v>
      </c>
      <c r="G2383">
        <v>2006</v>
      </c>
      <c r="H2383">
        <v>1291</v>
      </c>
      <c r="I2383" t="s">
        <v>235</v>
      </c>
      <c r="J2383" t="str">
        <f>"2"</f>
        <v>2</v>
      </c>
      <c r="K2383">
        <v>60002</v>
      </c>
      <c r="L2383">
        <v>1712</v>
      </c>
      <c r="M2383">
        <v>7</v>
      </c>
      <c r="N2383">
        <v>2</v>
      </c>
      <c r="O2383">
        <v>0</v>
      </c>
      <c r="P2383" t="s">
        <v>18</v>
      </c>
      <c r="Q2383">
        <v>3</v>
      </c>
      <c r="R2383">
        <v>0</v>
      </c>
      <c r="S2383" t="s">
        <v>21</v>
      </c>
      <c r="T2383">
        <v>2</v>
      </c>
      <c r="U2383">
        <v>0</v>
      </c>
    </row>
    <row r="2384" spans="1:21" x14ac:dyDescent="0.25">
      <c r="A2384" t="str">
        <f>"10456828"</f>
        <v>10456828</v>
      </c>
      <c r="B2384" t="s">
        <v>15</v>
      </c>
      <c r="C2384" s="1">
        <v>43780</v>
      </c>
      <c r="D2384" s="2">
        <f>YEAR(C2384)</f>
        <v>2019</v>
      </c>
      <c r="E2384">
        <v>200000</v>
      </c>
      <c r="F2384" t="s">
        <v>85</v>
      </c>
      <c r="G2384">
        <v>1963</v>
      </c>
      <c r="H2384">
        <v>42547</v>
      </c>
      <c r="I2384" t="s">
        <v>592</v>
      </c>
      <c r="J2384" t="str">
        <f>"2"</f>
        <v>2</v>
      </c>
      <c r="K2384">
        <v>60002</v>
      </c>
      <c r="L2384">
        <v>1713</v>
      </c>
      <c r="M2384">
        <v>7</v>
      </c>
      <c r="N2384">
        <v>2</v>
      </c>
      <c r="O2384">
        <v>0</v>
      </c>
      <c r="P2384" t="s">
        <v>18</v>
      </c>
      <c r="Q2384">
        <v>4</v>
      </c>
      <c r="R2384">
        <v>0</v>
      </c>
      <c r="S2384" t="s">
        <v>22</v>
      </c>
      <c r="T2384">
        <v>2</v>
      </c>
      <c r="U2384">
        <v>0</v>
      </c>
    </row>
    <row r="2385" spans="1:21" x14ac:dyDescent="0.25">
      <c r="A2385" t="str">
        <f>"10707818"</f>
        <v>10707818</v>
      </c>
      <c r="B2385" t="s">
        <v>15</v>
      </c>
      <c r="C2385" s="1">
        <v>44075</v>
      </c>
      <c r="D2385" s="2">
        <f>YEAR(C2385)</f>
        <v>2020</v>
      </c>
      <c r="E2385">
        <v>190000</v>
      </c>
      <c r="F2385" t="s">
        <v>85</v>
      </c>
      <c r="G2385">
        <v>1975</v>
      </c>
      <c r="H2385">
        <v>563</v>
      </c>
      <c r="I2385" t="s">
        <v>207</v>
      </c>
      <c r="J2385" t="str">
        <f>"2"</f>
        <v>2</v>
      </c>
      <c r="K2385">
        <v>60002</v>
      </c>
      <c r="L2385">
        <v>1716</v>
      </c>
      <c r="M2385">
        <v>7</v>
      </c>
      <c r="N2385">
        <v>2</v>
      </c>
      <c r="O2385">
        <v>0</v>
      </c>
      <c r="P2385" t="s">
        <v>18</v>
      </c>
      <c r="Q2385">
        <v>3</v>
      </c>
      <c r="R2385">
        <v>0</v>
      </c>
      <c r="S2385" t="s">
        <v>21</v>
      </c>
      <c r="T2385">
        <v>2</v>
      </c>
      <c r="U2385">
        <v>0</v>
      </c>
    </row>
    <row r="2386" spans="1:21" x14ac:dyDescent="0.25">
      <c r="A2386" t="str">
        <f>"10329590"</f>
        <v>10329590</v>
      </c>
      <c r="B2386" t="s">
        <v>15</v>
      </c>
      <c r="C2386" s="1">
        <v>43634</v>
      </c>
      <c r="D2386" s="2">
        <f>YEAR(C2386)</f>
        <v>2019</v>
      </c>
      <c r="E2386">
        <v>169900</v>
      </c>
      <c r="F2386" t="s">
        <v>85</v>
      </c>
      <c r="G2386">
        <v>1986</v>
      </c>
      <c r="H2386">
        <v>25780</v>
      </c>
      <c r="I2386" t="s">
        <v>243</v>
      </c>
      <c r="J2386" t="str">
        <f>"2"</f>
        <v>2</v>
      </c>
      <c r="K2386">
        <v>60002</v>
      </c>
      <c r="L2386">
        <v>1717</v>
      </c>
      <c r="M2386">
        <v>7</v>
      </c>
      <c r="N2386">
        <v>2</v>
      </c>
      <c r="O2386">
        <v>1</v>
      </c>
      <c r="P2386" t="s">
        <v>18</v>
      </c>
      <c r="Q2386">
        <v>3</v>
      </c>
      <c r="R2386">
        <v>0</v>
      </c>
      <c r="S2386" t="s">
        <v>21</v>
      </c>
      <c r="T2386">
        <v>2</v>
      </c>
      <c r="U2386">
        <v>0</v>
      </c>
    </row>
    <row r="2387" spans="1:21" x14ac:dyDescent="0.25">
      <c r="A2387" t="str">
        <f>"10782656"</f>
        <v>10782656</v>
      </c>
      <c r="B2387" t="s">
        <v>15</v>
      </c>
      <c r="C2387" s="1">
        <v>44084</v>
      </c>
      <c r="D2387" s="2">
        <f>YEAR(C2387)</f>
        <v>2020</v>
      </c>
      <c r="E2387">
        <v>238500</v>
      </c>
      <c r="F2387" t="s">
        <v>85</v>
      </c>
      <c r="G2387">
        <v>2001</v>
      </c>
      <c r="H2387">
        <v>644</v>
      </c>
      <c r="I2387" t="s">
        <v>754</v>
      </c>
      <c r="J2387" t="str">
        <f>"2"</f>
        <v>2</v>
      </c>
      <c r="K2387">
        <v>60002</v>
      </c>
      <c r="L2387">
        <v>1720</v>
      </c>
      <c r="M2387">
        <v>8</v>
      </c>
      <c r="N2387">
        <v>2</v>
      </c>
      <c r="O2387">
        <v>1</v>
      </c>
      <c r="P2387" t="s">
        <v>18</v>
      </c>
      <c r="Q2387">
        <v>3</v>
      </c>
      <c r="R2387">
        <v>0</v>
      </c>
      <c r="S2387" t="s">
        <v>21</v>
      </c>
      <c r="T2387">
        <v>2</v>
      </c>
      <c r="U2387">
        <v>0</v>
      </c>
    </row>
    <row r="2388" spans="1:21" x14ac:dyDescent="0.25">
      <c r="A2388" t="str">
        <f>"10400412"</f>
        <v>10400412</v>
      </c>
      <c r="B2388" t="s">
        <v>15</v>
      </c>
      <c r="C2388" s="1">
        <v>43664</v>
      </c>
      <c r="D2388" s="2">
        <f>YEAR(C2388)</f>
        <v>2019</v>
      </c>
      <c r="E2388">
        <v>175000</v>
      </c>
      <c r="F2388" t="s">
        <v>85</v>
      </c>
      <c r="G2388" t="s">
        <v>560</v>
      </c>
      <c r="H2388">
        <v>41987</v>
      </c>
      <c r="I2388" t="s">
        <v>755</v>
      </c>
      <c r="J2388" t="str">
        <f>"2"</f>
        <v>2</v>
      </c>
      <c r="K2388">
        <v>60002</v>
      </c>
      <c r="L2388">
        <v>1720</v>
      </c>
      <c r="M2388">
        <v>6</v>
      </c>
      <c r="N2388">
        <v>2</v>
      </c>
      <c r="O2388">
        <v>0</v>
      </c>
      <c r="P2388" t="s">
        <v>79</v>
      </c>
      <c r="Q2388">
        <v>2</v>
      </c>
      <c r="R2388">
        <v>0</v>
      </c>
      <c r="S2388" t="s">
        <v>22</v>
      </c>
      <c r="T2388">
        <v>2</v>
      </c>
      <c r="U2388">
        <v>0</v>
      </c>
    </row>
    <row r="2389" spans="1:21" x14ac:dyDescent="0.25">
      <c r="A2389" t="str">
        <f>"10728718"</f>
        <v>10728718</v>
      </c>
      <c r="B2389" t="s">
        <v>15</v>
      </c>
      <c r="C2389" s="1">
        <v>44076</v>
      </c>
      <c r="D2389" s="2">
        <f>YEAR(C2389)</f>
        <v>2020</v>
      </c>
      <c r="E2389">
        <v>225000</v>
      </c>
      <c r="F2389" t="s">
        <v>85</v>
      </c>
      <c r="G2389">
        <v>1989</v>
      </c>
      <c r="H2389">
        <v>335</v>
      </c>
      <c r="I2389" t="s">
        <v>756</v>
      </c>
      <c r="J2389" t="str">
        <f>"2"</f>
        <v>2</v>
      </c>
      <c r="K2389">
        <v>60002</v>
      </c>
      <c r="L2389">
        <v>1722</v>
      </c>
      <c r="M2389">
        <v>8</v>
      </c>
      <c r="N2389">
        <v>2</v>
      </c>
      <c r="O2389">
        <v>1</v>
      </c>
      <c r="P2389" t="s">
        <v>18</v>
      </c>
      <c r="Q2389">
        <v>3</v>
      </c>
      <c r="R2389">
        <v>0</v>
      </c>
      <c r="S2389" t="s">
        <v>21</v>
      </c>
      <c r="T2389">
        <v>2</v>
      </c>
      <c r="U2389">
        <v>0</v>
      </c>
    </row>
    <row r="2390" spans="1:21" x14ac:dyDescent="0.25">
      <c r="A2390" t="str">
        <f>"10321260"</f>
        <v>10321260</v>
      </c>
      <c r="B2390" t="s">
        <v>15</v>
      </c>
      <c r="C2390" s="1">
        <v>43902</v>
      </c>
      <c r="D2390" s="2">
        <f>YEAR(C2390)</f>
        <v>2020</v>
      </c>
      <c r="E2390">
        <v>260000</v>
      </c>
      <c r="F2390" t="s">
        <v>85</v>
      </c>
      <c r="G2390">
        <v>2000</v>
      </c>
      <c r="H2390">
        <v>935</v>
      </c>
      <c r="I2390" t="s">
        <v>757</v>
      </c>
      <c r="J2390" t="str">
        <f>"2"</f>
        <v>2</v>
      </c>
      <c r="K2390">
        <v>60002</v>
      </c>
      <c r="L2390">
        <v>1724</v>
      </c>
      <c r="M2390">
        <v>6</v>
      </c>
      <c r="N2390">
        <v>2</v>
      </c>
      <c r="O2390">
        <v>0</v>
      </c>
      <c r="P2390" t="s">
        <v>18</v>
      </c>
      <c r="Q2390">
        <v>3</v>
      </c>
      <c r="R2390">
        <v>0</v>
      </c>
      <c r="S2390" t="s">
        <v>21</v>
      </c>
      <c r="T2390">
        <v>2.5</v>
      </c>
      <c r="U2390">
        <v>0</v>
      </c>
    </row>
    <row r="2391" spans="1:21" x14ac:dyDescent="0.25">
      <c r="A2391" t="str">
        <f>"10465863"</f>
        <v>10465863</v>
      </c>
      <c r="B2391" t="s">
        <v>15</v>
      </c>
      <c r="C2391" s="1">
        <v>43705</v>
      </c>
      <c r="D2391" s="2">
        <f>YEAR(C2391)</f>
        <v>2019</v>
      </c>
      <c r="E2391">
        <v>185000</v>
      </c>
      <c r="F2391" t="s">
        <v>85</v>
      </c>
      <c r="G2391">
        <v>1998</v>
      </c>
      <c r="H2391">
        <v>865</v>
      </c>
      <c r="I2391" t="s">
        <v>758</v>
      </c>
      <c r="J2391" t="str">
        <f>"2"</f>
        <v>2</v>
      </c>
      <c r="K2391">
        <v>60002</v>
      </c>
      <c r="L2391">
        <v>1727</v>
      </c>
      <c r="M2391">
        <v>9</v>
      </c>
      <c r="N2391">
        <v>1</v>
      </c>
      <c r="O2391">
        <v>2</v>
      </c>
      <c r="P2391" t="s">
        <v>79</v>
      </c>
      <c r="Q2391">
        <v>3</v>
      </c>
      <c r="R2391">
        <v>0</v>
      </c>
      <c r="S2391" t="s">
        <v>21</v>
      </c>
      <c r="T2391">
        <v>2</v>
      </c>
      <c r="U2391">
        <v>0</v>
      </c>
    </row>
    <row r="2392" spans="1:21" x14ac:dyDescent="0.25">
      <c r="A2392" t="str">
        <f>"10676219"</f>
        <v>10676219</v>
      </c>
      <c r="B2392" t="s">
        <v>15</v>
      </c>
      <c r="C2392" s="1">
        <v>44008</v>
      </c>
      <c r="D2392" s="2">
        <f>YEAR(C2392)</f>
        <v>2020</v>
      </c>
      <c r="E2392">
        <v>260000</v>
      </c>
      <c r="F2392" t="s">
        <v>85</v>
      </c>
      <c r="G2392">
        <v>1974</v>
      </c>
      <c r="H2392">
        <v>41335</v>
      </c>
      <c r="I2392" t="s">
        <v>69</v>
      </c>
      <c r="J2392" t="str">
        <f>"2"</f>
        <v>2</v>
      </c>
      <c r="K2392">
        <v>60002</v>
      </c>
      <c r="L2392">
        <v>1728</v>
      </c>
      <c r="M2392">
        <v>7</v>
      </c>
      <c r="N2392">
        <v>1</v>
      </c>
      <c r="O2392">
        <v>1</v>
      </c>
      <c r="P2392" t="s">
        <v>18</v>
      </c>
      <c r="Q2392">
        <v>3</v>
      </c>
      <c r="R2392">
        <v>0</v>
      </c>
      <c r="S2392" t="s">
        <v>21</v>
      </c>
      <c r="T2392">
        <v>4</v>
      </c>
      <c r="U2392">
        <v>0</v>
      </c>
    </row>
    <row r="2393" spans="1:21" x14ac:dyDescent="0.25">
      <c r="A2393" t="str">
        <f>"10542456"</f>
        <v>10542456</v>
      </c>
      <c r="B2393" t="s">
        <v>15</v>
      </c>
      <c r="C2393" s="1">
        <v>44078</v>
      </c>
      <c r="D2393" s="2">
        <f>YEAR(C2393)</f>
        <v>2020</v>
      </c>
      <c r="E2393">
        <v>63810</v>
      </c>
      <c r="F2393" t="s">
        <v>85</v>
      </c>
      <c r="G2393">
        <v>1960</v>
      </c>
      <c r="H2393">
        <v>26427</v>
      </c>
      <c r="I2393" t="s">
        <v>760</v>
      </c>
      <c r="J2393" t="str">
        <f>"2"</f>
        <v>2</v>
      </c>
      <c r="K2393">
        <v>60002</v>
      </c>
      <c r="L2393">
        <v>1738</v>
      </c>
      <c r="M2393">
        <v>5</v>
      </c>
      <c r="N2393">
        <v>2</v>
      </c>
      <c r="O2393">
        <v>0</v>
      </c>
      <c r="P2393" t="s">
        <v>18</v>
      </c>
      <c r="Q2393">
        <v>3</v>
      </c>
      <c r="R2393">
        <v>0</v>
      </c>
      <c r="S2393" t="s">
        <v>19</v>
      </c>
      <c r="T2393">
        <v>0</v>
      </c>
      <c r="U2393">
        <v>0</v>
      </c>
    </row>
    <row r="2394" spans="1:21" x14ac:dyDescent="0.25">
      <c r="A2394" t="str">
        <f>"09837294"</f>
        <v>09837294</v>
      </c>
      <c r="B2394" t="s">
        <v>15</v>
      </c>
      <c r="C2394" s="1">
        <v>43620</v>
      </c>
      <c r="D2394" s="2">
        <f>YEAR(C2394)</f>
        <v>2019</v>
      </c>
      <c r="E2394">
        <v>210000</v>
      </c>
      <c r="F2394" t="s">
        <v>85</v>
      </c>
      <c r="G2394">
        <v>1940</v>
      </c>
      <c r="H2394">
        <v>1245</v>
      </c>
      <c r="I2394" t="s">
        <v>38</v>
      </c>
      <c r="J2394" t="str">
        <f>"2"</f>
        <v>2</v>
      </c>
      <c r="K2394">
        <v>60002</v>
      </c>
      <c r="L2394">
        <v>1740</v>
      </c>
      <c r="M2394">
        <v>7</v>
      </c>
      <c r="N2394">
        <v>2</v>
      </c>
      <c r="O2394">
        <v>1</v>
      </c>
      <c r="P2394" t="s">
        <v>18</v>
      </c>
      <c r="Q2394">
        <v>3</v>
      </c>
      <c r="R2394">
        <v>0</v>
      </c>
      <c r="S2394" t="s">
        <v>19</v>
      </c>
      <c r="T2394">
        <v>7</v>
      </c>
      <c r="U2394">
        <v>0</v>
      </c>
    </row>
    <row r="2395" spans="1:21" x14ac:dyDescent="0.25">
      <c r="A2395" t="str">
        <f>"10794364"</f>
        <v>10794364</v>
      </c>
      <c r="B2395" t="s">
        <v>15</v>
      </c>
      <c r="C2395" s="1">
        <v>44148</v>
      </c>
      <c r="D2395" s="2">
        <f>YEAR(C2395)</f>
        <v>2020</v>
      </c>
      <c r="E2395">
        <v>233500</v>
      </c>
      <c r="F2395" t="s">
        <v>85</v>
      </c>
      <c r="G2395">
        <v>2005</v>
      </c>
      <c r="H2395">
        <v>1024</v>
      </c>
      <c r="I2395" t="s">
        <v>761</v>
      </c>
      <c r="J2395" t="str">
        <f>"2"</f>
        <v>2</v>
      </c>
      <c r="K2395">
        <v>60002</v>
      </c>
      <c r="L2395">
        <v>1742</v>
      </c>
      <c r="M2395">
        <v>6</v>
      </c>
      <c r="N2395">
        <v>2</v>
      </c>
      <c r="O2395">
        <v>0</v>
      </c>
      <c r="P2395" t="s">
        <v>18</v>
      </c>
      <c r="Q2395">
        <v>3</v>
      </c>
      <c r="R2395">
        <v>0</v>
      </c>
      <c r="S2395" t="s">
        <v>21</v>
      </c>
      <c r="T2395">
        <v>2</v>
      </c>
      <c r="U2395">
        <v>0</v>
      </c>
    </row>
    <row r="2396" spans="1:21" x14ac:dyDescent="0.25">
      <c r="A2396" t="str">
        <f>"10425911"</f>
        <v>10425911</v>
      </c>
      <c r="B2396" t="s">
        <v>15</v>
      </c>
      <c r="C2396" s="1">
        <v>43689</v>
      </c>
      <c r="D2396" s="2">
        <f>YEAR(C2396)</f>
        <v>2019</v>
      </c>
      <c r="E2396">
        <v>163000</v>
      </c>
      <c r="F2396" t="s">
        <v>85</v>
      </c>
      <c r="G2396">
        <v>1950</v>
      </c>
      <c r="H2396">
        <v>1041</v>
      </c>
      <c r="I2396" t="s">
        <v>731</v>
      </c>
      <c r="J2396" t="str">
        <f>"2"</f>
        <v>2</v>
      </c>
      <c r="K2396">
        <v>60002</v>
      </c>
      <c r="L2396">
        <v>1748</v>
      </c>
      <c r="M2396">
        <v>8</v>
      </c>
      <c r="N2396">
        <v>2</v>
      </c>
      <c r="O2396">
        <v>0</v>
      </c>
      <c r="P2396" t="s">
        <v>18</v>
      </c>
      <c r="Q2396">
        <v>4</v>
      </c>
      <c r="R2396">
        <v>0</v>
      </c>
      <c r="S2396" t="s">
        <v>22</v>
      </c>
      <c r="T2396">
        <v>1</v>
      </c>
      <c r="U2396">
        <v>0</v>
      </c>
    </row>
    <row r="2397" spans="1:21" x14ac:dyDescent="0.25">
      <c r="A2397" t="str">
        <f>"10484040"</f>
        <v>10484040</v>
      </c>
      <c r="B2397" t="s">
        <v>15</v>
      </c>
      <c r="C2397" s="1">
        <v>43735</v>
      </c>
      <c r="D2397" s="2">
        <f>YEAR(C2397)</f>
        <v>2019</v>
      </c>
      <c r="E2397">
        <v>217900</v>
      </c>
      <c r="F2397" t="s">
        <v>85</v>
      </c>
      <c r="G2397">
        <v>1970</v>
      </c>
      <c r="H2397">
        <v>555</v>
      </c>
      <c r="I2397" t="s">
        <v>724</v>
      </c>
      <c r="J2397" t="str">
        <f>"2"</f>
        <v>2</v>
      </c>
      <c r="K2397">
        <v>60002</v>
      </c>
      <c r="L2397">
        <v>1750</v>
      </c>
      <c r="M2397">
        <v>8</v>
      </c>
      <c r="N2397">
        <v>2</v>
      </c>
      <c r="O2397">
        <v>0</v>
      </c>
      <c r="P2397" t="s">
        <v>18</v>
      </c>
      <c r="Q2397">
        <v>3</v>
      </c>
      <c r="R2397">
        <v>0</v>
      </c>
      <c r="S2397" t="s">
        <v>21</v>
      </c>
      <c r="T2397">
        <v>2</v>
      </c>
      <c r="U2397">
        <v>0</v>
      </c>
    </row>
    <row r="2398" spans="1:21" x14ac:dyDescent="0.25">
      <c r="A2398" t="str">
        <f>"10781451"</f>
        <v>10781451</v>
      </c>
      <c r="B2398" t="s">
        <v>15</v>
      </c>
      <c r="C2398" s="1">
        <v>44099</v>
      </c>
      <c r="D2398" s="2">
        <f>YEAR(C2398)</f>
        <v>2020</v>
      </c>
      <c r="E2398">
        <v>310000</v>
      </c>
      <c r="F2398" t="s">
        <v>85</v>
      </c>
      <c r="G2398">
        <v>2001</v>
      </c>
      <c r="H2398">
        <v>618</v>
      </c>
      <c r="I2398" t="s">
        <v>288</v>
      </c>
      <c r="J2398" t="str">
        <f>"2"</f>
        <v>2</v>
      </c>
      <c r="K2398">
        <v>60002</v>
      </c>
      <c r="L2398">
        <v>1751</v>
      </c>
      <c r="M2398">
        <v>11</v>
      </c>
      <c r="N2398">
        <v>3</v>
      </c>
      <c r="O2398">
        <v>0</v>
      </c>
      <c r="P2398" t="s">
        <v>79</v>
      </c>
      <c r="Q2398">
        <v>3</v>
      </c>
      <c r="R2398">
        <v>2</v>
      </c>
      <c r="S2398" t="s">
        <v>21</v>
      </c>
      <c r="T2398">
        <v>2</v>
      </c>
      <c r="U2398">
        <v>0</v>
      </c>
    </row>
    <row r="2399" spans="1:21" x14ac:dyDescent="0.25">
      <c r="A2399" t="s">
        <v>764</v>
      </c>
      <c r="B2399" t="s">
        <v>15</v>
      </c>
      <c r="C2399" s="1">
        <v>43532</v>
      </c>
      <c r="D2399" s="2">
        <f>YEAR(C2399)</f>
        <v>2019</v>
      </c>
      <c r="E2399">
        <v>220000</v>
      </c>
      <c r="F2399" t="s">
        <v>548</v>
      </c>
      <c r="G2399">
        <v>2005</v>
      </c>
      <c r="H2399">
        <v>1017</v>
      </c>
      <c r="I2399" t="s">
        <v>726</v>
      </c>
      <c r="J2399" t="s">
        <v>600</v>
      </c>
      <c r="K2399">
        <v>60002</v>
      </c>
      <c r="L2399">
        <v>1755</v>
      </c>
      <c r="M2399">
        <v>6</v>
      </c>
      <c r="N2399">
        <v>2</v>
      </c>
      <c r="O2399">
        <v>1</v>
      </c>
      <c r="P2399" t="s">
        <v>18</v>
      </c>
      <c r="Q2399">
        <v>2</v>
      </c>
      <c r="R2399">
        <v>0</v>
      </c>
      <c r="S2399" t="s">
        <v>21</v>
      </c>
      <c r="T2399">
        <v>2</v>
      </c>
      <c r="U2399">
        <v>0</v>
      </c>
    </row>
    <row r="2400" spans="1:21" x14ac:dyDescent="0.25">
      <c r="A2400" t="str">
        <f>"10439614"</f>
        <v>10439614</v>
      </c>
      <c r="B2400" t="s">
        <v>15</v>
      </c>
      <c r="C2400" s="1">
        <v>43811</v>
      </c>
      <c r="D2400" s="2">
        <f>YEAR(C2400)</f>
        <v>2019</v>
      </c>
      <c r="E2400">
        <v>79000</v>
      </c>
      <c r="F2400" t="s">
        <v>85</v>
      </c>
      <c r="G2400">
        <v>1970</v>
      </c>
      <c r="H2400">
        <v>359</v>
      </c>
      <c r="I2400" t="s">
        <v>765</v>
      </c>
      <c r="J2400" t="str">
        <f>"2"</f>
        <v>2</v>
      </c>
      <c r="K2400">
        <v>60002</v>
      </c>
      <c r="L2400">
        <v>1755</v>
      </c>
      <c r="M2400">
        <v>6</v>
      </c>
      <c r="N2400">
        <v>2</v>
      </c>
      <c r="O2400">
        <v>0</v>
      </c>
      <c r="P2400" t="s">
        <v>18</v>
      </c>
      <c r="Q2400">
        <v>3</v>
      </c>
      <c r="R2400">
        <v>0</v>
      </c>
      <c r="S2400" t="s">
        <v>22</v>
      </c>
      <c r="T2400">
        <v>2</v>
      </c>
      <c r="U2400">
        <v>0</v>
      </c>
    </row>
    <row r="2401" spans="1:21" x14ac:dyDescent="0.25">
      <c r="A2401" t="str">
        <f>"10732532"</f>
        <v>10732532</v>
      </c>
      <c r="B2401" t="s">
        <v>15</v>
      </c>
      <c r="C2401" s="1">
        <v>44029</v>
      </c>
      <c r="D2401" s="2">
        <f>YEAR(C2401)</f>
        <v>2020</v>
      </c>
      <c r="E2401">
        <v>179900</v>
      </c>
      <c r="F2401" t="s">
        <v>85</v>
      </c>
      <c r="G2401">
        <v>1970</v>
      </c>
      <c r="H2401">
        <v>359</v>
      </c>
      <c r="I2401" t="s">
        <v>765</v>
      </c>
      <c r="J2401" t="str">
        <f>"2"</f>
        <v>2</v>
      </c>
      <c r="K2401">
        <v>60002</v>
      </c>
      <c r="L2401">
        <v>1755</v>
      </c>
      <c r="M2401">
        <v>7</v>
      </c>
      <c r="N2401">
        <v>2</v>
      </c>
      <c r="O2401">
        <v>0</v>
      </c>
      <c r="P2401" t="s">
        <v>18</v>
      </c>
      <c r="Q2401">
        <v>3</v>
      </c>
      <c r="R2401">
        <v>0</v>
      </c>
      <c r="S2401" t="s">
        <v>22</v>
      </c>
      <c r="T2401">
        <v>2</v>
      </c>
      <c r="U2401">
        <v>0</v>
      </c>
    </row>
    <row r="2402" spans="1:21" x14ac:dyDescent="0.25">
      <c r="A2402" t="str">
        <f>"10336569"</f>
        <v>10336569</v>
      </c>
      <c r="B2402" t="s">
        <v>15</v>
      </c>
      <c r="C2402" s="1">
        <v>43629</v>
      </c>
      <c r="D2402" s="2">
        <f>YEAR(C2402)</f>
        <v>2019</v>
      </c>
      <c r="E2402">
        <v>213000</v>
      </c>
      <c r="F2402" t="s">
        <v>85</v>
      </c>
      <c r="G2402">
        <v>2005</v>
      </c>
      <c r="H2402">
        <v>1059</v>
      </c>
      <c r="I2402" t="s">
        <v>742</v>
      </c>
      <c r="J2402" t="str">
        <f>"2"</f>
        <v>2</v>
      </c>
      <c r="K2402">
        <v>60002</v>
      </c>
      <c r="L2402">
        <v>1756</v>
      </c>
      <c r="M2402">
        <v>6</v>
      </c>
      <c r="N2402">
        <v>2</v>
      </c>
      <c r="O2402">
        <v>1</v>
      </c>
      <c r="P2402" t="s">
        <v>79</v>
      </c>
      <c r="Q2402">
        <v>3</v>
      </c>
      <c r="R2402">
        <v>0</v>
      </c>
      <c r="S2402" t="s">
        <v>21</v>
      </c>
      <c r="T2402">
        <v>2</v>
      </c>
      <c r="U2402">
        <v>0</v>
      </c>
    </row>
    <row r="2403" spans="1:21" x14ac:dyDescent="0.25">
      <c r="A2403" t="str">
        <f>"10885946"</f>
        <v>10885946</v>
      </c>
      <c r="B2403" t="s">
        <v>15</v>
      </c>
      <c r="C2403" s="1">
        <v>44183</v>
      </c>
      <c r="D2403" s="2">
        <f>YEAR(C2403)</f>
        <v>2020</v>
      </c>
      <c r="E2403">
        <v>295000</v>
      </c>
      <c r="F2403" t="s">
        <v>85</v>
      </c>
      <c r="G2403">
        <v>2002</v>
      </c>
      <c r="H2403">
        <v>786</v>
      </c>
      <c r="I2403" t="s">
        <v>757</v>
      </c>
      <c r="J2403" t="str">
        <f>"2"</f>
        <v>2</v>
      </c>
      <c r="K2403">
        <v>60002</v>
      </c>
      <c r="L2403">
        <v>1760</v>
      </c>
      <c r="M2403">
        <v>6</v>
      </c>
      <c r="N2403">
        <v>2</v>
      </c>
      <c r="O2403">
        <v>0</v>
      </c>
      <c r="P2403" t="s">
        <v>18</v>
      </c>
      <c r="Q2403">
        <v>3</v>
      </c>
      <c r="R2403">
        <v>0</v>
      </c>
      <c r="S2403" t="s">
        <v>21</v>
      </c>
      <c r="T2403">
        <v>2</v>
      </c>
      <c r="U2403">
        <v>0</v>
      </c>
    </row>
    <row r="2404" spans="1:21" x14ac:dyDescent="0.25">
      <c r="A2404" t="str">
        <f>"10783326"</f>
        <v>10783326</v>
      </c>
      <c r="B2404" t="s">
        <v>15</v>
      </c>
      <c r="C2404" s="1">
        <v>44070</v>
      </c>
      <c r="D2404" s="2">
        <f>YEAR(C2404)</f>
        <v>2020</v>
      </c>
      <c r="E2404">
        <v>250000</v>
      </c>
      <c r="F2404" t="s">
        <v>85</v>
      </c>
      <c r="G2404">
        <v>1979</v>
      </c>
      <c r="H2404">
        <v>39817</v>
      </c>
      <c r="I2404" t="s">
        <v>728</v>
      </c>
      <c r="J2404" t="str">
        <f>"2"</f>
        <v>2</v>
      </c>
      <c r="K2404">
        <v>60002</v>
      </c>
      <c r="L2404">
        <v>1768</v>
      </c>
      <c r="M2404">
        <v>8</v>
      </c>
      <c r="N2404">
        <v>2</v>
      </c>
      <c r="O2404">
        <v>0</v>
      </c>
      <c r="P2404" t="s">
        <v>18</v>
      </c>
      <c r="Q2404">
        <v>3</v>
      </c>
      <c r="R2404">
        <v>0</v>
      </c>
      <c r="S2404" t="s">
        <v>21</v>
      </c>
      <c r="T2404">
        <v>2</v>
      </c>
      <c r="U2404">
        <v>0</v>
      </c>
    </row>
    <row r="2405" spans="1:21" x14ac:dyDescent="0.25">
      <c r="A2405" t="str">
        <f>"10510778"</f>
        <v>10510778</v>
      </c>
      <c r="B2405" t="s">
        <v>15</v>
      </c>
      <c r="C2405" s="1">
        <v>43775</v>
      </c>
      <c r="D2405" s="2">
        <f>YEAR(C2405)</f>
        <v>2019</v>
      </c>
      <c r="E2405">
        <v>186000</v>
      </c>
      <c r="F2405" t="s">
        <v>85</v>
      </c>
      <c r="G2405">
        <v>1950</v>
      </c>
      <c r="H2405">
        <v>42483</v>
      </c>
      <c r="I2405" t="s">
        <v>201</v>
      </c>
      <c r="J2405" t="str">
        <f>"2"</f>
        <v>2</v>
      </c>
      <c r="K2405">
        <v>60002</v>
      </c>
      <c r="L2405">
        <v>1769</v>
      </c>
      <c r="M2405">
        <v>9</v>
      </c>
      <c r="N2405">
        <v>1</v>
      </c>
      <c r="O2405">
        <v>1</v>
      </c>
      <c r="P2405" t="s">
        <v>18</v>
      </c>
      <c r="Q2405">
        <v>4</v>
      </c>
      <c r="R2405">
        <v>0</v>
      </c>
      <c r="S2405" t="s">
        <v>22</v>
      </c>
      <c r="T2405">
        <v>2.5</v>
      </c>
      <c r="U2405">
        <v>0</v>
      </c>
    </row>
    <row r="2406" spans="1:21" x14ac:dyDescent="0.25">
      <c r="A2406" t="str">
        <f>"10839653"</f>
        <v>10839653</v>
      </c>
      <c r="B2406" t="s">
        <v>15</v>
      </c>
      <c r="C2406" s="1">
        <v>44160</v>
      </c>
      <c r="D2406" s="2">
        <f>YEAR(C2406)</f>
        <v>2020</v>
      </c>
      <c r="E2406">
        <v>205000</v>
      </c>
      <c r="F2406" t="s">
        <v>85</v>
      </c>
      <c r="G2406">
        <v>1989</v>
      </c>
      <c r="H2406">
        <v>39852</v>
      </c>
      <c r="I2406" t="s">
        <v>728</v>
      </c>
      <c r="J2406" t="str">
        <f>"2"</f>
        <v>2</v>
      </c>
      <c r="K2406">
        <v>60002</v>
      </c>
      <c r="L2406">
        <v>1772</v>
      </c>
      <c r="M2406">
        <v>7</v>
      </c>
      <c r="N2406">
        <v>2</v>
      </c>
      <c r="O2406">
        <v>0</v>
      </c>
      <c r="P2406" t="s">
        <v>18</v>
      </c>
      <c r="Q2406">
        <v>3</v>
      </c>
      <c r="R2406">
        <v>0</v>
      </c>
      <c r="S2406" t="s">
        <v>21</v>
      </c>
      <c r="T2406">
        <v>2.5</v>
      </c>
      <c r="U2406">
        <v>0</v>
      </c>
    </row>
    <row r="2407" spans="1:21" x14ac:dyDescent="0.25">
      <c r="A2407" t="str">
        <f>"10903196"</f>
        <v>10903196</v>
      </c>
      <c r="B2407" t="s">
        <v>15</v>
      </c>
      <c r="C2407" s="1">
        <v>44148</v>
      </c>
      <c r="D2407" s="2">
        <f>YEAR(C2407)</f>
        <v>2020</v>
      </c>
      <c r="E2407">
        <v>190000</v>
      </c>
      <c r="F2407" t="s">
        <v>85</v>
      </c>
      <c r="G2407">
        <v>1978</v>
      </c>
      <c r="H2407">
        <v>332</v>
      </c>
      <c r="I2407" t="s">
        <v>767</v>
      </c>
      <c r="J2407" t="str">
        <f>"2"</f>
        <v>2</v>
      </c>
      <c r="K2407">
        <v>60002</v>
      </c>
      <c r="L2407">
        <v>1772</v>
      </c>
      <c r="M2407">
        <v>7</v>
      </c>
      <c r="N2407">
        <v>2</v>
      </c>
      <c r="O2407">
        <v>0</v>
      </c>
      <c r="P2407" t="s">
        <v>18</v>
      </c>
      <c r="Q2407">
        <v>3</v>
      </c>
      <c r="R2407">
        <v>0</v>
      </c>
      <c r="S2407" t="s">
        <v>22</v>
      </c>
      <c r="T2407">
        <v>2</v>
      </c>
      <c r="U2407">
        <v>0</v>
      </c>
    </row>
    <row r="2408" spans="1:21" x14ac:dyDescent="0.25">
      <c r="A2408" t="str">
        <f>"10672237"</f>
        <v>10672237</v>
      </c>
      <c r="B2408" t="s">
        <v>15</v>
      </c>
      <c r="C2408" s="1">
        <v>43951</v>
      </c>
      <c r="D2408" s="2">
        <f>YEAR(C2408)</f>
        <v>2020</v>
      </c>
      <c r="E2408">
        <v>178500</v>
      </c>
      <c r="F2408" t="s">
        <v>85</v>
      </c>
      <c r="G2408">
        <v>1945</v>
      </c>
      <c r="H2408">
        <v>26723</v>
      </c>
      <c r="I2408" t="s">
        <v>757</v>
      </c>
      <c r="J2408" t="str">
        <f>"2"</f>
        <v>2</v>
      </c>
      <c r="K2408">
        <v>60002</v>
      </c>
      <c r="L2408">
        <v>1774</v>
      </c>
      <c r="M2408">
        <v>5</v>
      </c>
      <c r="N2408">
        <v>2</v>
      </c>
      <c r="O2408">
        <v>0</v>
      </c>
      <c r="P2408" t="s">
        <v>18</v>
      </c>
      <c r="Q2408">
        <v>3</v>
      </c>
      <c r="R2408">
        <v>0</v>
      </c>
      <c r="S2408" t="s">
        <v>22</v>
      </c>
      <c r="T2408">
        <v>2</v>
      </c>
      <c r="U2408">
        <v>0</v>
      </c>
    </row>
    <row r="2409" spans="1:21" x14ac:dyDescent="0.25">
      <c r="A2409" t="str">
        <f>"10303251"</f>
        <v>10303251</v>
      </c>
      <c r="B2409" t="s">
        <v>15</v>
      </c>
      <c r="C2409" s="1">
        <v>43584</v>
      </c>
      <c r="D2409" s="2">
        <f>YEAR(C2409)</f>
        <v>2019</v>
      </c>
      <c r="E2409">
        <v>232500</v>
      </c>
      <c r="F2409" t="s">
        <v>85</v>
      </c>
      <c r="G2409">
        <v>1998</v>
      </c>
      <c r="H2409">
        <v>700</v>
      </c>
      <c r="I2409" t="s">
        <v>768</v>
      </c>
      <c r="J2409" t="str">
        <f>"2"</f>
        <v>2</v>
      </c>
      <c r="K2409">
        <v>60002</v>
      </c>
      <c r="L2409">
        <v>1782</v>
      </c>
      <c r="M2409">
        <v>7</v>
      </c>
      <c r="N2409">
        <v>2</v>
      </c>
      <c r="O2409">
        <v>1</v>
      </c>
      <c r="P2409" t="s">
        <v>18</v>
      </c>
      <c r="Q2409">
        <v>3</v>
      </c>
      <c r="R2409">
        <v>0</v>
      </c>
      <c r="S2409" t="s">
        <v>21</v>
      </c>
      <c r="T2409">
        <v>2</v>
      </c>
      <c r="U2409">
        <v>0</v>
      </c>
    </row>
    <row r="2410" spans="1:21" x14ac:dyDescent="0.25">
      <c r="A2410" t="str">
        <f>"10478067"</f>
        <v>10478067</v>
      </c>
      <c r="B2410" t="s">
        <v>15</v>
      </c>
      <c r="C2410" s="1">
        <v>43735</v>
      </c>
      <c r="D2410" s="2">
        <f>YEAR(C2410)</f>
        <v>2019</v>
      </c>
      <c r="E2410">
        <v>175000</v>
      </c>
      <c r="F2410" t="s">
        <v>85</v>
      </c>
      <c r="G2410">
        <v>1972</v>
      </c>
      <c r="H2410">
        <v>39576</v>
      </c>
      <c r="I2410" t="s">
        <v>769</v>
      </c>
      <c r="J2410" t="str">
        <f>"2"</f>
        <v>2</v>
      </c>
      <c r="K2410">
        <v>60002</v>
      </c>
      <c r="L2410">
        <v>1783</v>
      </c>
      <c r="M2410">
        <v>6</v>
      </c>
      <c r="N2410">
        <v>2</v>
      </c>
      <c r="O2410">
        <v>0</v>
      </c>
      <c r="P2410" t="s">
        <v>18</v>
      </c>
      <c r="Q2410">
        <v>2</v>
      </c>
      <c r="R2410">
        <v>0</v>
      </c>
      <c r="S2410" t="s">
        <v>21</v>
      </c>
      <c r="T2410">
        <v>1</v>
      </c>
      <c r="U2410">
        <v>0</v>
      </c>
    </row>
    <row r="2411" spans="1:21" x14ac:dyDescent="0.25">
      <c r="A2411" t="str">
        <f>"10538527"</f>
        <v>10538527</v>
      </c>
      <c r="B2411" t="s">
        <v>15</v>
      </c>
      <c r="C2411" s="1">
        <v>43958</v>
      </c>
      <c r="D2411" s="2">
        <f>YEAR(C2411)</f>
        <v>2020</v>
      </c>
      <c r="E2411">
        <v>196000</v>
      </c>
      <c r="F2411" t="s">
        <v>85</v>
      </c>
      <c r="G2411">
        <v>2005</v>
      </c>
      <c r="H2411">
        <v>1005</v>
      </c>
      <c r="I2411" t="s">
        <v>770</v>
      </c>
      <c r="J2411" t="str">
        <f>"2"</f>
        <v>2</v>
      </c>
      <c r="K2411">
        <v>60002</v>
      </c>
      <c r="L2411">
        <v>1784</v>
      </c>
      <c r="M2411">
        <v>7</v>
      </c>
      <c r="N2411">
        <v>2</v>
      </c>
      <c r="O2411">
        <v>1</v>
      </c>
      <c r="P2411" t="s">
        <v>18</v>
      </c>
      <c r="Q2411">
        <v>3</v>
      </c>
      <c r="R2411">
        <v>0</v>
      </c>
      <c r="S2411" t="s">
        <v>21</v>
      </c>
      <c r="T2411">
        <v>2</v>
      </c>
      <c r="U2411">
        <v>0</v>
      </c>
    </row>
    <row r="2412" spans="1:21" x14ac:dyDescent="0.25">
      <c r="A2412" t="str">
        <f>"10787501"</f>
        <v>10787501</v>
      </c>
      <c r="B2412" t="s">
        <v>15</v>
      </c>
      <c r="C2412" s="1">
        <v>44085</v>
      </c>
      <c r="D2412" s="2">
        <f>YEAR(C2412)</f>
        <v>2020</v>
      </c>
      <c r="E2412">
        <v>245000</v>
      </c>
      <c r="F2412" t="s">
        <v>85</v>
      </c>
      <c r="G2412">
        <v>1995</v>
      </c>
      <c r="H2412">
        <v>26125</v>
      </c>
      <c r="I2412" t="s">
        <v>689</v>
      </c>
      <c r="J2412" t="str">
        <f>"2"</f>
        <v>2</v>
      </c>
      <c r="K2412">
        <v>60002</v>
      </c>
      <c r="L2412">
        <v>1800</v>
      </c>
      <c r="M2412">
        <v>8</v>
      </c>
      <c r="N2412">
        <v>2</v>
      </c>
      <c r="O2412">
        <v>0</v>
      </c>
      <c r="P2412" t="s">
        <v>18</v>
      </c>
      <c r="Q2412">
        <v>4</v>
      </c>
      <c r="R2412">
        <v>0</v>
      </c>
      <c r="S2412" t="s">
        <v>21</v>
      </c>
      <c r="T2412">
        <v>4</v>
      </c>
      <c r="U2412">
        <v>0</v>
      </c>
    </row>
    <row r="2413" spans="1:21" x14ac:dyDescent="0.25">
      <c r="A2413" t="str">
        <f>"10714229"</f>
        <v>10714229</v>
      </c>
      <c r="B2413" t="s">
        <v>15</v>
      </c>
      <c r="C2413" s="1">
        <v>44008</v>
      </c>
      <c r="D2413" s="2">
        <f>YEAR(C2413)</f>
        <v>2020</v>
      </c>
      <c r="E2413">
        <v>184000</v>
      </c>
      <c r="F2413" t="s">
        <v>85</v>
      </c>
      <c r="G2413">
        <v>1970</v>
      </c>
      <c r="H2413">
        <v>306</v>
      </c>
      <c r="I2413" t="s">
        <v>771</v>
      </c>
      <c r="J2413" t="str">
        <f>"2"</f>
        <v>2</v>
      </c>
      <c r="K2413">
        <v>60002</v>
      </c>
      <c r="L2413">
        <v>1800</v>
      </c>
      <c r="M2413">
        <v>8</v>
      </c>
      <c r="N2413">
        <v>1</v>
      </c>
      <c r="O2413">
        <v>0</v>
      </c>
      <c r="P2413" t="s">
        <v>18</v>
      </c>
      <c r="Q2413">
        <v>4</v>
      </c>
      <c r="R2413">
        <v>0</v>
      </c>
      <c r="S2413" t="s">
        <v>22</v>
      </c>
      <c r="T2413">
        <v>2</v>
      </c>
      <c r="U2413">
        <v>0</v>
      </c>
    </row>
    <row r="2414" spans="1:21" x14ac:dyDescent="0.25">
      <c r="A2414" t="str">
        <f>"10897596"</f>
        <v>10897596</v>
      </c>
      <c r="B2414" t="s">
        <v>15</v>
      </c>
      <c r="C2414" s="1">
        <v>44153</v>
      </c>
      <c r="D2414" s="2">
        <f>YEAR(C2414)</f>
        <v>2020</v>
      </c>
      <c r="E2414">
        <v>180000</v>
      </c>
      <c r="F2414" t="s">
        <v>85</v>
      </c>
      <c r="G2414">
        <v>1967</v>
      </c>
      <c r="H2414">
        <v>351</v>
      </c>
      <c r="I2414" t="s">
        <v>158</v>
      </c>
      <c r="J2414" t="str">
        <f>"2"</f>
        <v>2</v>
      </c>
      <c r="K2414">
        <v>60002</v>
      </c>
      <c r="L2414">
        <v>1800</v>
      </c>
      <c r="M2414">
        <v>6</v>
      </c>
      <c r="N2414">
        <v>2</v>
      </c>
      <c r="O2414">
        <v>0</v>
      </c>
      <c r="P2414" t="s">
        <v>79</v>
      </c>
      <c r="Q2414">
        <v>2</v>
      </c>
      <c r="R2414">
        <v>0</v>
      </c>
      <c r="S2414" t="s">
        <v>21</v>
      </c>
      <c r="T2414">
        <v>2</v>
      </c>
      <c r="U2414">
        <v>0</v>
      </c>
    </row>
    <row r="2415" spans="1:21" x14ac:dyDescent="0.25">
      <c r="A2415" t="str">
        <f>"10539386"</f>
        <v>10539386</v>
      </c>
      <c r="B2415" t="s">
        <v>15</v>
      </c>
      <c r="C2415" s="1">
        <v>43776</v>
      </c>
      <c r="D2415" s="2">
        <f>YEAR(C2415)</f>
        <v>2019</v>
      </c>
      <c r="E2415">
        <v>213700</v>
      </c>
      <c r="F2415" t="s">
        <v>85</v>
      </c>
      <c r="G2415">
        <v>1977</v>
      </c>
      <c r="H2415">
        <v>234</v>
      </c>
      <c r="I2415" t="s">
        <v>572</v>
      </c>
      <c r="J2415" t="str">
        <f>"2"</f>
        <v>2</v>
      </c>
      <c r="K2415">
        <v>60002</v>
      </c>
      <c r="L2415">
        <v>1800</v>
      </c>
      <c r="M2415">
        <v>8</v>
      </c>
      <c r="N2415">
        <v>2</v>
      </c>
      <c r="O2415">
        <v>1</v>
      </c>
      <c r="P2415" t="s">
        <v>79</v>
      </c>
      <c r="Q2415">
        <v>4</v>
      </c>
      <c r="R2415">
        <v>0</v>
      </c>
      <c r="S2415" t="s">
        <v>21</v>
      </c>
      <c r="T2415">
        <v>2</v>
      </c>
      <c r="U2415">
        <v>0</v>
      </c>
    </row>
    <row r="2416" spans="1:21" x14ac:dyDescent="0.25">
      <c r="A2416" t="str">
        <f>"10710902"</f>
        <v>10710902</v>
      </c>
      <c r="B2416" t="s">
        <v>15</v>
      </c>
      <c r="C2416" s="1">
        <v>44075</v>
      </c>
      <c r="D2416" s="2">
        <f>YEAR(C2416)</f>
        <v>2020</v>
      </c>
      <c r="E2416">
        <v>195000</v>
      </c>
      <c r="F2416" t="s">
        <v>85</v>
      </c>
      <c r="G2416">
        <v>1993</v>
      </c>
      <c r="H2416">
        <v>632</v>
      </c>
      <c r="I2416" t="s">
        <v>773</v>
      </c>
      <c r="J2416" t="str">
        <f>"2"</f>
        <v>2</v>
      </c>
      <c r="K2416">
        <v>60002</v>
      </c>
      <c r="L2416">
        <v>1800</v>
      </c>
      <c r="M2416">
        <v>7</v>
      </c>
      <c r="N2416">
        <v>2</v>
      </c>
      <c r="O2416">
        <v>0</v>
      </c>
      <c r="P2416" t="s">
        <v>79</v>
      </c>
      <c r="Q2416">
        <v>3</v>
      </c>
      <c r="R2416">
        <v>0</v>
      </c>
      <c r="S2416" t="s">
        <v>22</v>
      </c>
      <c r="T2416">
        <v>2</v>
      </c>
      <c r="U2416">
        <v>0</v>
      </c>
    </row>
    <row r="2417" spans="1:21" x14ac:dyDescent="0.25">
      <c r="A2417" t="str">
        <f>"10310844"</f>
        <v>10310844</v>
      </c>
      <c r="B2417" t="s">
        <v>15</v>
      </c>
      <c r="C2417" s="1">
        <v>43579</v>
      </c>
      <c r="D2417" s="2">
        <f>YEAR(C2417)</f>
        <v>2019</v>
      </c>
      <c r="E2417">
        <v>191000</v>
      </c>
      <c r="F2417" t="s">
        <v>85</v>
      </c>
      <c r="G2417">
        <v>1999</v>
      </c>
      <c r="H2417">
        <v>729</v>
      </c>
      <c r="I2417" t="s">
        <v>768</v>
      </c>
      <c r="J2417" t="str">
        <f>"2"</f>
        <v>2</v>
      </c>
      <c r="K2417">
        <v>60002</v>
      </c>
      <c r="L2417">
        <v>1801</v>
      </c>
      <c r="M2417">
        <v>6</v>
      </c>
      <c r="N2417">
        <v>2</v>
      </c>
      <c r="O2417">
        <v>0</v>
      </c>
      <c r="P2417" t="s">
        <v>18</v>
      </c>
      <c r="Q2417">
        <v>3</v>
      </c>
      <c r="R2417">
        <v>0</v>
      </c>
      <c r="S2417" t="s">
        <v>21</v>
      </c>
      <c r="T2417">
        <v>2</v>
      </c>
      <c r="U2417">
        <v>0</v>
      </c>
    </row>
    <row r="2418" spans="1:21" x14ac:dyDescent="0.25">
      <c r="A2418" t="s">
        <v>774</v>
      </c>
      <c r="B2418" t="s">
        <v>15</v>
      </c>
      <c r="C2418" s="1">
        <v>43600</v>
      </c>
      <c r="D2418" s="2">
        <f>YEAR(C2418)</f>
        <v>2019</v>
      </c>
      <c r="E2418">
        <v>110000</v>
      </c>
      <c r="F2418" t="s">
        <v>548</v>
      </c>
      <c r="G2418">
        <v>1980</v>
      </c>
      <c r="H2418">
        <v>39867</v>
      </c>
      <c r="I2418" t="s">
        <v>775</v>
      </c>
      <c r="J2418" t="s">
        <v>600</v>
      </c>
      <c r="K2418">
        <v>60002</v>
      </c>
      <c r="L2418">
        <v>1801</v>
      </c>
      <c r="M2418">
        <v>7</v>
      </c>
      <c r="N2418">
        <v>1</v>
      </c>
      <c r="O2418">
        <v>1</v>
      </c>
      <c r="P2418" t="s">
        <v>18</v>
      </c>
      <c r="Q2418">
        <v>2</v>
      </c>
      <c r="R2418">
        <v>0</v>
      </c>
      <c r="S2418" t="s">
        <v>21</v>
      </c>
      <c r="T2418">
        <v>2</v>
      </c>
      <c r="U2418">
        <v>0</v>
      </c>
    </row>
    <row r="2419" spans="1:21" x14ac:dyDescent="0.25">
      <c r="A2419" t="str">
        <f>"10402953"</f>
        <v>10402953</v>
      </c>
      <c r="B2419" t="s">
        <v>15</v>
      </c>
      <c r="C2419" s="1">
        <v>43679</v>
      </c>
      <c r="D2419" s="2">
        <f>YEAR(C2419)</f>
        <v>2019</v>
      </c>
      <c r="E2419">
        <v>231500</v>
      </c>
      <c r="F2419" t="s">
        <v>85</v>
      </c>
      <c r="G2419">
        <v>2004</v>
      </c>
      <c r="H2419">
        <v>1158</v>
      </c>
      <c r="I2419" t="s">
        <v>776</v>
      </c>
      <c r="J2419" t="str">
        <f>"2"</f>
        <v>2</v>
      </c>
      <c r="K2419">
        <v>60002</v>
      </c>
      <c r="L2419">
        <v>1804</v>
      </c>
      <c r="M2419">
        <v>7</v>
      </c>
      <c r="N2419">
        <v>2</v>
      </c>
      <c r="O2419">
        <v>1</v>
      </c>
      <c r="P2419" t="s">
        <v>18</v>
      </c>
      <c r="Q2419">
        <v>3</v>
      </c>
      <c r="R2419">
        <v>0</v>
      </c>
      <c r="S2419" t="s">
        <v>21</v>
      </c>
      <c r="T2419">
        <v>2</v>
      </c>
      <c r="U2419">
        <v>0</v>
      </c>
    </row>
    <row r="2420" spans="1:21" x14ac:dyDescent="0.25">
      <c r="A2420" t="str">
        <f>"10434748"</f>
        <v>10434748</v>
      </c>
      <c r="B2420" t="s">
        <v>15</v>
      </c>
      <c r="C2420" s="1">
        <v>43769</v>
      </c>
      <c r="D2420" s="2">
        <f>YEAR(C2420)</f>
        <v>2019</v>
      </c>
      <c r="E2420">
        <v>244900</v>
      </c>
      <c r="F2420" t="s">
        <v>85</v>
      </c>
      <c r="G2420">
        <v>2017</v>
      </c>
      <c r="H2420">
        <v>860</v>
      </c>
      <c r="I2420" t="s">
        <v>777</v>
      </c>
      <c r="J2420" t="str">
        <f>"2"</f>
        <v>2</v>
      </c>
      <c r="K2420">
        <v>60002</v>
      </c>
      <c r="L2420">
        <v>1804</v>
      </c>
      <c r="M2420">
        <v>5</v>
      </c>
      <c r="N2420">
        <v>2</v>
      </c>
      <c r="O2420">
        <v>0</v>
      </c>
      <c r="P2420" t="s">
        <v>18</v>
      </c>
      <c r="Q2420">
        <v>3</v>
      </c>
      <c r="R2420">
        <v>0</v>
      </c>
      <c r="S2420" t="s">
        <v>21</v>
      </c>
      <c r="T2420">
        <v>2</v>
      </c>
      <c r="U2420">
        <v>0</v>
      </c>
    </row>
    <row r="2421" spans="1:21" x14ac:dyDescent="0.25">
      <c r="A2421" t="str">
        <f>"10515182"</f>
        <v>10515182</v>
      </c>
      <c r="B2421" t="s">
        <v>15</v>
      </c>
      <c r="C2421" s="1">
        <v>43826</v>
      </c>
      <c r="D2421" s="2">
        <f>YEAR(C2421)</f>
        <v>2019</v>
      </c>
      <c r="E2421">
        <v>580000</v>
      </c>
      <c r="F2421" t="s">
        <v>85</v>
      </c>
      <c r="G2421">
        <v>2010</v>
      </c>
      <c r="H2421">
        <v>40600</v>
      </c>
      <c r="I2421" t="s">
        <v>778</v>
      </c>
      <c r="J2421" t="str">
        <f>"2"</f>
        <v>2</v>
      </c>
      <c r="K2421">
        <v>60002</v>
      </c>
      <c r="L2421">
        <v>1815</v>
      </c>
      <c r="M2421">
        <v>10</v>
      </c>
      <c r="N2421">
        <v>3</v>
      </c>
      <c r="O2421">
        <v>1</v>
      </c>
      <c r="P2421" t="s">
        <v>79</v>
      </c>
      <c r="Q2421">
        <v>3</v>
      </c>
      <c r="R2421">
        <v>1</v>
      </c>
      <c r="S2421" t="s">
        <v>21</v>
      </c>
      <c r="T2421">
        <v>2</v>
      </c>
      <c r="U2421">
        <v>0</v>
      </c>
    </row>
    <row r="2422" spans="1:21" x14ac:dyDescent="0.25">
      <c r="A2422" t="str">
        <f>"10800368"</f>
        <v>10800368</v>
      </c>
      <c r="B2422" t="s">
        <v>15</v>
      </c>
      <c r="C2422" s="1">
        <v>44078</v>
      </c>
      <c r="D2422" s="2">
        <f>YEAR(C2422)</f>
        <v>2020</v>
      </c>
      <c r="E2422">
        <v>262000</v>
      </c>
      <c r="F2422" t="s">
        <v>85</v>
      </c>
      <c r="G2422">
        <v>1990</v>
      </c>
      <c r="H2422">
        <v>39883</v>
      </c>
      <c r="I2422" t="s">
        <v>728</v>
      </c>
      <c r="J2422" t="str">
        <f>"2"</f>
        <v>2</v>
      </c>
      <c r="K2422">
        <v>60002</v>
      </c>
      <c r="L2422">
        <v>1816</v>
      </c>
      <c r="M2422">
        <v>10</v>
      </c>
      <c r="N2422">
        <v>3</v>
      </c>
      <c r="O2422">
        <v>0</v>
      </c>
      <c r="P2422" t="s">
        <v>79</v>
      </c>
      <c r="Q2422">
        <v>3</v>
      </c>
      <c r="R2422">
        <v>0</v>
      </c>
      <c r="S2422" t="s">
        <v>21</v>
      </c>
      <c r="T2422">
        <v>2</v>
      </c>
      <c r="U2422">
        <v>0</v>
      </c>
    </row>
    <row r="2423" spans="1:21" x14ac:dyDescent="0.25">
      <c r="A2423" t="str">
        <f>"10136084"</f>
        <v>10136084</v>
      </c>
      <c r="B2423" t="s">
        <v>15</v>
      </c>
      <c r="C2423" s="1">
        <v>43469</v>
      </c>
      <c r="D2423" s="2">
        <f>YEAR(C2423)</f>
        <v>2019</v>
      </c>
      <c r="E2423">
        <v>190000</v>
      </c>
      <c r="F2423" t="s">
        <v>85</v>
      </c>
      <c r="G2423">
        <v>1971</v>
      </c>
      <c r="H2423">
        <v>26150</v>
      </c>
      <c r="I2423" t="s">
        <v>715</v>
      </c>
      <c r="J2423" t="str">
        <f>"2"</f>
        <v>2</v>
      </c>
      <c r="K2423">
        <v>60002</v>
      </c>
      <c r="L2423">
        <v>1818</v>
      </c>
      <c r="M2423">
        <v>7</v>
      </c>
      <c r="N2423">
        <v>2</v>
      </c>
      <c r="O2423">
        <v>0</v>
      </c>
      <c r="P2423" t="s">
        <v>79</v>
      </c>
      <c r="Q2423">
        <v>3</v>
      </c>
      <c r="R2423">
        <v>0</v>
      </c>
      <c r="S2423" t="s">
        <v>21</v>
      </c>
      <c r="T2423">
        <v>2</v>
      </c>
      <c r="U2423">
        <v>0</v>
      </c>
    </row>
    <row r="2424" spans="1:21" x14ac:dyDescent="0.25">
      <c r="A2424" t="s">
        <v>779</v>
      </c>
      <c r="B2424" t="s">
        <v>15</v>
      </c>
      <c r="C2424" s="1">
        <v>43665</v>
      </c>
      <c r="D2424" s="2">
        <f>YEAR(C2424)</f>
        <v>2019</v>
      </c>
      <c r="E2424">
        <v>176098</v>
      </c>
      <c r="F2424" t="s">
        <v>548</v>
      </c>
      <c r="G2424">
        <v>2006</v>
      </c>
      <c r="H2424">
        <v>1030</v>
      </c>
      <c r="I2424" t="s">
        <v>726</v>
      </c>
      <c r="J2424" t="s">
        <v>600</v>
      </c>
      <c r="K2424">
        <v>60002</v>
      </c>
      <c r="L2424">
        <v>1823</v>
      </c>
      <c r="M2424">
        <v>6</v>
      </c>
      <c r="N2424">
        <v>2</v>
      </c>
      <c r="O2424">
        <v>1</v>
      </c>
      <c r="P2424" t="s">
        <v>18</v>
      </c>
      <c r="Q2424">
        <v>3</v>
      </c>
      <c r="R2424">
        <v>0</v>
      </c>
      <c r="S2424" t="s">
        <v>21</v>
      </c>
      <c r="T2424">
        <v>2</v>
      </c>
      <c r="U2424">
        <v>0</v>
      </c>
    </row>
    <row r="2425" spans="1:21" x14ac:dyDescent="0.25">
      <c r="A2425" t="str">
        <f>"10610234"</f>
        <v>10610234</v>
      </c>
      <c r="B2425" t="s">
        <v>15</v>
      </c>
      <c r="C2425" s="1">
        <v>43896</v>
      </c>
      <c r="D2425" s="2">
        <f>YEAR(C2425)</f>
        <v>2020</v>
      </c>
      <c r="E2425">
        <v>174000</v>
      </c>
      <c r="F2425" t="s">
        <v>85</v>
      </c>
      <c r="G2425">
        <v>1997</v>
      </c>
      <c r="H2425">
        <v>611</v>
      </c>
      <c r="I2425" t="s">
        <v>605</v>
      </c>
      <c r="J2425" t="str">
        <f>"2"</f>
        <v>2</v>
      </c>
      <c r="K2425">
        <v>60002</v>
      </c>
      <c r="L2425">
        <v>1824</v>
      </c>
      <c r="M2425">
        <v>6</v>
      </c>
      <c r="N2425">
        <v>2</v>
      </c>
      <c r="O2425">
        <v>0</v>
      </c>
      <c r="P2425" t="s">
        <v>79</v>
      </c>
      <c r="Q2425">
        <v>3</v>
      </c>
      <c r="R2425">
        <v>0</v>
      </c>
      <c r="S2425" t="s">
        <v>21</v>
      </c>
      <c r="T2425">
        <v>2</v>
      </c>
      <c r="U2425">
        <v>0</v>
      </c>
    </row>
    <row r="2426" spans="1:21" x14ac:dyDescent="0.25">
      <c r="A2426" t="str">
        <f>"10744508"</f>
        <v>10744508</v>
      </c>
      <c r="B2426" t="s">
        <v>15</v>
      </c>
      <c r="C2426" s="1">
        <v>44043</v>
      </c>
      <c r="D2426" s="2">
        <f>YEAR(C2426)</f>
        <v>2020</v>
      </c>
      <c r="E2426">
        <v>250000</v>
      </c>
      <c r="F2426" t="s">
        <v>85</v>
      </c>
      <c r="G2426">
        <v>2017</v>
      </c>
      <c r="H2426">
        <v>888</v>
      </c>
      <c r="I2426" t="s">
        <v>777</v>
      </c>
      <c r="J2426" t="str">
        <f>"2"</f>
        <v>2</v>
      </c>
      <c r="K2426">
        <v>60002</v>
      </c>
      <c r="L2426">
        <v>1825</v>
      </c>
      <c r="M2426">
        <v>6</v>
      </c>
      <c r="N2426">
        <v>2</v>
      </c>
      <c r="O2426">
        <v>0</v>
      </c>
      <c r="P2426" t="s">
        <v>18</v>
      </c>
      <c r="Q2426">
        <v>3</v>
      </c>
      <c r="R2426">
        <v>0</v>
      </c>
      <c r="S2426" t="s">
        <v>21</v>
      </c>
      <c r="T2426">
        <v>2</v>
      </c>
      <c r="U2426">
        <v>0</v>
      </c>
    </row>
    <row r="2427" spans="1:21" x14ac:dyDescent="0.25">
      <c r="A2427" t="str">
        <f>"10815752"</f>
        <v>10815752</v>
      </c>
      <c r="B2427" t="s">
        <v>15</v>
      </c>
      <c r="C2427" s="1">
        <v>44082</v>
      </c>
      <c r="D2427" s="2">
        <f>YEAR(C2427)</f>
        <v>2020</v>
      </c>
      <c r="E2427">
        <v>227900</v>
      </c>
      <c r="F2427" t="s">
        <v>85</v>
      </c>
      <c r="G2427">
        <v>1994</v>
      </c>
      <c r="H2427">
        <v>194</v>
      </c>
      <c r="I2427" t="s">
        <v>772</v>
      </c>
      <c r="J2427" t="str">
        <f>"2"</f>
        <v>2</v>
      </c>
      <c r="K2427">
        <v>60002</v>
      </c>
      <c r="L2427">
        <v>1831</v>
      </c>
      <c r="M2427">
        <v>7</v>
      </c>
      <c r="N2427">
        <v>2</v>
      </c>
      <c r="O2427">
        <v>1</v>
      </c>
      <c r="P2427" t="s">
        <v>18</v>
      </c>
      <c r="Q2427">
        <v>3</v>
      </c>
      <c r="R2427">
        <v>0</v>
      </c>
      <c r="S2427" t="s">
        <v>21</v>
      </c>
      <c r="T2427">
        <v>2</v>
      </c>
      <c r="U2427">
        <v>0</v>
      </c>
    </row>
    <row r="2428" spans="1:21" x14ac:dyDescent="0.25">
      <c r="A2428" t="str">
        <f>"10699317"</f>
        <v>10699317</v>
      </c>
      <c r="B2428" t="s">
        <v>15</v>
      </c>
      <c r="C2428" s="1">
        <v>44014</v>
      </c>
      <c r="D2428" s="2">
        <f>YEAR(C2428)</f>
        <v>2020</v>
      </c>
      <c r="E2428">
        <v>223000</v>
      </c>
      <c r="F2428" t="s">
        <v>85</v>
      </c>
      <c r="G2428">
        <v>2005</v>
      </c>
      <c r="H2428">
        <v>1000</v>
      </c>
      <c r="I2428" t="s">
        <v>780</v>
      </c>
      <c r="J2428" t="str">
        <f>"2"</f>
        <v>2</v>
      </c>
      <c r="K2428">
        <v>60002</v>
      </c>
      <c r="L2428">
        <v>1833</v>
      </c>
      <c r="M2428">
        <v>8</v>
      </c>
      <c r="N2428">
        <v>2</v>
      </c>
      <c r="O2428">
        <v>1</v>
      </c>
      <c r="P2428" t="s">
        <v>18</v>
      </c>
      <c r="Q2428">
        <v>4</v>
      </c>
      <c r="R2428">
        <v>0</v>
      </c>
      <c r="S2428" t="s">
        <v>21</v>
      </c>
      <c r="T2428">
        <v>2</v>
      </c>
      <c r="U2428">
        <v>0</v>
      </c>
    </row>
    <row r="2429" spans="1:21" x14ac:dyDescent="0.25">
      <c r="A2429" t="str">
        <f>"10637404"</f>
        <v>10637404</v>
      </c>
      <c r="B2429" t="s">
        <v>15</v>
      </c>
      <c r="C2429" s="1">
        <v>43909</v>
      </c>
      <c r="D2429" s="2">
        <f>YEAR(C2429)</f>
        <v>2020</v>
      </c>
      <c r="E2429">
        <v>223600</v>
      </c>
      <c r="F2429" t="s">
        <v>85</v>
      </c>
      <c r="G2429">
        <v>2000</v>
      </c>
      <c r="H2429">
        <v>30</v>
      </c>
      <c r="I2429" t="s">
        <v>358</v>
      </c>
      <c r="J2429" t="str">
        <f>"2"</f>
        <v>2</v>
      </c>
      <c r="K2429">
        <v>60002</v>
      </c>
      <c r="L2429">
        <v>1840</v>
      </c>
      <c r="M2429">
        <v>10</v>
      </c>
      <c r="N2429">
        <v>2</v>
      </c>
      <c r="O2429">
        <v>1</v>
      </c>
      <c r="P2429" t="s">
        <v>18</v>
      </c>
      <c r="Q2429">
        <v>4</v>
      </c>
      <c r="R2429">
        <v>0</v>
      </c>
      <c r="S2429" t="s">
        <v>21</v>
      </c>
      <c r="T2429">
        <v>2</v>
      </c>
      <c r="U2429">
        <v>0</v>
      </c>
    </row>
    <row r="2430" spans="1:21" x14ac:dyDescent="0.25">
      <c r="A2430" t="str">
        <f>"10383306"</f>
        <v>10383306</v>
      </c>
      <c r="B2430" t="s">
        <v>15</v>
      </c>
      <c r="C2430" s="1">
        <v>43644</v>
      </c>
      <c r="D2430" s="2">
        <f>YEAR(C2430)</f>
        <v>2019</v>
      </c>
      <c r="E2430">
        <v>51000</v>
      </c>
      <c r="F2430" t="s">
        <v>85</v>
      </c>
      <c r="G2430">
        <v>1950</v>
      </c>
      <c r="H2430">
        <v>39450</v>
      </c>
      <c r="I2430" t="s">
        <v>476</v>
      </c>
      <c r="J2430" t="str">
        <f>"2"</f>
        <v>2</v>
      </c>
      <c r="K2430">
        <v>60002</v>
      </c>
      <c r="L2430">
        <v>1840</v>
      </c>
      <c r="M2430">
        <v>7</v>
      </c>
      <c r="N2430">
        <v>2</v>
      </c>
      <c r="O2430">
        <v>0</v>
      </c>
      <c r="P2430" t="s">
        <v>79</v>
      </c>
      <c r="Q2430">
        <v>3</v>
      </c>
      <c r="R2430">
        <v>0</v>
      </c>
      <c r="S2430" t="s">
        <v>19</v>
      </c>
      <c r="T2430">
        <v>0</v>
      </c>
      <c r="U2430">
        <v>0</v>
      </c>
    </row>
    <row r="2431" spans="1:21" x14ac:dyDescent="0.25">
      <c r="A2431" t="str">
        <f>"10337052"</f>
        <v>10337052</v>
      </c>
      <c r="B2431" t="s">
        <v>15</v>
      </c>
      <c r="C2431" s="1">
        <v>43658</v>
      </c>
      <c r="D2431" s="2">
        <f>YEAR(C2431)</f>
        <v>2019</v>
      </c>
      <c r="E2431">
        <v>315000</v>
      </c>
      <c r="F2431" t="s">
        <v>85</v>
      </c>
      <c r="G2431">
        <v>1970</v>
      </c>
      <c r="H2431">
        <v>38855</v>
      </c>
      <c r="I2431" t="s">
        <v>593</v>
      </c>
      <c r="J2431" t="str">
        <f>"2"</f>
        <v>2</v>
      </c>
      <c r="K2431">
        <v>60002</v>
      </c>
      <c r="L2431">
        <v>1850</v>
      </c>
      <c r="M2431">
        <v>8</v>
      </c>
      <c r="N2431">
        <v>2</v>
      </c>
      <c r="O2431">
        <v>0</v>
      </c>
      <c r="P2431" t="s">
        <v>79</v>
      </c>
      <c r="Q2431">
        <v>2</v>
      </c>
      <c r="R2431">
        <v>1</v>
      </c>
      <c r="S2431" t="s">
        <v>22</v>
      </c>
      <c r="T2431">
        <v>2</v>
      </c>
      <c r="U2431">
        <v>0</v>
      </c>
    </row>
    <row r="2432" spans="1:21" x14ac:dyDescent="0.25">
      <c r="A2432" t="str">
        <f>"10692789"</f>
        <v>10692789</v>
      </c>
      <c r="B2432" t="s">
        <v>15</v>
      </c>
      <c r="C2432" s="1">
        <v>44099</v>
      </c>
      <c r="D2432" s="2">
        <f>YEAR(C2432)</f>
        <v>2020</v>
      </c>
      <c r="E2432">
        <v>191000</v>
      </c>
      <c r="F2432" t="s">
        <v>85</v>
      </c>
      <c r="G2432">
        <v>1980</v>
      </c>
      <c r="H2432">
        <v>40024</v>
      </c>
      <c r="I2432" t="s">
        <v>617</v>
      </c>
      <c r="J2432" t="str">
        <f>"2"</f>
        <v>2</v>
      </c>
      <c r="K2432">
        <v>60002</v>
      </c>
      <c r="L2432">
        <v>1860</v>
      </c>
      <c r="M2432">
        <v>7</v>
      </c>
      <c r="N2432">
        <v>2</v>
      </c>
      <c r="O2432">
        <v>0</v>
      </c>
      <c r="P2432" t="s">
        <v>18</v>
      </c>
      <c r="Q2432">
        <v>3</v>
      </c>
      <c r="R2432">
        <v>0</v>
      </c>
      <c r="S2432" t="s">
        <v>21</v>
      </c>
      <c r="T2432">
        <v>2</v>
      </c>
      <c r="U2432">
        <v>0</v>
      </c>
    </row>
    <row r="2433" spans="1:21" x14ac:dyDescent="0.25">
      <c r="A2433" t="str">
        <f>"10314084"</f>
        <v>10314084</v>
      </c>
      <c r="B2433" t="s">
        <v>15</v>
      </c>
      <c r="C2433" s="1">
        <v>43601</v>
      </c>
      <c r="D2433" s="2">
        <f>YEAR(C2433)</f>
        <v>2019</v>
      </c>
      <c r="E2433">
        <v>229900</v>
      </c>
      <c r="F2433" t="s">
        <v>85</v>
      </c>
      <c r="G2433">
        <v>2004</v>
      </c>
      <c r="H2433">
        <v>1302</v>
      </c>
      <c r="I2433" t="s">
        <v>739</v>
      </c>
      <c r="J2433" t="str">
        <f>"2"</f>
        <v>2</v>
      </c>
      <c r="K2433">
        <v>60002</v>
      </c>
      <c r="L2433">
        <v>1864</v>
      </c>
      <c r="M2433">
        <v>11</v>
      </c>
      <c r="N2433">
        <v>2</v>
      </c>
      <c r="O2433">
        <v>2</v>
      </c>
      <c r="P2433" t="s">
        <v>79</v>
      </c>
      <c r="Q2433">
        <v>4</v>
      </c>
      <c r="R2433">
        <v>0</v>
      </c>
      <c r="S2433" t="s">
        <v>21</v>
      </c>
      <c r="T2433">
        <v>2</v>
      </c>
      <c r="U2433">
        <v>0</v>
      </c>
    </row>
    <row r="2434" spans="1:21" x14ac:dyDescent="0.25">
      <c r="A2434" t="str">
        <f>"10706869"</f>
        <v>10706869</v>
      </c>
      <c r="B2434" t="s">
        <v>15</v>
      </c>
      <c r="C2434" s="1">
        <v>43999</v>
      </c>
      <c r="D2434" s="2">
        <f>YEAR(C2434)</f>
        <v>2020</v>
      </c>
      <c r="E2434">
        <v>175500</v>
      </c>
      <c r="F2434" t="s">
        <v>85</v>
      </c>
      <c r="G2434">
        <v>1991</v>
      </c>
      <c r="H2434">
        <v>263</v>
      </c>
      <c r="I2434" t="s">
        <v>209</v>
      </c>
      <c r="J2434" t="str">
        <f>"2"</f>
        <v>2</v>
      </c>
      <c r="K2434">
        <v>60002</v>
      </c>
      <c r="L2434">
        <v>1872</v>
      </c>
      <c r="M2434">
        <v>7</v>
      </c>
      <c r="N2434">
        <v>2</v>
      </c>
      <c r="O2434">
        <v>0</v>
      </c>
      <c r="P2434" t="s">
        <v>79</v>
      </c>
      <c r="Q2434">
        <v>3</v>
      </c>
      <c r="R2434">
        <v>0</v>
      </c>
      <c r="S2434" t="s">
        <v>22</v>
      </c>
      <c r="T2434">
        <v>2</v>
      </c>
      <c r="U2434">
        <v>0</v>
      </c>
    </row>
    <row r="2435" spans="1:21" x14ac:dyDescent="0.25">
      <c r="A2435" t="str">
        <f>"10735803"</f>
        <v>10735803</v>
      </c>
      <c r="B2435" t="s">
        <v>15</v>
      </c>
      <c r="C2435" s="1">
        <v>44012</v>
      </c>
      <c r="D2435" s="2">
        <f>YEAR(C2435)</f>
        <v>2020</v>
      </c>
      <c r="E2435">
        <v>266000</v>
      </c>
      <c r="F2435" t="s">
        <v>85</v>
      </c>
      <c r="G2435">
        <v>2001</v>
      </c>
      <c r="H2435">
        <v>581</v>
      </c>
      <c r="I2435" t="s">
        <v>115</v>
      </c>
      <c r="J2435" t="str">
        <f>"2"</f>
        <v>2</v>
      </c>
      <c r="K2435">
        <v>60002</v>
      </c>
      <c r="L2435">
        <v>1873</v>
      </c>
      <c r="M2435">
        <v>7</v>
      </c>
      <c r="N2435">
        <v>1</v>
      </c>
      <c r="O2435">
        <v>1</v>
      </c>
      <c r="P2435" t="s">
        <v>18</v>
      </c>
      <c r="Q2435">
        <v>3</v>
      </c>
      <c r="R2435">
        <v>0</v>
      </c>
      <c r="S2435" t="s">
        <v>21</v>
      </c>
      <c r="T2435">
        <v>2</v>
      </c>
      <c r="U2435">
        <v>0</v>
      </c>
    </row>
    <row r="2436" spans="1:21" x14ac:dyDescent="0.25">
      <c r="A2436" t="str">
        <f>"10565207"</f>
        <v>10565207</v>
      </c>
      <c r="B2436" t="s">
        <v>15</v>
      </c>
      <c r="C2436" s="1">
        <v>43795</v>
      </c>
      <c r="D2436" s="2">
        <f>YEAR(C2436)</f>
        <v>2019</v>
      </c>
      <c r="E2436">
        <v>266000</v>
      </c>
      <c r="F2436" t="s">
        <v>85</v>
      </c>
      <c r="G2436">
        <v>2002</v>
      </c>
      <c r="H2436">
        <v>866</v>
      </c>
      <c r="I2436" t="s">
        <v>783</v>
      </c>
      <c r="J2436" t="str">
        <f>"2"</f>
        <v>2</v>
      </c>
      <c r="K2436">
        <v>60002</v>
      </c>
      <c r="L2436">
        <v>1875</v>
      </c>
      <c r="M2436">
        <v>11</v>
      </c>
      <c r="N2436">
        <v>2</v>
      </c>
      <c r="O2436">
        <v>1</v>
      </c>
      <c r="P2436" t="s">
        <v>18</v>
      </c>
      <c r="Q2436">
        <v>4</v>
      </c>
      <c r="R2436">
        <v>0</v>
      </c>
      <c r="S2436" t="s">
        <v>21</v>
      </c>
      <c r="T2436">
        <v>3</v>
      </c>
      <c r="U2436">
        <v>0</v>
      </c>
    </row>
    <row r="2437" spans="1:21" x14ac:dyDescent="0.25">
      <c r="A2437" t="str">
        <f>"10163670"</f>
        <v>10163670</v>
      </c>
      <c r="B2437" t="s">
        <v>15</v>
      </c>
      <c r="C2437" s="1">
        <v>43496</v>
      </c>
      <c r="D2437" s="2">
        <f>YEAR(C2437)</f>
        <v>2019</v>
      </c>
      <c r="E2437">
        <v>230000</v>
      </c>
      <c r="F2437" t="s">
        <v>85</v>
      </c>
      <c r="G2437">
        <v>1993</v>
      </c>
      <c r="H2437">
        <v>1394</v>
      </c>
      <c r="I2437" t="s">
        <v>784</v>
      </c>
      <c r="J2437" t="str">
        <f>"2"</f>
        <v>2</v>
      </c>
      <c r="K2437">
        <v>60002</v>
      </c>
      <c r="L2437">
        <v>1880</v>
      </c>
      <c r="M2437">
        <v>8</v>
      </c>
      <c r="N2437">
        <v>2</v>
      </c>
      <c r="O2437">
        <v>1</v>
      </c>
      <c r="P2437" t="s">
        <v>18</v>
      </c>
      <c r="Q2437">
        <v>3</v>
      </c>
      <c r="R2437">
        <v>0</v>
      </c>
      <c r="S2437" t="s">
        <v>21</v>
      </c>
      <c r="T2437">
        <v>2</v>
      </c>
      <c r="U2437">
        <v>0</v>
      </c>
    </row>
    <row r="2438" spans="1:21" x14ac:dyDescent="0.25">
      <c r="A2438" t="str">
        <f>"10144654"</f>
        <v>10144654</v>
      </c>
      <c r="B2438" t="s">
        <v>15</v>
      </c>
      <c r="C2438" s="1">
        <v>43496</v>
      </c>
      <c r="D2438" s="2">
        <f>YEAR(C2438)</f>
        <v>2019</v>
      </c>
      <c r="E2438">
        <v>200000</v>
      </c>
      <c r="F2438" t="s">
        <v>85</v>
      </c>
      <c r="G2438">
        <v>2005</v>
      </c>
      <c r="H2438">
        <v>1032</v>
      </c>
      <c r="I2438" t="s">
        <v>785</v>
      </c>
      <c r="J2438" t="str">
        <f>"2"</f>
        <v>2</v>
      </c>
      <c r="K2438">
        <v>60002</v>
      </c>
      <c r="L2438">
        <v>1881</v>
      </c>
      <c r="M2438">
        <v>6</v>
      </c>
      <c r="N2438">
        <v>2</v>
      </c>
      <c r="O2438">
        <v>0</v>
      </c>
      <c r="P2438" t="s">
        <v>18</v>
      </c>
      <c r="Q2438">
        <v>3</v>
      </c>
      <c r="R2438">
        <v>0</v>
      </c>
      <c r="S2438" t="s">
        <v>21</v>
      </c>
      <c r="T2438">
        <v>2</v>
      </c>
      <c r="U2438">
        <v>0</v>
      </c>
    </row>
    <row r="2439" spans="1:21" x14ac:dyDescent="0.25">
      <c r="A2439" t="str">
        <f>"10738795"</f>
        <v>10738795</v>
      </c>
      <c r="B2439" t="s">
        <v>15</v>
      </c>
      <c r="C2439" s="1">
        <v>44057</v>
      </c>
      <c r="D2439" s="2">
        <f>YEAR(C2439)</f>
        <v>2020</v>
      </c>
      <c r="E2439">
        <v>302000</v>
      </c>
      <c r="F2439" t="s">
        <v>85</v>
      </c>
      <c r="G2439">
        <v>2004</v>
      </c>
      <c r="H2439">
        <v>571</v>
      </c>
      <c r="I2439" t="s">
        <v>115</v>
      </c>
      <c r="J2439" t="str">
        <f>"2"</f>
        <v>2</v>
      </c>
      <c r="K2439">
        <v>60002</v>
      </c>
      <c r="L2439">
        <v>1882</v>
      </c>
      <c r="M2439">
        <v>10</v>
      </c>
      <c r="N2439">
        <v>3</v>
      </c>
      <c r="O2439">
        <v>0</v>
      </c>
      <c r="P2439" t="s">
        <v>79</v>
      </c>
      <c r="Q2439">
        <v>3</v>
      </c>
      <c r="R2439">
        <v>1</v>
      </c>
      <c r="S2439" t="s">
        <v>21</v>
      </c>
      <c r="T2439">
        <v>2</v>
      </c>
      <c r="U2439">
        <v>0</v>
      </c>
    </row>
    <row r="2440" spans="1:21" x14ac:dyDescent="0.25">
      <c r="A2440" t="str">
        <f>"10880305"</f>
        <v>10880305</v>
      </c>
      <c r="B2440" t="s">
        <v>15</v>
      </c>
      <c r="C2440" s="1">
        <v>44155</v>
      </c>
      <c r="D2440" s="2">
        <f>YEAR(C2440)</f>
        <v>2020</v>
      </c>
      <c r="E2440">
        <v>232000</v>
      </c>
      <c r="F2440" t="s">
        <v>85</v>
      </c>
      <c r="G2440">
        <v>1989</v>
      </c>
      <c r="H2440">
        <v>491</v>
      </c>
      <c r="I2440" t="s">
        <v>644</v>
      </c>
      <c r="J2440" t="str">
        <f>"2"</f>
        <v>2</v>
      </c>
      <c r="K2440">
        <v>60002</v>
      </c>
      <c r="L2440">
        <v>1890</v>
      </c>
      <c r="M2440">
        <v>8</v>
      </c>
      <c r="N2440">
        <v>2</v>
      </c>
      <c r="O2440">
        <v>1</v>
      </c>
      <c r="P2440" t="s">
        <v>18</v>
      </c>
      <c r="Q2440">
        <v>4</v>
      </c>
      <c r="R2440">
        <v>0</v>
      </c>
      <c r="S2440" t="s">
        <v>21</v>
      </c>
      <c r="T2440">
        <v>2</v>
      </c>
      <c r="U2440">
        <v>0</v>
      </c>
    </row>
    <row r="2441" spans="1:21" x14ac:dyDescent="0.25">
      <c r="A2441" t="str">
        <f>"10780512"</f>
        <v>10780512</v>
      </c>
      <c r="B2441" t="s">
        <v>15</v>
      </c>
      <c r="C2441" s="1">
        <v>44193</v>
      </c>
      <c r="D2441" s="2">
        <f>YEAR(C2441)</f>
        <v>2020</v>
      </c>
      <c r="E2441">
        <v>325900</v>
      </c>
      <c r="F2441" t="s">
        <v>85</v>
      </c>
      <c r="G2441">
        <v>1989</v>
      </c>
      <c r="H2441">
        <v>26051</v>
      </c>
      <c r="I2441" t="s">
        <v>715</v>
      </c>
      <c r="J2441" t="str">
        <f>"2"</f>
        <v>2</v>
      </c>
      <c r="K2441">
        <v>60002</v>
      </c>
      <c r="L2441">
        <v>1890</v>
      </c>
      <c r="M2441">
        <v>7</v>
      </c>
      <c r="N2441">
        <v>2</v>
      </c>
      <c r="O2441">
        <v>0</v>
      </c>
      <c r="P2441" t="s">
        <v>18</v>
      </c>
      <c r="Q2441">
        <v>3</v>
      </c>
      <c r="R2441">
        <v>0</v>
      </c>
      <c r="S2441" t="s">
        <v>21</v>
      </c>
      <c r="T2441">
        <v>3</v>
      </c>
      <c r="U2441">
        <v>0</v>
      </c>
    </row>
    <row r="2442" spans="1:21" x14ac:dyDescent="0.25">
      <c r="A2442" t="str">
        <f>"10904064"</f>
        <v>10904064</v>
      </c>
      <c r="B2442" t="s">
        <v>15</v>
      </c>
      <c r="C2442" s="1">
        <v>44176</v>
      </c>
      <c r="D2442" s="2">
        <f>YEAR(C2442)</f>
        <v>2020</v>
      </c>
      <c r="E2442">
        <v>169000</v>
      </c>
      <c r="F2442" t="s">
        <v>85</v>
      </c>
      <c r="G2442">
        <v>1974</v>
      </c>
      <c r="H2442">
        <v>542</v>
      </c>
      <c r="I2442" t="s">
        <v>787</v>
      </c>
      <c r="J2442" t="str">
        <f>"2"</f>
        <v>2</v>
      </c>
      <c r="K2442">
        <v>60002</v>
      </c>
      <c r="L2442">
        <v>1892</v>
      </c>
      <c r="M2442">
        <v>7</v>
      </c>
      <c r="N2442">
        <v>2</v>
      </c>
      <c r="O2442">
        <v>0</v>
      </c>
      <c r="P2442" t="s">
        <v>18</v>
      </c>
      <c r="Q2442">
        <v>3</v>
      </c>
      <c r="R2442">
        <v>0</v>
      </c>
      <c r="S2442" t="s">
        <v>21</v>
      </c>
      <c r="T2442">
        <v>2</v>
      </c>
      <c r="U2442">
        <v>0</v>
      </c>
    </row>
    <row r="2443" spans="1:21" x14ac:dyDescent="0.25">
      <c r="A2443" t="str">
        <f>"10824268"</f>
        <v>10824268</v>
      </c>
      <c r="B2443" t="s">
        <v>15</v>
      </c>
      <c r="C2443" s="1">
        <v>44102</v>
      </c>
      <c r="D2443" s="2">
        <f>YEAR(C2443)</f>
        <v>2020</v>
      </c>
      <c r="E2443">
        <v>223500</v>
      </c>
      <c r="F2443" t="s">
        <v>85</v>
      </c>
      <c r="G2443">
        <v>2005</v>
      </c>
      <c r="H2443">
        <v>26577</v>
      </c>
      <c r="I2443" t="s">
        <v>788</v>
      </c>
      <c r="J2443" t="str">
        <f>"2"</f>
        <v>2</v>
      </c>
      <c r="K2443">
        <v>60002</v>
      </c>
      <c r="L2443">
        <v>1900</v>
      </c>
      <c r="M2443">
        <v>8</v>
      </c>
      <c r="N2443">
        <v>2</v>
      </c>
      <c r="O2443">
        <v>0</v>
      </c>
      <c r="P2443" t="s">
        <v>18</v>
      </c>
      <c r="Q2443">
        <v>4</v>
      </c>
      <c r="R2443">
        <v>0</v>
      </c>
      <c r="S2443" t="s">
        <v>21</v>
      </c>
      <c r="T2443">
        <v>2.5</v>
      </c>
      <c r="U2443">
        <v>0</v>
      </c>
    </row>
    <row r="2444" spans="1:21" x14ac:dyDescent="0.25">
      <c r="A2444" t="str">
        <f>"10592681"</f>
        <v>10592681</v>
      </c>
      <c r="B2444" t="s">
        <v>15</v>
      </c>
      <c r="C2444" s="1">
        <v>43882</v>
      </c>
      <c r="D2444" s="2">
        <f>YEAR(C2444)</f>
        <v>2020</v>
      </c>
      <c r="E2444">
        <v>185000</v>
      </c>
      <c r="F2444" t="s">
        <v>85</v>
      </c>
      <c r="G2444">
        <v>1964</v>
      </c>
      <c r="H2444">
        <v>480</v>
      </c>
      <c r="I2444" t="s">
        <v>790</v>
      </c>
      <c r="J2444" t="str">
        <f>"2"</f>
        <v>2</v>
      </c>
      <c r="K2444">
        <v>60002</v>
      </c>
      <c r="L2444">
        <v>1900</v>
      </c>
      <c r="M2444">
        <v>7</v>
      </c>
      <c r="N2444">
        <v>2</v>
      </c>
      <c r="O2444">
        <v>0</v>
      </c>
      <c r="P2444" t="s">
        <v>79</v>
      </c>
      <c r="Q2444">
        <v>4</v>
      </c>
      <c r="R2444">
        <v>0</v>
      </c>
      <c r="S2444" t="s">
        <v>21</v>
      </c>
      <c r="T2444">
        <v>1.5</v>
      </c>
      <c r="U2444">
        <v>0</v>
      </c>
    </row>
    <row r="2445" spans="1:21" x14ac:dyDescent="0.25">
      <c r="A2445" t="str">
        <f>"10406566"</f>
        <v>10406566</v>
      </c>
      <c r="B2445" t="s">
        <v>15</v>
      </c>
      <c r="C2445" s="1">
        <v>43661</v>
      </c>
      <c r="D2445" s="2">
        <f>YEAR(C2445)</f>
        <v>2019</v>
      </c>
      <c r="E2445">
        <v>280000</v>
      </c>
      <c r="F2445" t="s">
        <v>85</v>
      </c>
      <c r="G2445">
        <v>2002</v>
      </c>
      <c r="H2445">
        <v>751</v>
      </c>
      <c r="I2445" t="s">
        <v>669</v>
      </c>
      <c r="J2445" t="str">
        <f>"2"</f>
        <v>2</v>
      </c>
      <c r="K2445">
        <v>60002</v>
      </c>
      <c r="L2445">
        <v>1904</v>
      </c>
      <c r="M2445">
        <v>7</v>
      </c>
      <c r="N2445">
        <v>2</v>
      </c>
      <c r="O2445">
        <v>0</v>
      </c>
      <c r="P2445" t="s">
        <v>18</v>
      </c>
      <c r="Q2445">
        <v>3</v>
      </c>
      <c r="R2445">
        <v>0</v>
      </c>
      <c r="S2445" t="s">
        <v>21</v>
      </c>
      <c r="T2445">
        <v>2</v>
      </c>
      <c r="U2445">
        <v>0</v>
      </c>
    </row>
    <row r="2446" spans="1:21" x14ac:dyDescent="0.25">
      <c r="A2446" t="str">
        <f>"10269775"</f>
        <v>10269775</v>
      </c>
      <c r="B2446" t="s">
        <v>15</v>
      </c>
      <c r="C2446" s="1">
        <v>43649</v>
      </c>
      <c r="D2446" s="2">
        <f>YEAR(C2446)</f>
        <v>2019</v>
      </c>
      <c r="E2446">
        <v>185000</v>
      </c>
      <c r="F2446" t="s">
        <v>85</v>
      </c>
      <c r="G2446">
        <v>1960</v>
      </c>
      <c r="H2446">
        <v>41379</v>
      </c>
      <c r="I2446" t="s">
        <v>791</v>
      </c>
      <c r="J2446" t="str">
        <f>"2"</f>
        <v>2</v>
      </c>
      <c r="K2446">
        <v>60002</v>
      </c>
      <c r="L2446">
        <v>1920</v>
      </c>
      <c r="M2446">
        <v>7</v>
      </c>
      <c r="N2446">
        <v>2</v>
      </c>
      <c r="O2446">
        <v>1</v>
      </c>
      <c r="P2446" t="s">
        <v>79</v>
      </c>
      <c r="Q2446">
        <v>2</v>
      </c>
      <c r="R2446">
        <v>1</v>
      </c>
      <c r="S2446" t="s">
        <v>22</v>
      </c>
      <c r="T2446">
        <v>2</v>
      </c>
      <c r="U2446">
        <v>0</v>
      </c>
    </row>
    <row r="2447" spans="1:21" x14ac:dyDescent="0.25">
      <c r="A2447" t="str">
        <f>"10757248"</f>
        <v>10757248</v>
      </c>
      <c r="B2447" t="s">
        <v>15</v>
      </c>
      <c r="C2447" s="1">
        <v>44118</v>
      </c>
      <c r="D2447" s="2">
        <f>YEAR(C2447)</f>
        <v>2020</v>
      </c>
      <c r="E2447">
        <v>390000</v>
      </c>
      <c r="F2447" t="s">
        <v>85</v>
      </c>
      <c r="G2447">
        <v>1978</v>
      </c>
      <c r="H2447">
        <v>39319</v>
      </c>
      <c r="I2447" t="s">
        <v>207</v>
      </c>
      <c r="J2447" t="str">
        <f>"2"</f>
        <v>2</v>
      </c>
      <c r="K2447">
        <v>60002</v>
      </c>
      <c r="L2447">
        <v>1924</v>
      </c>
      <c r="M2447">
        <v>8</v>
      </c>
      <c r="N2447">
        <v>2</v>
      </c>
      <c r="O2447">
        <v>2</v>
      </c>
      <c r="P2447" t="s">
        <v>18</v>
      </c>
      <c r="Q2447">
        <v>3</v>
      </c>
      <c r="R2447">
        <v>1</v>
      </c>
      <c r="S2447" t="s">
        <v>21</v>
      </c>
      <c r="T2447">
        <v>2</v>
      </c>
      <c r="U2447">
        <v>0</v>
      </c>
    </row>
    <row r="2448" spans="1:21" x14ac:dyDescent="0.25">
      <c r="A2448" t="str">
        <f>"10893478"</f>
        <v>10893478</v>
      </c>
      <c r="B2448" t="s">
        <v>15</v>
      </c>
      <c r="C2448" s="1">
        <v>44193</v>
      </c>
      <c r="D2448" s="2">
        <f>YEAR(C2448)</f>
        <v>2020</v>
      </c>
      <c r="E2448">
        <v>275000</v>
      </c>
      <c r="F2448" t="s">
        <v>85</v>
      </c>
      <c r="G2448">
        <v>1945</v>
      </c>
      <c r="H2448">
        <v>38413</v>
      </c>
      <c r="I2448" t="s">
        <v>593</v>
      </c>
      <c r="J2448" t="str">
        <f>"2"</f>
        <v>2</v>
      </c>
      <c r="K2448">
        <v>60002</v>
      </c>
      <c r="L2448">
        <v>1925</v>
      </c>
      <c r="M2448">
        <v>7</v>
      </c>
      <c r="N2448">
        <v>2</v>
      </c>
      <c r="O2448">
        <v>0</v>
      </c>
      <c r="P2448" t="s">
        <v>18</v>
      </c>
      <c r="Q2448">
        <v>4</v>
      </c>
      <c r="R2448">
        <v>0</v>
      </c>
      <c r="S2448" t="s">
        <v>22</v>
      </c>
      <c r="T2448">
        <v>4</v>
      </c>
      <c r="U2448">
        <v>0</v>
      </c>
    </row>
    <row r="2449" spans="1:21" x14ac:dyDescent="0.25">
      <c r="A2449" t="str">
        <f>"10261931"</f>
        <v>10261931</v>
      </c>
      <c r="B2449" t="s">
        <v>15</v>
      </c>
      <c r="C2449" s="1">
        <v>43644</v>
      </c>
      <c r="D2449" s="2">
        <f>YEAR(C2449)</f>
        <v>2019</v>
      </c>
      <c r="E2449">
        <v>200000</v>
      </c>
      <c r="F2449" t="s">
        <v>85</v>
      </c>
      <c r="G2449">
        <v>1988</v>
      </c>
      <c r="H2449">
        <v>39866</v>
      </c>
      <c r="I2449" t="s">
        <v>728</v>
      </c>
      <c r="J2449" t="str">
        <f>"2"</f>
        <v>2</v>
      </c>
      <c r="K2449">
        <v>60002</v>
      </c>
      <c r="L2449">
        <v>1928</v>
      </c>
      <c r="M2449">
        <v>7</v>
      </c>
      <c r="N2449">
        <v>2</v>
      </c>
      <c r="O2449">
        <v>0</v>
      </c>
      <c r="P2449" t="s">
        <v>18</v>
      </c>
      <c r="Q2449">
        <v>3</v>
      </c>
      <c r="R2449">
        <v>0</v>
      </c>
      <c r="S2449" t="s">
        <v>21</v>
      </c>
      <c r="T2449">
        <v>2</v>
      </c>
      <c r="U2449">
        <v>0</v>
      </c>
    </row>
    <row r="2450" spans="1:21" x14ac:dyDescent="0.25">
      <c r="A2450" t="str">
        <f>"10262857"</f>
        <v>10262857</v>
      </c>
      <c r="B2450" t="s">
        <v>15</v>
      </c>
      <c r="C2450" s="1">
        <v>43525</v>
      </c>
      <c r="D2450" s="2">
        <f>YEAR(C2450)</f>
        <v>2019</v>
      </c>
      <c r="E2450">
        <v>169000</v>
      </c>
      <c r="F2450" t="s">
        <v>85</v>
      </c>
      <c r="G2450">
        <v>1930</v>
      </c>
      <c r="H2450">
        <v>26194</v>
      </c>
      <c r="I2450" t="s">
        <v>586</v>
      </c>
      <c r="J2450" t="str">
        <f>"2"</f>
        <v>2</v>
      </c>
      <c r="K2450">
        <v>60002</v>
      </c>
      <c r="L2450">
        <v>1933</v>
      </c>
      <c r="M2450">
        <v>7</v>
      </c>
      <c r="N2450">
        <v>1</v>
      </c>
      <c r="O2450">
        <v>0</v>
      </c>
      <c r="P2450" t="s">
        <v>18</v>
      </c>
      <c r="Q2450">
        <v>4</v>
      </c>
      <c r="R2450">
        <v>0</v>
      </c>
      <c r="S2450" t="s">
        <v>22</v>
      </c>
      <c r="T2450">
        <v>3</v>
      </c>
      <c r="U2450">
        <v>0</v>
      </c>
    </row>
    <row r="2451" spans="1:21" x14ac:dyDescent="0.25">
      <c r="A2451" t="str">
        <f>"10344853"</f>
        <v>10344853</v>
      </c>
      <c r="B2451" t="s">
        <v>15</v>
      </c>
      <c r="C2451" s="1">
        <v>43684</v>
      </c>
      <c r="D2451" s="2">
        <f>YEAR(C2451)</f>
        <v>2019</v>
      </c>
      <c r="E2451">
        <v>250000</v>
      </c>
      <c r="F2451" t="s">
        <v>85</v>
      </c>
      <c r="G2451">
        <v>1960</v>
      </c>
      <c r="H2451">
        <v>25013</v>
      </c>
      <c r="I2451" t="s">
        <v>130</v>
      </c>
      <c r="J2451" t="str">
        <f>"2"</f>
        <v>2</v>
      </c>
      <c r="K2451">
        <v>60002</v>
      </c>
      <c r="L2451">
        <v>1936</v>
      </c>
      <c r="M2451">
        <v>9</v>
      </c>
      <c r="N2451">
        <v>4</v>
      </c>
      <c r="O2451">
        <v>0</v>
      </c>
      <c r="P2451" t="s">
        <v>18</v>
      </c>
      <c r="Q2451">
        <v>4</v>
      </c>
      <c r="R2451">
        <v>1</v>
      </c>
      <c r="S2451" t="s">
        <v>22</v>
      </c>
      <c r="T2451">
        <v>3</v>
      </c>
      <c r="U2451">
        <v>0</v>
      </c>
    </row>
    <row r="2452" spans="1:21" x14ac:dyDescent="0.25">
      <c r="A2452" t="str">
        <f>"10345337"</f>
        <v>10345337</v>
      </c>
      <c r="B2452" t="s">
        <v>15</v>
      </c>
      <c r="C2452" s="1">
        <v>43605</v>
      </c>
      <c r="D2452" s="2">
        <f>YEAR(C2452)</f>
        <v>2019</v>
      </c>
      <c r="E2452">
        <v>159900</v>
      </c>
      <c r="F2452" t="s">
        <v>85</v>
      </c>
      <c r="G2452">
        <v>1978</v>
      </c>
      <c r="H2452">
        <v>212</v>
      </c>
      <c r="I2452" t="s">
        <v>604</v>
      </c>
      <c r="J2452" t="str">
        <f>"2"</f>
        <v>2</v>
      </c>
      <c r="K2452">
        <v>60002</v>
      </c>
      <c r="L2452">
        <v>1938</v>
      </c>
      <c r="M2452">
        <v>8</v>
      </c>
      <c r="N2452">
        <v>2</v>
      </c>
      <c r="O2452">
        <v>1</v>
      </c>
      <c r="P2452" t="s">
        <v>79</v>
      </c>
      <c r="Q2452">
        <v>4</v>
      </c>
      <c r="R2452">
        <v>0</v>
      </c>
      <c r="S2452" t="s">
        <v>21</v>
      </c>
      <c r="T2452">
        <v>2</v>
      </c>
      <c r="U2452">
        <v>0</v>
      </c>
    </row>
    <row r="2453" spans="1:21" x14ac:dyDescent="0.25">
      <c r="A2453" t="str">
        <f>"09965156"</f>
        <v>09965156</v>
      </c>
      <c r="B2453" t="s">
        <v>15</v>
      </c>
      <c r="C2453" s="1">
        <v>43579</v>
      </c>
      <c r="D2453" s="2">
        <f>YEAR(C2453)</f>
        <v>2019</v>
      </c>
      <c r="E2453">
        <v>238000</v>
      </c>
      <c r="F2453" t="s">
        <v>85</v>
      </c>
      <c r="G2453">
        <v>1992</v>
      </c>
      <c r="H2453">
        <v>41034</v>
      </c>
      <c r="I2453" t="s">
        <v>740</v>
      </c>
      <c r="J2453" t="str">
        <f>"2"</f>
        <v>2</v>
      </c>
      <c r="K2453">
        <v>60002</v>
      </c>
      <c r="L2453">
        <v>1940</v>
      </c>
      <c r="M2453">
        <v>7</v>
      </c>
      <c r="N2453">
        <v>2</v>
      </c>
      <c r="O2453">
        <v>2</v>
      </c>
      <c r="P2453" t="s">
        <v>79</v>
      </c>
      <c r="Q2453">
        <v>3</v>
      </c>
      <c r="R2453">
        <v>0</v>
      </c>
      <c r="S2453" t="s">
        <v>21</v>
      </c>
      <c r="T2453">
        <v>2</v>
      </c>
      <c r="U2453">
        <v>0</v>
      </c>
    </row>
    <row r="2454" spans="1:21" x14ac:dyDescent="0.25">
      <c r="A2454" t="str">
        <f>"10140196"</f>
        <v>10140196</v>
      </c>
      <c r="B2454" t="s">
        <v>15</v>
      </c>
      <c r="C2454" s="1">
        <v>43546</v>
      </c>
      <c r="D2454" s="2">
        <f>YEAR(C2454)</f>
        <v>2019</v>
      </c>
      <c r="E2454">
        <v>315000</v>
      </c>
      <c r="F2454" t="s">
        <v>85</v>
      </c>
      <c r="G2454">
        <v>2017</v>
      </c>
      <c r="H2454">
        <v>1127</v>
      </c>
      <c r="I2454" t="s">
        <v>793</v>
      </c>
      <c r="J2454" t="str">
        <f>"2"</f>
        <v>2</v>
      </c>
      <c r="K2454">
        <v>60002</v>
      </c>
      <c r="L2454">
        <v>1941</v>
      </c>
      <c r="M2454">
        <v>6</v>
      </c>
      <c r="N2454">
        <v>2</v>
      </c>
      <c r="O2454">
        <v>0</v>
      </c>
      <c r="P2454" t="s">
        <v>18</v>
      </c>
      <c r="Q2454">
        <v>3</v>
      </c>
      <c r="R2454">
        <v>0</v>
      </c>
      <c r="S2454" t="s">
        <v>21</v>
      </c>
      <c r="T2454">
        <v>2</v>
      </c>
      <c r="U2454">
        <v>0</v>
      </c>
    </row>
    <row r="2455" spans="1:21" x14ac:dyDescent="0.25">
      <c r="A2455" t="str">
        <f>"10885638"</f>
        <v>10885638</v>
      </c>
      <c r="B2455" t="s">
        <v>15</v>
      </c>
      <c r="C2455" s="1">
        <v>44141</v>
      </c>
      <c r="D2455" s="2">
        <f>YEAR(C2455)</f>
        <v>2020</v>
      </c>
      <c r="E2455">
        <v>171000</v>
      </c>
      <c r="F2455" t="s">
        <v>85</v>
      </c>
      <c r="G2455">
        <v>1950</v>
      </c>
      <c r="H2455">
        <v>1025</v>
      </c>
      <c r="I2455" t="s">
        <v>38</v>
      </c>
      <c r="J2455" t="str">
        <f>"2"</f>
        <v>2</v>
      </c>
      <c r="K2455">
        <v>60002</v>
      </c>
      <c r="L2455">
        <v>1944</v>
      </c>
      <c r="M2455">
        <v>7</v>
      </c>
      <c r="N2455">
        <v>2</v>
      </c>
      <c r="O2455">
        <v>1</v>
      </c>
      <c r="P2455" t="s">
        <v>18</v>
      </c>
      <c r="Q2455">
        <v>3</v>
      </c>
      <c r="R2455">
        <v>0</v>
      </c>
      <c r="S2455" t="s">
        <v>22</v>
      </c>
      <c r="T2455">
        <v>2</v>
      </c>
      <c r="U2455">
        <v>0</v>
      </c>
    </row>
    <row r="2456" spans="1:21" x14ac:dyDescent="0.25">
      <c r="A2456" t="str">
        <f>"10113656"</f>
        <v>10113656</v>
      </c>
      <c r="B2456" t="s">
        <v>15</v>
      </c>
      <c r="C2456" s="1">
        <v>43535</v>
      </c>
      <c r="D2456" s="2">
        <f>YEAR(C2456)</f>
        <v>2019</v>
      </c>
      <c r="E2456">
        <v>320000</v>
      </c>
      <c r="F2456" t="s">
        <v>85</v>
      </c>
      <c r="G2456">
        <v>2006</v>
      </c>
      <c r="H2456">
        <v>1304</v>
      </c>
      <c r="I2456" t="s">
        <v>794</v>
      </c>
      <c r="J2456" t="str">
        <f>"2"</f>
        <v>2</v>
      </c>
      <c r="K2456">
        <v>60002</v>
      </c>
      <c r="L2456">
        <v>1945</v>
      </c>
      <c r="M2456">
        <v>10</v>
      </c>
      <c r="N2456">
        <v>3</v>
      </c>
      <c r="O2456">
        <v>1</v>
      </c>
      <c r="P2456" t="s">
        <v>79</v>
      </c>
      <c r="Q2456">
        <v>3</v>
      </c>
      <c r="R2456">
        <v>1</v>
      </c>
      <c r="S2456" t="s">
        <v>21</v>
      </c>
      <c r="T2456">
        <v>3</v>
      </c>
      <c r="U2456">
        <v>0</v>
      </c>
    </row>
    <row r="2457" spans="1:21" x14ac:dyDescent="0.25">
      <c r="A2457" t="str">
        <f>"10643728"</f>
        <v>10643728</v>
      </c>
      <c r="B2457" t="s">
        <v>15</v>
      </c>
      <c r="C2457" s="1">
        <v>43934</v>
      </c>
      <c r="D2457" s="2">
        <f>YEAR(C2457)</f>
        <v>2020</v>
      </c>
      <c r="E2457">
        <v>205000</v>
      </c>
      <c r="F2457" t="s">
        <v>85</v>
      </c>
      <c r="G2457">
        <v>1976</v>
      </c>
      <c r="H2457">
        <v>685</v>
      </c>
      <c r="I2457" t="s">
        <v>724</v>
      </c>
      <c r="J2457" t="str">
        <f>"2"</f>
        <v>2</v>
      </c>
      <c r="K2457">
        <v>60002</v>
      </c>
      <c r="L2457">
        <v>1948</v>
      </c>
      <c r="M2457">
        <v>10</v>
      </c>
      <c r="N2457">
        <v>2</v>
      </c>
      <c r="O2457">
        <v>1</v>
      </c>
      <c r="P2457" t="s">
        <v>18</v>
      </c>
      <c r="Q2457">
        <v>3</v>
      </c>
      <c r="R2457">
        <v>1</v>
      </c>
      <c r="S2457" t="s">
        <v>21</v>
      </c>
      <c r="T2457">
        <v>2</v>
      </c>
      <c r="U2457">
        <v>0</v>
      </c>
    </row>
    <row r="2458" spans="1:21" x14ac:dyDescent="0.25">
      <c r="A2458" t="str">
        <f>"10504270"</f>
        <v>10504270</v>
      </c>
      <c r="B2458" t="s">
        <v>15</v>
      </c>
      <c r="C2458" s="1">
        <v>43768</v>
      </c>
      <c r="D2458" s="2">
        <f>YEAR(C2458)</f>
        <v>2019</v>
      </c>
      <c r="E2458">
        <v>250000</v>
      </c>
      <c r="F2458" t="s">
        <v>85</v>
      </c>
      <c r="G2458">
        <v>1969</v>
      </c>
      <c r="H2458">
        <v>40647</v>
      </c>
      <c r="I2458" t="s">
        <v>148</v>
      </c>
      <c r="J2458" t="str">
        <f>"2"</f>
        <v>2</v>
      </c>
      <c r="K2458">
        <v>60002</v>
      </c>
      <c r="L2458">
        <v>1949</v>
      </c>
      <c r="M2458">
        <v>9</v>
      </c>
      <c r="N2458">
        <v>2</v>
      </c>
      <c r="O2458">
        <v>0</v>
      </c>
      <c r="P2458" t="s">
        <v>18</v>
      </c>
      <c r="Q2458">
        <v>4</v>
      </c>
      <c r="R2458">
        <v>0</v>
      </c>
      <c r="S2458" t="s">
        <v>21</v>
      </c>
      <c r="T2458">
        <v>5</v>
      </c>
      <c r="U2458">
        <v>0</v>
      </c>
    </row>
    <row r="2459" spans="1:21" x14ac:dyDescent="0.25">
      <c r="A2459" t="s">
        <v>795</v>
      </c>
      <c r="B2459" t="s">
        <v>15</v>
      </c>
      <c r="C2459" s="1">
        <v>43857</v>
      </c>
      <c r="D2459" s="2">
        <f>YEAR(C2459)</f>
        <v>2020</v>
      </c>
      <c r="E2459">
        <v>228000</v>
      </c>
      <c r="F2459" t="s">
        <v>548</v>
      </c>
      <c r="G2459">
        <v>2006</v>
      </c>
      <c r="H2459">
        <v>1030</v>
      </c>
      <c r="I2459" t="s">
        <v>726</v>
      </c>
      <c r="J2459" t="s">
        <v>600</v>
      </c>
      <c r="K2459">
        <v>60002</v>
      </c>
      <c r="L2459">
        <v>1950</v>
      </c>
      <c r="M2459">
        <v>5</v>
      </c>
      <c r="N2459">
        <v>2</v>
      </c>
      <c r="O2459">
        <v>1</v>
      </c>
      <c r="P2459" t="s">
        <v>18</v>
      </c>
      <c r="Q2459">
        <v>2</v>
      </c>
      <c r="R2459">
        <v>0</v>
      </c>
      <c r="S2459" t="s">
        <v>21</v>
      </c>
      <c r="T2459">
        <v>2</v>
      </c>
      <c r="U2459">
        <v>0</v>
      </c>
    </row>
    <row r="2460" spans="1:21" x14ac:dyDescent="0.25">
      <c r="A2460" t="str">
        <f>"10441840"</f>
        <v>10441840</v>
      </c>
      <c r="B2460" t="s">
        <v>15</v>
      </c>
      <c r="C2460" s="1">
        <v>44092</v>
      </c>
      <c r="D2460" s="2">
        <f>YEAR(C2460)</f>
        <v>2020</v>
      </c>
      <c r="E2460">
        <v>162750</v>
      </c>
      <c r="F2460" t="s">
        <v>85</v>
      </c>
      <c r="G2460">
        <v>2006</v>
      </c>
      <c r="H2460">
        <v>1012</v>
      </c>
      <c r="I2460" t="s">
        <v>785</v>
      </c>
      <c r="J2460" t="str">
        <f>"2"</f>
        <v>2</v>
      </c>
      <c r="K2460">
        <v>60002</v>
      </c>
      <c r="L2460">
        <v>1952</v>
      </c>
      <c r="M2460">
        <v>7</v>
      </c>
      <c r="N2460">
        <v>2</v>
      </c>
      <c r="O2460">
        <v>1</v>
      </c>
      <c r="P2460" t="s">
        <v>18</v>
      </c>
      <c r="Q2460">
        <v>3</v>
      </c>
      <c r="R2460">
        <v>0</v>
      </c>
      <c r="S2460" t="s">
        <v>21</v>
      </c>
      <c r="T2460">
        <v>2</v>
      </c>
      <c r="U2460">
        <v>0</v>
      </c>
    </row>
    <row r="2461" spans="1:21" x14ac:dyDescent="0.25">
      <c r="A2461" t="str">
        <f>"10512179"</f>
        <v>10512179</v>
      </c>
      <c r="B2461" t="s">
        <v>15</v>
      </c>
      <c r="C2461" s="1">
        <v>43770</v>
      </c>
      <c r="D2461" s="2">
        <f>YEAR(C2461)</f>
        <v>2019</v>
      </c>
      <c r="E2461">
        <v>247900</v>
      </c>
      <c r="F2461" t="s">
        <v>85</v>
      </c>
      <c r="G2461">
        <v>1999</v>
      </c>
      <c r="H2461">
        <v>877</v>
      </c>
      <c r="I2461" t="s">
        <v>783</v>
      </c>
      <c r="J2461" t="str">
        <f>"2"</f>
        <v>2</v>
      </c>
      <c r="K2461">
        <v>60002</v>
      </c>
      <c r="L2461">
        <v>1952</v>
      </c>
      <c r="M2461">
        <v>8</v>
      </c>
      <c r="N2461">
        <v>2</v>
      </c>
      <c r="O2461">
        <v>1</v>
      </c>
      <c r="P2461" t="s">
        <v>18</v>
      </c>
      <c r="Q2461">
        <v>3</v>
      </c>
      <c r="R2461">
        <v>0</v>
      </c>
      <c r="S2461" t="s">
        <v>21</v>
      </c>
      <c r="T2461">
        <v>3</v>
      </c>
      <c r="U2461">
        <v>0</v>
      </c>
    </row>
    <row r="2462" spans="1:21" x14ac:dyDescent="0.25">
      <c r="A2462" t="str">
        <f>"10698291"</f>
        <v>10698291</v>
      </c>
      <c r="B2462" t="s">
        <v>15</v>
      </c>
      <c r="C2462" s="1">
        <v>44090</v>
      </c>
      <c r="D2462" s="2">
        <f>YEAR(C2462)</f>
        <v>2020</v>
      </c>
      <c r="E2462">
        <v>187000</v>
      </c>
      <c r="F2462" t="s">
        <v>85</v>
      </c>
      <c r="G2462">
        <v>1940</v>
      </c>
      <c r="H2462">
        <v>26610</v>
      </c>
      <c r="I2462" t="s">
        <v>670</v>
      </c>
      <c r="J2462" t="str">
        <f>"2"</f>
        <v>2</v>
      </c>
      <c r="K2462">
        <v>60002</v>
      </c>
      <c r="L2462">
        <v>1955</v>
      </c>
      <c r="M2462">
        <v>7</v>
      </c>
      <c r="N2462">
        <v>2</v>
      </c>
      <c r="O2462">
        <v>0</v>
      </c>
      <c r="P2462" t="s">
        <v>18</v>
      </c>
      <c r="Q2462">
        <v>4</v>
      </c>
      <c r="R2462">
        <v>0</v>
      </c>
      <c r="S2462" t="s">
        <v>22</v>
      </c>
      <c r="T2462">
        <v>3</v>
      </c>
      <c r="U2462">
        <v>0</v>
      </c>
    </row>
    <row r="2463" spans="1:21" x14ac:dyDescent="0.25">
      <c r="A2463" t="str">
        <f>"10296108"</f>
        <v>10296108</v>
      </c>
      <c r="B2463" t="s">
        <v>15</v>
      </c>
      <c r="C2463" s="1">
        <v>43595</v>
      </c>
      <c r="D2463" s="2">
        <f>YEAR(C2463)</f>
        <v>2019</v>
      </c>
      <c r="E2463">
        <v>202000</v>
      </c>
      <c r="F2463" t="s">
        <v>85</v>
      </c>
      <c r="G2463">
        <v>2006</v>
      </c>
      <c r="H2463">
        <v>1297</v>
      </c>
      <c r="I2463" t="s">
        <v>235</v>
      </c>
      <c r="J2463" t="str">
        <f>"2"</f>
        <v>2</v>
      </c>
      <c r="K2463">
        <v>60002</v>
      </c>
      <c r="L2463">
        <v>1958</v>
      </c>
      <c r="M2463">
        <v>8</v>
      </c>
      <c r="N2463">
        <v>2</v>
      </c>
      <c r="O2463">
        <v>1</v>
      </c>
      <c r="P2463" t="s">
        <v>18</v>
      </c>
      <c r="Q2463">
        <v>3</v>
      </c>
      <c r="R2463">
        <v>0</v>
      </c>
      <c r="S2463" t="s">
        <v>21</v>
      </c>
      <c r="T2463">
        <v>2</v>
      </c>
      <c r="U2463">
        <v>0</v>
      </c>
    </row>
    <row r="2464" spans="1:21" x14ac:dyDescent="0.25">
      <c r="A2464" t="str">
        <f>"10894113"</f>
        <v>10894113</v>
      </c>
      <c r="B2464" t="s">
        <v>15</v>
      </c>
      <c r="C2464" s="1">
        <v>44155</v>
      </c>
      <c r="D2464" s="2">
        <f>YEAR(C2464)</f>
        <v>2020</v>
      </c>
      <c r="E2464">
        <v>385000</v>
      </c>
      <c r="F2464" t="s">
        <v>85</v>
      </c>
      <c r="G2464">
        <v>1950</v>
      </c>
      <c r="H2464">
        <v>40648</v>
      </c>
      <c r="I2464" t="s">
        <v>681</v>
      </c>
      <c r="J2464" t="str">
        <f>"2"</f>
        <v>2</v>
      </c>
      <c r="K2464">
        <v>60002</v>
      </c>
      <c r="L2464">
        <v>1960</v>
      </c>
      <c r="M2464">
        <v>9</v>
      </c>
      <c r="N2464">
        <v>1</v>
      </c>
      <c r="O2464">
        <v>1</v>
      </c>
      <c r="P2464" t="s">
        <v>18</v>
      </c>
      <c r="Q2464">
        <v>4</v>
      </c>
      <c r="R2464">
        <v>0</v>
      </c>
      <c r="S2464" t="s">
        <v>22</v>
      </c>
      <c r="T2464">
        <v>3</v>
      </c>
      <c r="U2464">
        <v>0</v>
      </c>
    </row>
    <row r="2465" spans="1:21" x14ac:dyDescent="0.25">
      <c r="A2465" t="str">
        <f>"10121524"</f>
        <v>10121524</v>
      </c>
      <c r="B2465" t="s">
        <v>15</v>
      </c>
      <c r="C2465" s="1">
        <v>43626</v>
      </c>
      <c r="D2465" s="2">
        <f>YEAR(C2465)</f>
        <v>2019</v>
      </c>
      <c r="E2465">
        <v>195000</v>
      </c>
      <c r="F2465" t="s">
        <v>85</v>
      </c>
      <c r="G2465">
        <v>1967</v>
      </c>
      <c r="H2465">
        <v>42328</v>
      </c>
      <c r="I2465" t="s">
        <v>132</v>
      </c>
      <c r="J2465" t="str">
        <f>"2"</f>
        <v>2</v>
      </c>
      <c r="K2465">
        <v>60002</v>
      </c>
      <c r="L2465">
        <v>1961</v>
      </c>
      <c r="M2465">
        <v>7</v>
      </c>
      <c r="N2465">
        <v>2</v>
      </c>
      <c r="O2465">
        <v>0</v>
      </c>
      <c r="P2465" t="s">
        <v>18</v>
      </c>
      <c r="Q2465">
        <v>3</v>
      </c>
      <c r="R2465">
        <v>0</v>
      </c>
      <c r="S2465" t="s">
        <v>22</v>
      </c>
      <c r="T2465">
        <v>2.5</v>
      </c>
      <c r="U2465">
        <v>0</v>
      </c>
    </row>
    <row r="2466" spans="1:21" x14ac:dyDescent="0.25">
      <c r="A2466" t="str">
        <f>"10803037"</f>
        <v>10803037</v>
      </c>
      <c r="B2466" t="s">
        <v>15</v>
      </c>
      <c r="C2466" s="1">
        <v>44127</v>
      </c>
      <c r="D2466" s="2">
        <f>YEAR(C2466)</f>
        <v>2020</v>
      </c>
      <c r="E2466">
        <v>250000</v>
      </c>
      <c r="F2466" t="s">
        <v>85</v>
      </c>
      <c r="G2466">
        <v>2000</v>
      </c>
      <c r="H2466">
        <v>541</v>
      </c>
      <c r="I2466" t="s">
        <v>115</v>
      </c>
      <c r="J2466" t="str">
        <f>"2"</f>
        <v>2</v>
      </c>
      <c r="K2466">
        <v>60002</v>
      </c>
      <c r="L2466">
        <v>1962</v>
      </c>
      <c r="M2466">
        <v>7</v>
      </c>
      <c r="N2466">
        <v>2</v>
      </c>
      <c r="O2466">
        <v>1</v>
      </c>
      <c r="P2466" t="s">
        <v>18</v>
      </c>
      <c r="Q2466">
        <v>3</v>
      </c>
      <c r="R2466">
        <v>0</v>
      </c>
      <c r="S2466" t="s">
        <v>21</v>
      </c>
      <c r="T2466">
        <v>3</v>
      </c>
      <c r="U2466">
        <v>0</v>
      </c>
    </row>
    <row r="2467" spans="1:21" x14ac:dyDescent="0.25">
      <c r="A2467" t="str">
        <f>"10590042"</f>
        <v>10590042</v>
      </c>
      <c r="B2467" t="s">
        <v>15</v>
      </c>
      <c r="C2467" s="1">
        <v>43865</v>
      </c>
      <c r="D2467" s="2">
        <f>YEAR(C2467)</f>
        <v>2020</v>
      </c>
      <c r="E2467">
        <v>190000</v>
      </c>
      <c r="F2467" t="s">
        <v>85</v>
      </c>
      <c r="G2467">
        <v>2004</v>
      </c>
      <c r="H2467">
        <v>1200</v>
      </c>
      <c r="I2467" t="s">
        <v>147</v>
      </c>
      <c r="J2467" t="str">
        <f>"2"</f>
        <v>2</v>
      </c>
      <c r="K2467">
        <v>60002</v>
      </c>
      <c r="L2467">
        <v>1964</v>
      </c>
      <c r="M2467">
        <v>9</v>
      </c>
      <c r="N2467">
        <v>2</v>
      </c>
      <c r="O2467">
        <v>1</v>
      </c>
      <c r="P2467" t="s">
        <v>18</v>
      </c>
      <c r="Q2467">
        <v>4</v>
      </c>
      <c r="R2467">
        <v>0</v>
      </c>
      <c r="S2467" t="s">
        <v>21</v>
      </c>
      <c r="T2467">
        <v>3</v>
      </c>
      <c r="U2467">
        <v>0</v>
      </c>
    </row>
    <row r="2468" spans="1:21" x14ac:dyDescent="0.25">
      <c r="A2468" t="str">
        <f>"10724144"</f>
        <v>10724144</v>
      </c>
      <c r="B2468" t="s">
        <v>15</v>
      </c>
      <c r="C2468" s="1">
        <v>44022</v>
      </c>
      <c r="D2468" s="2">
        <f>YEAR(C2468)</f>
        <v>2020</v>
      </c>
      <c r="E2468">
        <v>233000</v>
      </c>
      <c r="F2468" t="s">
        <v>85</v>
      </c>
      <c r="G2468">
        <v>2001</v>
      </c>
      <c r="H2468">
        <v>50</v>
      </c>
      <c r="I2468" t="s">
        <v>358</v>
      </c>
      <c r="J2468" t="str">
        <f>"2"</f>
        <v>2</v>
      </c>
      <c r="K2468">
        <v>60002</v>
      </c>
      <c r="L2468">
        <v>1965</v>
      </c>
      <c r="M2468">
        <v>10</v>
      </c>
      <c r="N2468">
        <v>2</v>
      </c>
      <c r="O2468">
        <v>1</v>
      </c>
      <c r="P2468" t="s">
        <v>18</v>
      </c>
      <c r="Q2468">
        <v>4</v>
      </c>
      <c r="R2468">
        <v>0</v>
      </c>
      <c r="S2468" t="s">
        <v>21</v>
      </c>
      <c r="T2468">
        <v>2</v>
      </c>
      <c r="U2468">
        <v>0</v>
      </c>
    </row>
    <row r="2469" spans="1:21" x14ac:dyDescent="0.25">
      <c r="A2469" t="str">
        <f>"10395146"</f>
        <v>10395146</v>
      </c>
      <c r="B2469" t="s">
        <v>15</v>
      </c>
      <c r="C2469" s="1">
        <v>43717</v>
      </c>
      <c r="D2469" s="2">
        <f>YEAR(C2469)</f>
        <v>2019</v>
      </c>
      <c r="E2469">
        <v>217500</v>
      </c>
      <c r="F2469" t="s">
        <v>85</v>
      </c>
      <c r="G2469">
        <v>1992</v>
      </c>
      <c r="H2469">
        <v>1340</v>
      </c>
      <c r="I2469" t="s">
        <v>377</v>
      </c>
      <c r="J2469" t="str">
        <f>"2"</f>
        <v>2</v>
      </c>
      <c r="K2469">
        <v>60002</v>
      </c>
      <c r="L2469">
        <v>1980</v>
      </c>
      <c r="M2469">
        <v>8</v>
      </c>
      <c r="N2469">
        <v>2</v>
      </c>
      <c r="O2469">
        <v>1</v>
      </c>
      <c r="P2469" t="s">
        <v>18</v>
      </c>
      <c r="Q2469">
        <v>3</v>
      </c>
      <c r="R2469">
        <v>0</v>
      </c>
      <c r="S2469" t="s">
        <v>21</v>
      </c>
      <c r="T2469">
        <v>2</v>
      </c>
      <c r="U2469">
        <v>0</v>
      </c>
    </row>
    <row r="2470" spans="1:21" x14ac:dyDescent="0.25">
      <c r="A2470" t="str">
        <f>"10600515"</f>
        <v>10600515</v>
      </c>
      <c r="B2470" t="s">
        <v>15</v>
      </c>
      <c r="C2470" s="1">
        <v>43890</v>
      </c>
      <c r="D2470" s="2">
        <f>YEAR(C2470)</f>
        <v>2020</v>
      </c>
      <c r="E2470">
        <v>231500</v>
      </c>
      <c r="F2470" t="s">
        <v>85</v>
      </c>
      <c r="G2470">
        <v>1967</v>
      </c>
      <c r="H2470">
        <v>691</v>
      </c>
      <c r="I2470" t="s">
        <v>207</v>
      </c>
      <c r="J2470" t="str">
        <f>"2"</f>
        <v>2</v>
      </c>
      <c r="K2470">
        <v>60002</v>
      </c>
      <c r="L2470">
        <v>1980</v>
      </c>
      <c r="M2470">
        <v>7</v>
      </c>
      <c r="N2470">
        <v>2</v>
      </c>
      <c r="O2470">
        <v>0</v>
      </c>
      <c r="P2470" t="s">
        <v>18</v>
      </c>
      <c r="Q2470">
        <v>3</v>
      </c>
      <c r="R2470">
        <v>0</v>
      </c>
      <c r="S2470" t="s">
        <v>21</v>
      </c>
      <c r="T2470">
        <v>2</v>
      </c>
      <c r="U2470">
        <v>0</v>
      </c>
    </row>
    <row r="2471" spans="1:21" x14ac:dyDescent="0.25">
      <c r="A2471" t="str">
        <f>"10818551"</f>
        <v>10818551</v>
      </c>
      <c r="B2471" t="s">
        <v>15</v>
      </c>
      <c r="C2471" s="1">
        <v>44097</v>
      </c>
      <c r="D2471" s="2">
        <f>YEAR(C2471)</f>
        <v>2020</v>
      </c>
      <c r="E2471">
        <v>247500</v>
      </c>
      <c r="F2471" t="s">
        <v>85</v>
      </c>
      <c r="G2471">
        <v>1994</v>
      </c>
      <c r="H2471">
        <v>22184</v>
      </c>
      <c r="I2471" t="s">
        <v>663</v>
      </c>
      <c r="J2471" t="str">
        <f>"2"</f>
        <v>2</v>
      </c>
      <c r="K2471">
        <v>60002</v>
      </c>
      <c r="L2471">
        <v>1985</v>
      </c>
      <c r="M2471">
        <v>7</v>
      </c>
      <c r="N2471">
        <v>2</v>
      </c>
      <c r="O2471">
        <v>1</v>
      </c>
      <c r="P2471" t="s">
        <v>18</v>
      </c>
      <c r="Q2471">
        <v>3</v>
      </c>
      <c r="R2471">
        <v>0</v>
      </c>
      <c r="S2471" t="s">
        <v>21</v>
      </c>
      <c r="T2471">
        <v>3</v>
      </c>
      <c r="U2471">
        <v>0</v>
      </c>
    </row>
    <row r="2472" spans="1:21" x14ac:dyDescent="0.25">
      <c r="A2472" t="str">
        <f>"10541406"</f>
        <v>10541406</v>
      </c>
      <c r="B2472" t="s">
        <v>15</v>
      </c>
      <c r="C2472" s="1">
        <v>43865</v>
      </c>
      <c r="D2472" s="2">
        <f>YEAR(C2472)</f>
        <v>2020</v>
      </c>
      <c r="E2472">
        <v>235000</v>
      </c>
      <c r="F2472" t="s">
        <v>85</v>
      </c>
      <c r="G2472">
        <v>2019</v>
      </c>
      <c r="H2472">
        <v>26073</v>
      </c>
      <c r="I2472" t="s">
        <v>53</v>
      </c>
      <c r="J2472" t="str">
        <f>"2"</f>
        <v>2</v>
      </c>
      <c r="K2472">
        <v>60002</v>
      </c>
      <c r="L2472">
        <v>2000</v>
      </c>
      <c r="M2472">
        <v>6</v>
      </c>
      <c r="N2472">
        <v>2</v>
      </c>
      <c r="O2472">
        <v>0</v>
      </c>
      <c r="P2472" t="s">
        <v>18</v>
      </c>
      <c r="Q2472">
        <v>3</v>
      </c>
      <c r="R2472">
        <v>0</v>
      </c>
      <c r="S2472" t="s">
        <v>21</v>
      </c>
      <c r="T2472">
        <v>2</v>
      </c>
      <c r="U2472">
        <v>0</v>
      </c>
    </row>
    <row r="2473" spans="1:21" x14ac:dyDescent="0.25">
      <c r="A2473" t="str">
        <f>"10262912"</f>
        <v>10262912</v>
      </c>
      <c r="B2473" t="s">
        <v>15</v>
      </c>
      <c r="C2473" s="1">
        <v>43539</v>
      </c>
      <c r="D2473" s="2">
        <f>YEAR(C2473)</f>
        <v>2019</v>
      </c>
      <c r="E2473">
        <v>439000</v>
      </c>
      <c r="F2473" t="s">
        <v>85</v>
      </c>
      <c r="G2473">
        <v>1970</v>
      </c>
      <c r="H2473">
        <v>43192</v>
      </c>
      <c r="I2473" t="s">
        <v>798</v>
      </c>
      <c r="J2473" t="str">
        <f>"2"</f>
        <v>2</v>
      </c>
      <c r="K2473">
        <v>60002</v>
      </c>
      <c r="L2473">
        <v>2000</v>
      </c>
      <c r="M2473">
        <v>7</v>
      </c>
      <c r="N2473">
        <v>2</v>
      </c>
      <c r="O2473">
        <v>0</v>
      </c>
      <c r="P2473" t="s">
        <v>18</v>
      </c>
      <c r="Q2473">
        <v>4</v>
      </c>
      <c r="R2473">
        <v>0</v>
      </c>
      <c r="S2473" t="s">
        <v>21</v>
      </c>
      <c r="T2473">
        <v>2.5</v>
      </c>
      <c r="U2473">
        <v>0</v>
      </c>
    </row>
    <row r="2474" spans="1:21" x14ac:dyDescent="0.25">
      <c r="A2474" t="str">
        <f>"10633125"</f>
        <v>10633125</v>
      </c>
      <c r="B2474" t="s">
        <v>15</v>
      </c>
      <c r="C2474" s="1">
        <v>44012</v>
      </c>
      <c r="D2474" s="2">
        <f>YEAR(C2474)</f>
        <v>2020</v>
      </c>
      <c r="E2474">
        <v>245000</v>
      </c>
      <c r="F2474" t="s">
        <v>85</v>
      </c>
      <c r="G2474">
        <v>2003</v>
      </c>
      <c r="H2474">
        <v>553</v>
      </c>
      <c r="I2474" t="s">
        <v>722</v>
      </c>
      <c r="J2474" t="str">
        <f>"2"</f>
        <v>2</v>
      </c>
      <c r="K2474">
        <v>60002</v>
      </c>
      <c r="L2474">
        <v>2000</v>
      </c>
      <c r="M2474">
        <v>9</v>
      </c>
      <c r="N2474">
        <v>2</v>
      </c>
      <c r="O2474">
        <v>1</v>
      </c>
      <c r="P2474" t="s">
        <v>18</v>
      </c>
      <c r="Q2474">
        <v>4</v>
      </c>
      <c r="R2474">
        <v>0</v>
      </c>
      <c r="S2474" t="s">
        <v>22</v>
      </c>
      <c r="T2474">
        <v>2</v>
      </c>
      <c r="U2474">
        <v>0</v>
      </c>
    </row>
    <row r="2475" spans="1:21" x14ac:dyDescent="0.25">
      <c r="A2475" t="str">
        <f>"10674605"</f>
        <v>10674605</v>
      </c>
      <c r="B2475" t="s">
        <v>15</v>
      </c>
      <c r="C2475" s="1">
        <v>43966</v>
      </c>
      <c r="D2475" s="2">
        <f>YEAR(C2475)</f>
        <v>2020</v>
      </c>
      <c r="E2475">
        <v>169000</v>
      </c>
      <c r="F2475" t="s">
        <v>85</v>
      </c>
      <c r="G2475">
        <v>1983</v>
      </c>
      <c r="H2475">
        <v>290</v>
      </c>
      <c r="I2475" t="s">
        <v>673</v>
      </c>
      <c r="J2475" t="str">
        <f>"2"</f>
        <v>2</v>
      </c>
      <c r="K2475">
        <v>60002</v>
      </c>
      <c r="L2475">
        <v>2000</v>
      </c>
      <c r="M2475">
        <v>7</v>
      </c>
      <c r="N2475">
        <v>1</v>
      </c>
      <c r="O2475">
        <v>2</v>
      </c>
      <c r="P2475" t="s">
        <v>18</v>
      </c>
      <c r="Q2475">
        <v>4</v>
      </c>
      <c r="R2475">
        <v>0</v>
      </c>
      <c r="S2475" t="s">
        <v>22</v>
      </c>
      <c r="T2475">
        <v>2.1</v>
      </c>
      <c r="U2475">
        <v>0</v>
      </c>
    </row>
    <row r="2476" spans="1:21" x14ac:dyDescent="0.25">
      <c r="A2476" t="str">
        <f>"10151938"</f>
        <v>10151938</v>
      </c>
      <c r="B2476" t="s">
        <v>15</v>
      </c>
      <c r="C2476" s="1">
        <v>43490</v>
      </c>
      <c r="D2476" s="2">
        <f>YEAR(C2476)</f>
        <v>2019</v>
      </c>
      <c r="E2476">
        <v>165000</v>
      </c>
      <c r="F2476" t="s">
        <v>85</v>
      </c>
      <c r="G2476">
        <v>1963</v>
      </c>
      <c r="H2476">
        <v>350</v>
      </c>
      <c r="I2476" t="s">
        <v>158</v>
      </c>
      <c r="J2476" t="str">
        <f>"2"</f>
        <v>2</v>
      </c>
      <c r="K2476">
        <v>60002</v>
      </c>
      <c r="L2476">
        <v>2000</v>
      </c>
      <c r="M2476">
        <v>8</v>
      </c>
      <c r="N2476">
        <v>2</v>
      </c>
      <c r="O2476">
        <v>0</v>
      </c>
      <c r="P2476" t="s">
        <v>79</v>
      </c>
      <c r="Q2476">
        <v>4</v>
      </c>
      <c r="R2476">
        <v>0</v>
      </c>
      <c r="S2476" t="s">
        <v>21</v>
      </c>
      <c r="T2476">
        <v>1</v>
      </c>
      <c r="U2476">
        <v>0</v>
      </c>
    </row>
    <row r="2477" spans="1:21" x14ac:dyDescent="0.25">
      <c r="A2477" t="str">
        <f>"10774347"</f>
        <v>10774347</v>
      </c>
      <c r="B2477" t="s">
        <v>15</v>
      </c>
      <c r="C2477" s="1">
        <v>44064</v>
      </c>
      <c r="D2477" s="2">
        <f>YEAR(C2477)</f>
        <v>2020</v>
      </c>
      <c r="E2477">
        <v>215000</v>
      </c>
      <c r="F2477" t="s">
        <v>85</v>
      </c>
      <c r="G2477">
        <v>1978</v>
      </c>
      <c r="H2477">
        <v>25481</v>
      </c>
      <c r="I2477" t="s">
        <v>800</v>
      </c>
      <c r="J2477" t="str">
        <f>"2"</f>
        <v>2</v>
      </c>
      <c r="K2477">
        <v>60002</v>
      </c>
      <c r="L2477">
        <v>2000</v>
      </c>
      <c r="M2477">
        <v>11</v>
      </c>
      <c r="N2477">
        <v>3</v>
      </c>
      <c r="O2477">
        <v>0</v>
      </c>
      <c r="P2477" t="s">
        <v>79</v>
      </c>
      <c r="Q2477">
        <v>5</v>
      </c>
      <c r="R2477">
        <v>0</v>
      </c>
      <c r="S2477" t="s">
        <v>21</v>
      </c>
      <c r="T2477">
        <v>2</v>
      </c>
      <c r="U2477">
        <v>0</v>
      </c>
    </row>
    <row r="2478" spans="1:21" x14ac:dyDescent="0.25">
      <c r="A2478" t="str">
        <f>"09994274"</f>
        <v>09994274</v>
      </c>
      <c r="B2478" t="s">
        <v>15</v>
      </c>
      <c r="C2478" s="1">
        <v>43637</v>
      </c>
      <c r="D2478" s="2">
        <f>YEAR(C2478)</f>
        <v>2019</v>
      </c>
      <c r="E2478">
        <v>309000</v>
      </c>
      <c r="F2478" t="s">
        <v>85</v>
      </c>
      <c r="G2478">
        <v>2010</v>
      </c>
      <c r="H2478">
        <v>1125</v>
      </c>
      <c r="I2478" t="s">
        <v>749</v>
      </c>
      <c r="J2478" t="str">
        <f>"2"</f>
        <v>2</v>
      </c>
      <c r="K2478">
        <v>60002</v>
      </c>
      <c r="L2478">
        <v>2000</v>
      </c>
      <c r="M2478">
        <v>10</v>
      </c>
      <c r="N2478">
        <v>3</v>
      </c>
      <c r="O2478">
        <v>0</v>
      </c>
      <c r="P2478" t="s">
        <v>79</v>
      </c>
      <c r="Q2478">
        <v>3</v>
      </c>
      <c r="R2478">
        <v>1</v>
      </c>
      <c r="S2478" t="s">
        <v>21</v>
      </c>
      <c r="T2478">
        <v>3</v>
      </c>
      <c r="U2478">
        <v>0</v>
      </c>
    </row>
    <row r="2479" spans="1:21" x14ac:dyDescent="0.25">
      <c r="A2479" t="str">
        <f>"10486362"</f>
        <v>10486362</v>
      </c>
      <c r="B2479" t="s">
        <v>15</v>
      </c>
      <c r="C2479" s="1">
        <v>43734</v>
      </c>
      <c r="D2479" s="2">
        <f>YEAR(C2479)</f>
        <v>2019</v>
      </c>
      <c r="E2479">
        <v>189900</v>
      </c>
      <c r="F2479" t="s">
        <v>85</v>
      </c>
      <c r="G2479">
        <v>1973</v>
      </c>
      <c r="H2479">
        <v>215</v>
      </c>
      <c r="I2479" t="s">
        <v>595</v>
      </c>
      <c r="J2479" t="str">
        <f>"2"</f>
        <v>2</v>
      </c>
      <c r="K2479">
        <v>60002</v>
      </c>
      <c r="L2479">
        <v>2000</v>
      </c>
      <c r="M2479">
        <v>9</v>
      </c>
      <c r="N2479">
        <v>2</v>
      </c>
      <c r="O2479">
        <v>0</v>
      </c>
      <c r="P2479" t="s">
        <v>79</v>
      </c>
      <c r="Q2479">
        <v>4</v>
      </c>
      <c r="R2479">
        <v>0</v>
      </c>
      <c r="S2479" t="s">
        <v>22</v>
      </c>
      <c r="T2479">
        <v>2.5</v>
      </c>
      <c r="U2479">
        <v>0</v>
      </c>
    </row>
    <row r="2480" spans="1:21" x14ac:dyDescent="0.25">
      <c r="A2480" t="str">
        <f>"10458288"</f>
        <v>10458288</v>
      </c>
      <c r="B2480" t="s">
        <v>15</v>
      </c>
      <c r="C2480" s="1">
        <v>43740</v>
      </c>
      <c r="D2480" s="2">
        <f>YEAR(C2480)</f>
        <v>2019</v>
      </c>
      <c r="E2480">
        <v>319900</v>
      </c>
      <c r="F2480" t="s">
        <v>85</v>
      </c>
      <c r="G2480">
        <v>1987</v>
      </c>
      <c r="H2480">
        <v>26600</v>
      </c>
      <c r="I2480" t="s">
        <v>670</v>
      </c>
      <c r="J2480" t="str">
        <f>"2"</f>
        <v>2</v>
      </c>
      <c r="K2480">
        <v>60002</v>
      </c>
      <c r="L2480">
        <v>2006</v>
      </c>
      <c r="M2480">
        <v>8</v>
      </c>
      <c r="N2480">
        <v>3</v>
      </c>
      <c r="O2480">
        <v>1</v>
      </c>
      <c r="P2480" t="s">
        <v>79</v>
      </c>
      <c r="Q2480">
        <v>4</v>
      </c>
      <c r="R2480">
        <v>0</v>
      </c>
      <c r="S2480" t="s">
        <v>21</v>
      </c>
      <c r="T2480">
        <v>2.5</v>
      </c>
      <c r="U2480">
        <v>0</v>
      </c>
    </row>
    <row r="2481" spans="1:21" x14ac:dyDescent="0.25">
      <c r="A2481" t="str">
        <f>"10672850"</f>
        <v>10672850</v>
      </c>
      <c r="B2481" t="s">
        <v>15</v>
      </c>
      <c r="C2481" s="1">
        <v>44043</v>
      </c>
      <c r="D2481" s="2">
        <f>YEAR(C2481)</f>
        <v>2020</v>
      </c>
      <c r="E2481">
        <v>296000</v>
      </c>
      <c r="F2481" t="s">
        <v>85</v>
      </c>
      <c r="G2481">
        <v>1997</v>
      </c>
      <c r="H2481">
        <v>853</v>
      </c>
      <c r="I2481" t="s">
        <v>801</v>
      </c>
      <c r="J2481" t="str">
        <f>"2"</f>
        <v>2</v>
      </c>
      <c r="K2481">
        <v>60002</v>
      </c>
      <c r="L2481">
        <v>2010</v>
      </c>
      <c r="M2481">
        <v>8</v>
      </c>
      <c r="N2481">
        <v>2</v>
      </c>
      <c r="O2481">
        <v>1</v>
      </c>
      <c r="P2481" t="s">
        <v>18</v>
      </c>
      <c r="Q2481">
        <v>4</v>
      </c>
      <c r="R2481">
        <v>0</v>
      </c>
      <c r="S2481" t="s">
        <v>21</v>
      </c>
      <c r="T2481">
        <v>3</v>
      </c>
      <c r="U2481">
        <v>0</v>
      </c>
    </row>
    <row r="2482" spans="1:21" x14ac:dyDescent="0.25">
      <c r="A2482" t="str">
        <f>"10800667"</f>
        <v>10800667</v>
      </c>
      <c r="B2482" t="s">
        <v>15</v>
      </c>
      <c r="C2482" s="1">
        <v>44096</v>
      </c>
      <c r="D2482" s="2">
        <f>YEAR(C2482)</f>
        <v>2020</v>
      </c>
      <c r="E2482">
        <v>293000</v>
      </c>
      <c r="F2482" t="s">
        <v>85</v>
      </c>
      <c r="G2482">
        <v>1998</v>
      </c>
      <c r="H2482">
        <v>40077</v>
      </c>
      <c r="I2482" t="s">
        <v>803</v>
      </c>
      <c r="J2482" t="str">
        <f>"2"</f>
        <v>2</v>
      </c>
      <c r="K2482">
        <v>60002</v>
      </c>
      <c r="L2482">
        <v>2018</v>
      </c>
      <c r="M2482">
        <v>8</v>
      </c>
      <c r="N2482">
        <v>2</v>
      </c>
      <c r="O2482">
        <v>0</v>
      </c>
      <c r="P2482" t="s">
        <v>18</v>
      </c>
      <c r="Q2482">
        <v>3</v>
      </c>
      <c r="R2482">
        <v>0</v>
      </c>
      <c r="S2482" t="s">
        <v>21</v>
      </c>
      <c r="T2482">
        <v>2</v>
      </c>
      <c r="U2482">
        <v>0</v>
      </c>
    </row>
    <row r="2483" spans="1:21" x14ac:dyDescent="0.25">
      <c r="A2483" t="str">
        <f>"10748280"</f>
        <v>10748280</v>
      </c>
      <c r="B2483" t="s">
        <v>15</v>
      </c>
      <c r="C2483" s="1">
        <v>44089</v>
      </c>
      <c r="D2483" s="2">
        <f>YEAR(C2483)</f>
        <v>2020</v>
      </c>
      <c r="E2483">
        <v>248000</v>
      </c>
      <c r="F2483" t="s">
        <v>85</v>
      </c>
      <c r="G2483">
        <v>1991</v>
      </c>
      <c r="H2483">
        <v>180</v>
      </c>
      <c r="I2483" t="s">
        <v>804</v>
      </c>
      <c r="J2483" t="str">
        <f>"2"</f>
        <v>2</v>
      </c>
      <c r="K2483">
        <v>60002</v>
      </c>
      <c r="L2483">
        <v>2022</v>
      </c>
      <c r="M2483">
        <v>9</v>
      </c>
      <c r="N2483">
        <v>2</v>
      </c>
      <c r="O2483">
        <v>1</v>
      </c>
      <c r="P2483" t="s">
        <v>18</v>
      </c>
      <c r="Q2483">
        <v>3</v>
      </c>
      <c r="R2483">
        <v>0</v>
      </c>
      <c r="S2483" t="s">
        <v>21</v>
      </c>
      <c r="T2483">
        <v>2</v>
      </c>
      <c r="U2483">
        <v>0</v>
      </c>
    </row>
    <row r="2484" spans="1:21" x14ac:dyDescent="0.25">
      <c r="A2484" t="str">
        <f>"10744851"</f>
        <v>10744851</v>
      </c>
      <c r="B2484" t="s">
        <v>15</v>
      </c>
      <c r="C2484" s="1">
        <v>44098</v>
      </c>
      <c r="D2484" s="2">
        <f>YEAR(C2484)</f>
        <v>2020</v>
      </c>
      <c r="E2484">
        <v>172000</v>
      </c>
      <c r="F2484" t="s">
        <v>85</v>
      </c>
      <c r="G2484">
        <v>1970</v>
      </c>
      <c r="H2484">
        <v>133</v>
      </c>
      <c r="I2484" t="s">
        <v>651</v>
      </c>
      <c r="J2484" t="str">
        <f>"2"</f>
        <v>2</v>
      </c>
      <c r="K2484">
        <v>60002</v>
      </c>
      <c r="L2484">
        <v>2024</v>
      </c>
      <c r="M2484">
        <v>8</v>
      </c>
      <c r="N2484">
        <v>1</v>
      </c>
      <c r="O2484">
        <v>1</v>
      </c>
      <c r="P2484" t="s">
        <v>18</v>
      </c>
      <c r="Q2484">
        <v>3</v>
      </c>
      <c r="R2484">
        <v>0</v>
      </c>
      <c r="S2484" t="s">
        <v>21</v>
      </c>
      <c r="T2484">
        <v>2</v>
      </c>
      <c r="U2484">
        <v>0</v>
      </c>
    </row>
    <row r="2485" spans="1:21" x14ac:dyDescent="0.25">
      <c r="A2485" t="str">
        <f>"10741149"</f>
        <v>10741149</v>
      </c>
      <c r="B2485" t="s">
        <v>15</v>
      </c>
      <c r="C2485" s="1">
        <v>44039</v>
      </c>
      <c r="D2485" s="2">
        <f>YEAR(C2485)</f>
        <v>2020</v>
      </c>
      <c r="E2485">
        <v>206000</v>
      </c>
      <c r="F2485" t="s">
        <v>85</v>
      </c>
      <c r="G2485">
        <v>2002</v>
      </c>
      <c r="H2485">
        <v>618</v>
      </c>
      <c r="I2485" t="s">
        <v>754</v>
      </c>
      <c r="J2485" t="str">
        <f>"2"</f>
        <v>2</v>
      </c>
      <c r="K2485">
        <v>60002</v>
      </c>
      <c r="L2485">
        <v>2034</v>
      </c>
      <c r="M2485">
        <v>8</v>
      </c>
      <c r="N2485">
        <v>2</v>
      </c>
      <c r="O2485">
        <v>1</v>
      </c>
      <c r="P2485" t="s">
        <v>18</v>
      </c>
      <c r="Q2485">
        <v>3</v>
      </c>
      <c r="R2485">
        <v>0</v>
      </c>
      <c r="S2485" t="s">
        <v>21</v>
      </c>
      <c r="T2485">
        <v>2</v>
      </c>
      <c r="U2485">
        <v>0</v>
      </c>
    </row>
    <row r="2486" spans="1:21" x14ac:dyDescent="0.25">
      <c r="A2486" t="str">
        <f>"10309181"</f>
        <v>10309181</v>
      </c>
      <c r="B2486" t="s">
        <v>15</v>
      </c>
      <c r="C2486" s="1">
        <v>43577</v>
      </c>
      <c r="D2486" s="2">
        <f>YEAR(C2486)</f>
        <v>2019</v>
      </c>
      <c r="E2486">
        <v>198000</v>
      </c>
      <c r="F2486" t="s">
        <v>85</v>
      </c>
      <c r="G2486">
        <v>1990</v>
      </c>
      <c r="H2486">
        <v>22117</v>
      </c>
      <c r="I2486" t="s">
        <v>805</v>
      </c>
      <c r="J2486" t="str">
        <f>"2"</f>
        <v>2</v>
      </c>
      <c r="K2486">
        <v>60002</v>
      </c>
      <c r="L2486">
        <v>2038</v>
      </c>
      <c r="M2486">
        <v>7</v>
      </c>
      <c r="N2486">
        <v>2</v>
      </c>
      <c r="O2486">
        <v>0</v>
      </c>
      <c r="P2486" t="s">
        <v>79</v>
      </c>
      <c r="Q2486">
        <v>3</v>
      </c>
      <c r="R2486">
        <v>0</v>
      </c>
      <c r="S2486" t="s">
        <v>22</v>
      </c>
      <c r="T2486">
        <v>3</v>
      </c>
      <c r="U2486">
        <v>0</v>
      </c>
    </row>
    <row r="2487" spans="1:21" x14ac:dyDescent="0.25">
      <c r="A2487" t="str">
        <f>"10606139"</f>
        <v>10606139</v>
      </c>
      <c r="B2487" t="s">
        <v>15</v>
      </c>
      <c r="C2487" s="1">
        <v>43924</v>
      </c>
      <c r="D2487" s="2">
        <f>YEAR(C2487)</f>
        <v>2020</v>
      </c>
      <c r="E2487">
        <v>264000</v>
      </c>
      <c r="F2487" t="s">
        <v>85</v>
      </c>
      <c r="G2487">
        <v>2008</v>
      </c>
      <c r="H2487">
        <v>334</v>
      </c>
      <c r="I2487" t="s">
        <v>806</v>
      </c>
      <c r="J2487" t="str">
        <f>"2"</f>
        <v>2</v>
      </c>
      <c r="K2487">
        <v>60002</v>
      </c>
      <c r="L2487">
        <v>2039</v>
      </c>
      <c r="M2487">
        <v>7</v>
      </c>
      <c r="N2487">
        <v>2</v>
      </c>
      <c r="O2487">
        <v>1</v>
      </c>
      <c r="P2487" t="s">
        <v>18</v>
      </c>
      <c r="Q2487">
        <v>3</v>
      </c>
      <c r="R2487">
        <v>0</v>
      </c>
      <c r="S2487" t="s">
        <v>21</v>
      </c>
      <c r="T2487">
        <v>3</v>
      </c>
      <c r="U2487">
        <v>0</v>
      </c>
    </row>
    <row r="2488" spans="1:21" x14ac:dyDescent="0.25">
      <c r="A2488" t="str">
        <f>"10453410"</f>
        <v>10453410</v>
      </c>
      <c r="B2488" t="s">
        <v>15</v>
      </c>
      <c r="C2488" s="1">
        <v>43717</v>
      </c>
      <c r="D2488" s="2">
        <f>YEAR(C2488)</f>
        <v>2019</v>
      </c>
      <c r="E2488">
        <v>224900</v>
      </c>
      <c r="F2488" t="s">
        <v>85</v>
      </c>
      <c r="G2488">
        <v>2009</v>
      </c>
      <c r="H2488">
        <v>1158</v>
      </c>
      <c r="I2488" t="s">
        <v>807</v>
      </c>
      <c r="J2488" t="str">
        <f>"2"</f>
        <v>2</v>
      </c>
      <c r="K2488">
        <v>60002</v>
      </c>
      <c r="L2488">
        <v>2050</v>
      </c>
      <c r="M2488">
        <v>9</v>
      </c>
      <c r="N2488">
        <v>2</v>
      </c>
      <c r="O2488">
        <v>1</v>
      </c>
      <c r="P2488" t="s">
        <v>18</v>
      </c>
      <c r="Q2488">
        <v>3</v>
      </c>
      <c r="R2488">
        <v>0</v>
      </c>
      <c r="S2488" t="s">
        <v>21</v>
      </c>
      <c r="T2488">
        <v>2</v>
      </c>
      <c r="U2488">
        <v>0</v>
      </c>
    </row>
    <row r="2489" spans="1:21" x14ac:dyDescent="0.25">
      <c r="A2489" t="str">
        <f>"10458167"</f>
        <v>10458167</v>
      </c>
      <c r="B2489" t="s">
        <v>15</v>
      </c>
      <c r="C2489" s="1">
        <v>43720</v>
      </c>
      <c r="D2489" s="2">
        <f>YEAR(C2489)</f>
        <v>2019</v>
      </c>
      <c r="E2489">
        <v>250000</v>
      </c>
      <c r="F2489" t="s">
        <v>85</v>
      </c>
      <c r="G2489">
        <v>1999</v>
      </c>
      <c r="H2489">
        <v>927</v>
      </c>
      <c r="I2489" t="s">
        <v>808</v>
      </c>
      <c r="J2489" t="str">
        <f>"2"</f>
        <v>2</v>
      </c>
      <c r="K2489">
        <v>60002</v>
      </c>
      <c r="L2489">
        <v>2056</v>
      </c>
      <c r="M2489">
        <v>8</v>
      </c>
      <c r="N2489">
        <v>2</v>
      </c>
      <c r="O2489">
        <v>2</v>
      </c>
      <c r="P2489" t="s">
        <v>79</v>
      </c>
      <c r="Q2489">
        <v>4</v>
      </c>
      <c r="R2489">
        <v>0</v>
      </c>
      <c r="S2489" t="s">
        <v>21</v>
      </c>
      <c r="T2489">
        <v>2</v>
      </c>
      <c r="U2489">
        <v>0</v>
      </c>
    </row>
    <row r="2490" spans="1:21" x14ac:dyDescent="0.25">
      <c r="A2490" t="str">
        <f>"10314773"</f>
        <v>10314773</v>
      </c>
      <c r="B2490" t="s">
        <v>15</v>
      </c>
      <c r="C2490" s="1">
        <v>43678</v>
      </c>
      <c r="D2490" s="2">
        <f>YEAR(C2490)</f>
        <v>2019</v>
      </c>
      <c r="E2490">
        <v>239000</v>
      </c>
      <c r="F2490" t="s">
        <v>85</v>
      </c>
      <c r="G2490">
        <v>1994</v>
      </c>
      <c r="H2490">
        <v>1237</v>
      </c>
      <c r="I2490" t="s">
        <v>809</v>
      </c>
      <c r="J2490" t="str">
        <f>"2"</f>
        <v>2</v>
      </c>
      <c r="K2490">
        <v>60002</v>
      </c>
      <c r="L2490">
        <v>2058</v>
      </c>
      <c r="M2490">
        <v>7</v>
      </c>
      <c r="N2490">
        <v>2</v>
      </c>
      <c r="O2490">
        <v>1</v>
      </c>
      <c r="P2490" t="s">
        <v>18</v>
      </c>
      <c r="Q2490">
        <v>3</v>
      </c>
      <c r="R2490">
        <v>0</v>
      </c>
      <c r="S2490" t="s">
        <v>21</v>
      </c>
      <c r="T2490">
        <v>2</v>
      </c>
      <c r="U2490">
        <v>0</v>
      </c>
    </row>
    <row r="2491" spans="1:21" x14ac:dyDescent="0.25">
      <c r="A2491" t="str">
        <f>"10896333"</f>
        <v>10896333</v>
      </c>
      <c r="B2491" t="s">
        <v>15</v>
      </c>
      <c r="C2491" s="1">
        <v>44174</v>
      </c>
      <c r="D2491" s="2">
        <f>YEAR(C2491)</f>
        <v>2020</v>
      </c>
      <c r="E2491">
        <v>256400</v>
      </c>
      <c r="F2491" t="s">
        <v>85</v>
      </c>
      <c r="G2491">
        <v>2004</v>
      </c>
      <c r="H2491">
        <v>1681</v>
      </c>
      <c r="I2491" t="s">
        <v>810</v>
      </c>
      <c r="J2491" t="str">
        <f>"2"</f>
        <v>2</v>
      </c>
      <c r="K2491">
        <v>60002</v>
      </c>
      <c r="L2491">
        <v>2069</v>
      </c>
      <c r="M2491">
        <v>6</v>
      </c>
      <c r="N2491">
        <v>2</v>
      </c>
      <c r="O2491">
        <v>1</v>
      </c>
      <c r="P2491" t="s">
        <v>18</v>
      </c>
      <c r="Q2491">
        <v>3</v>
      </c>
      <c r="R2491">
        <v>0</v>
      </c>
      <c r="S2491" t="s">
        <v>21</v>
      </c>
      <c r="T2491">
        <v>2</v>
      </c>
      <c r="U2491">
        <v>0</v>
      </c>
    </row>
    <row r="2492" spans="1:21" x14ac:dyDescent="0.25">
      <c r="A2492" t="str">
        <f>"10170834"</f>
        <v>10170834</v>
      </c>
      <c r="B2492" t="s">
        <v>15</v>
      </c>
      <c r="C2492" s="1">
        <v>43532</v>
      </c>
      <c r="D2492" s="2">
        <f>YEAR(C2492)</f>
        <v>2019</v>
      </c>
      <c r="E2492">
        <v>225000</v>
      </c>
      <c r="F2492" t="s">
        <v>85</v>
      </c>
      <c r="G2492">
        <v>2001</v>
      </c>
      <c r="H2492">
        <v>599</v>
      </c>
      <c r="I2492" t="s">
        <v>400</v>
      </c>
      <c r="J2492" t="str">
        <f>"2"</f>
        <v>2</v>
      </c>
      <c r="K2492">
        <v>60002</v>
      </c>
      <c r="L2492">
        <v>2080</v>
      </c>
      <c r="M2492">
        <v>9</v>
      </c>
      <c r="N2492">
        <v>2</v>
      </c>
      <c r="O2492">
        <v>1</v>
      </c>
      <c r="P2492" t="s">
        <v>18</v>
      </c>
      <c r="Q2492">
        <v>3</v>
      </c>
      <c r="R2492">
        <v>1</v>
      </c>
      <c r="S2492" t="s">
        <v>21</v>
      </c>
      <c r="T2492">
        <v>2</v>
      </c>
      <c r="U2492">
        <v>0</v>
      </c>
    </row>
    <row r="2493" spans="1:21" x14ac:dyDescent="0.25">
      <c r="A2493" t="str">
        <f>"10507032"</f>
        <v>10507032</v>
      </c>
      <c r="B2493" t="s">
        <v>15</v>
      </c>
      <c r="C2493" s="1">
        <v>43755</v>
      </c>
      <c r="D2493" s="2">
        <f>YEAR(C2493)</f>
        <v>2019</v>
      </c>
      <c r="E2493">
        <v>78177</v>
      </c>
      <c r="F2493" t="s">
        <v>85</v>
      </c>
      <c r="G2493">
        <v>1950</v>
      </c>
      <c r="H2493">
        <v>38523</v>
      </c>
      <c r="I2493" t="s">
        <v>530</v>
      </c>
      <c r="J2493" t="str">
        <f>"2"</f>
        <v>2</v>
      </c>
      <c r="K2493">
        <v>60002</v>
      </c>
      <c r="L2493">
        <v>2086</v>
      </c>
      <c r="M2493">
        <v>7</v>
      </c>
      <c r="N2493">
        <v>2</v>
      </c>
      <c r="O2493">
        <v>0</v>
      </c>
      <c r="P2493" t="s">
        <v>18</v>
      </c>
      <c r="Q2493">
        <v>4</v>
      </c>
      <c r="R2493">
        <v>0</v>
      </c>
      <c r="S2493" t="s">
        <v>22</v>
      </c>
      <c r="T2493">
        <v>2</v>
      </c>
      <c r="U2493">
        <v>0</v>
      </c>
    </row>
    <row r="2494" spans="1:21" x14ac:dyDescent="0.25">
      <c r="A2494" t="str">
        <f>"10819364"</f>
        <v>10819364</v>
      </c>
      <c r="B2494" t="s">
        <v>15</v>
      </c>
      <c r="C2494" s="1">
        <v>44102</v>
      </c>
      <c r="D2494" s="2">
        <f>YEAR(C2494)</f>
        <v>2020</v>
      </c>
      <c r="E2494">
        <v>223000</v>
      </c>
      <c r="F2494" t="s">
        <v>85</v>
      </c>
      <c r="G2494">
        <v>2006</v>
      </c>
      <c r="H2494">
        <v>1088</v>
      </c>
      <c r="I2494" t="s">
        <v>235</v>
      </c>
      <c r="J2494" t="str">
        <f>"2"</f>
        <v>2</v>
      </c>
      <c r="K2494">
        <v>60002</v>
      </c>
      <c r="L2494">
        <v>2088</v>
      </c>
      <c r="M2494">
        <v>7</v>
      </c>
      <c r="N2494">
        <v>2</v>
      </c>
      <c r="O2494">
        <v>1</v>
      </c>
      <c r="P2494" t="s">
        <v>18</v>
      </c>
      <c r="Q2494">
        <v>3</v>
      </c>
      <c r="R2494">
        <v>0</v>
      </c>
      <c r="S2494" t="s">
        <v>21</v>
      </c>
      <c r="T2494">
        <v>2</v>
      </c>
      <c r="U2494">
        <v>0</v>
      </c>
    </row>
    <row r="2495" spans="1:21" x14ac:dyDescent="0.25">
      <c r="A2495" t="str">
        <f>"10503980"</f>
        <v>10503980</v>
      </c>
      <c r="B2495" t="s">
        <v>15</v>
      </c>
      <c r="C2495" s="1">
        <v>43983</v>
      </c>
      <c r="D2495" s="2">
        <f>YEAR(C2495)</f>
        <v>2020</v>
      </c>
      <c r="E2495">
        <v>260000</v>
      </c>
      <c r="F2495" t="s">
        <v>85</v>
      </c>
      <c r="G2495">
        <v>1950</v>
      </c>
      <c r="H2495">
        <v>38471</v>
      </c>
      <c r="I2495" t="s">
        <v>593</v>
      </c>
      <c r="J2495" t="str">
        <f>"2"</f>
        <v>2</v>
      </c>
      <c r="K2495">
        <v>60002</v>
      </c>
      <c r="L2495">
        <v>2088</v>
      </c>
      <c r="M2495">
        <v>6</v>
      </c>
      <c r="N2495">
        <v>2</v>
      </c>
      <c r="O2495">
        <v>0</v>
      </c>
      <c r="P2495" t="s">
        <v>18</v>
      </c>
      <c r="Q2495">
        <v>3</v>
      </c>
      <c r="R2495">
        <v>0</v>
      </c>
      <c r="S2495" t="s">
        <v>22</v>
      </c>
      <c r="T2495">
        <v>2</v>
      </c>
      <c r="U2495">
        <v>0</v>
      </c>
    </row>
    <row r="2496" spans="1:21" x14ac:dyDescent="0.25">
      <c r="A2496" t="str">
        <f>"10395621"</f>
        <v>10395621</v>
      </c>
      <c r="B2496" t="s">
        <v>15</v>
      </c>
      <c r="C2496" s="1">
        <v>43642</v>
      </c>
      <c r="D2496" s="2">
        <f>YEAR(C2496)</f>
        <v>2019</v>
      </c>
      <c r="E2496">
        <v>273000</v>
      </c>
      <c r="F2496" t="s">
        <v>85</v>
      </c>
      <c r="G2496">
        <v>1991</v>
      </c>
      <c r="H2496">
        <v>39750</v>
      </c>
      <c r="I2496" t="s">
        <v>812</v>
      </c>
      <c r="J2496" t="str">
        <f>"2"</f>
        <v>2</v>
      </c>
      <c r="K2496">
        <v>60002</v>
      </c>
      <c r="L2496">
        <v>2088</v>
      </c>
      <c r="M2496">
        <v>7</v>
      </c>
      <c r="N2496">
        <v>3</v>
      </c>
      <c r="O2496">
        <v>0</v>
      </c>
      <c r="P2496" t="s">
        <v>79</v>
      </c>
      <c r="Q2496">
        <v>3</v>
      </c>
      <c r="R2496">
        <v>0</v>
      </c>
      <c r="S2496" t="s">
        <v>21</v>
      </c>
      <c r="T2496">
        <v>2</v>
      </c>
      <c r="U2496">
        <v>0</v>
      </c>
    </row>
    <row r="2497" spans="1:21" x14ac:dyDescent="0.25">
      <c r="A2497" t="str">
        <f>"10317353"</f>
        <v>10317353</v>
      </c>
      <c r="B2497" t="s">
        <v>15</v>
      </c>
      <c r="C2497" s="1">
        <v>43637</v>
      </c>
      <c r="D2497" s="2">
        <f>YEAR(C2497)</f>
        <v>2019</v>
      </c>
      <c r="E2497">
        <v>275000</v>
      </c>
      <c r="F2497" t="s">
        <v>85</v>
      </c>
      <c r="G2497">
        <v>2005</v>
      </c>
      <c r="H2497">
        <v>25868</v>
      </c>
      <c r="I2497" t="s">
        <v>813</v>
      </c>
      <c r="J2497" t="str">
        <f>"2"</f>
        <v>2</v>
      </c>
      <c r="K2497">
        <v>60002</v>
      </c>
      <c r="L2497">
        <v>2089</v>
      </c>
      <c r="M2497">
        <v>7</v>
      </c>
      <c r="N2497">
        <v>2</v>
      </c>
      <c r="O2497">
        <v>1</v>
      </c>
      <c r="P2497" t="s">
        <v>18</v>
      </c>
      <c r="Q2497">
        <v>4</v>
      </c>
      <c r="R2497">
        <v>0</v>
      </c>
      <c r="S2497" t="s">
        <v>21</v>
      </c>
      <c r="T2497">
        <v>2</v>
      </c>
      <c r="U2497">
        <v>0</v>
      </c>
    </row>
    <row r="2498" spans="1:21" x14ac:dyDescent="0.25">
      <c r="A2498" t="str">
        <f>"10789201"</f>
        <v>10789201</v>
      </c>
      <c r="B2498" t="s">
        <v>15</v>
      </c>
      <c r="C2498" s="1">
        <v>44067</v>
      </c>
      <c r="D2498" s="2">
        <f>YEAR(C2498)</f>
        <v>2020</v>
      </c>
      <c r="E2498">
        <v>410000</v>
      </c>
      <c r="F2498" t="s">
        <v>85</v>
      </c>
      <c r="G2498">
        <v>1950</v>
      </c>
      <c r="H2498">
        <v>38509</v>
      </c>
      <c r="I2498" t="s">
        <v>593</v>
      </c>
      <c r="J2498" t="str">
        <f>"2"</f>
        <v>2</v>
      </c>
      <c r="K2498">
        <v>60002</v>
      </c>
      <c r="L2498">
        <v>2098</v>
      </c>
      <c r="M2498">
        <v>8</v>
      </c>
      <c r="N2498">
        <v>2</v>
      </c>
      <c r="O2498">
        <v>0</v>
      </c>
      <c r="P2498" t="s">
        <v>18</v>
      </c>
      <c r="Q2498">
        <v>3</v>
      </c>
      <c r="R2498">
        <v>0</v>
      </c>
      <c r="S2498" t="s">
        <v>21</v>
      </c>
      <c r="T2498">
        <v>1</v>
      </c>
      <c r="U2498">
        <v>0</v>
      </c>
    </row>
    <row r="2499" spans="1:21" x14ac:dyDescent="0.25">
      <c r="A2499" t="str">
        <f>"10159246"</f>
        <v>10159246</v>
      </c>
      <c r="B2499" t="s">
        <v>15</v>
      </c>
      <c r="C2499" s="1">
        <v>43511</v>
      </c>
      <c r="D2499" s="2">
        <f>YEAR(C2499)</f>
        <v>2019</v>
      </c>
      <c r="E2499">
        <v>196000</v>
      </c>
      <c r="F2499" t="s">
        <v>85</v>
      </c>
      <c r="G2499">
        <v>1993</v>
      </c>
      <c r="H2499">
        <v>1055</v>
      </c>
      <c r="I2499" t="s">
        <v>190</v>
      </c>
      <c r="J2499" t="str">
        <f>"2"</f>
        <v>2</v>
      </c>
      <c r="K2499">
        <v>60002</v>
      </c>
      <c r="L2499">
        <v>2100</v>
      </c>
      <c r="M2499">
        <v>8</v>
      </c>
      <c r="N2499">
        <v>2</v>
      </c>
      <c r="O2499">
        <v>1</v>
      </c>
      <c r="P2499" t="s">
        <v>18</v>
      </c>
      <c r="Q2499">
        <v>3</v>
      </c>
      <c r="R2499">
        <v>0</v>
      </c>
      <c r="S2499" t="s">
        <v>21</v>
      </c>
      <c r="T2499">
        <v>2</v>
      </c>
      <c r="U2499">
        <v>0</v>
      </c>
    </row>
    <row r="2500" spans="1:21" x14ac:dyDescent="0.25">
      <c r="A2500" t="str">
        <f>"10572262"</f>
        <v>10572262</v>
      </c>
      <c r="B2500" t="s">
        <v>15</v>
      </c>
      <c r="C2500" s="1">
        <v>43867</v>
      </c>
      <c r="D2500" s="2">
        <f>YEAR(C2500)</f>
        <v>2020</v>
      </c>
      <c r="E2500">
        <v>212500</v>
      </c>
      <c r="F2500" t="s">
        <v>85</v>
      </c>
      <c r="G2500">
        <v>1977</v>
      </c>
      <c r="H2500">
        <v>757</v>
      </c>
      <c r="I2500" t="s">
        <v>814</v>
      </c>
      <c r="J2500" t="str">
        <f>"2"</f>
        <v>2</v>
      </c>
      <c r="K2500">
        <v>60002</v>
      </c>
      <c r="L2500">
        <v>2100</v>
      </c>
      <c r="M2500">
        <v>8</v>
      </c>
      <c r="N2500">
        <v>2</v>
      </c>
      <c r="O2500">
        <v>1</v>
      </c>
      <c r="P2500" t="s">
        <v>18</v>
      </c>
      <c r="Q2500">
        <v>4</v>
      </c>
      <c r="R2500">
        <v>0</v>
      </c>
      <c r="S2500" t="s">
        <v>21</v>
      </c>
      <c r="T2500">
        <v>2</v>
      </c>
      <c r="U2500">
        <v>0</v>
      </c>
    </row>
    <row r="2501" spans="1:21" x14ac:dyDescent="0.25">
      <c r="A2501" t="str">
        <f>"10274742"</f>
        <v>10274742</v>
      </c>
      <c r="B2501" t="s">
        <v>15</v>
      </c>
      <c r="C2501" s="1">
        <v>43573</v>
      </c>
      <c r="D2501" s="2">
        <f>YEAR(C2501)</f>
        <v>2019</v>
      </c>
      <c r="E2501">
        <v>239900</v>
      </c>
      <c r="F2501" t="s">
        <v>85</v>
      </c>
      <c r="G2501">
        <v>1998</v>
      </c>
      <c r="H2501">
        <v>778</v>
      </c>
      <c r="I2501" t="s">
        <v>758</v>
      </c>
      <c r="J2501" t="str">
        <f>"2"</f>
        <v>2</v>
      </c>
      <c r="K2501">
        <v>60002</v>
      </c>
      <c r="L2501">
        <v>2100</v>
      </c>
      <c r="M2501">
        <v>11</v>
      </c>
      <c r="N2501">
        <v>2</v>
      </c>
      <c r="O2501">
        <v>1</v>
      </c>
      <c r="P2501" t="s">
        <v>18</v>
      </c>
      <c r="Q2501">
        <v>4</v>
      </c>
      <c r="R2501">
        <v>1</v>
      </c>
      <c r="S2501" t="s">
        <v>21</v>
      </c>
      <c r="T2501">
        <v>2</v>
      </c>
      <c r="U2501">
        <v>0</v>
      </c>
    </row>
    <row r="2502" spans="1:21" x14ac:dyDescent="0.25">
      <c r="A2502" t="str">
        <f>"09970124"</f>
        <v>09970124</v>
      </c>
      <c r="B2502" t="s">
        <v>15</v>
      </c>
      <c r="C2502" s="1">
        <v>43493</v>
      </c>
      <c r="D2502" s="2">
        <f>YEAR(C2502)</f>
        <v>2019</v>
      </c>
      <c r="E2502">
        <v>310000</v>
      </c>
      <c r="F2502" t="s">
        <v>85</v>
      </c>
      <c r="G2502">
        <v>1965</v>
      </c>
      <c r="H2502">
        <v>25092</v>
      </c>
      <c r="I2502" t="s">
        <v>663</v>
      </c>
      <c r="J2502" t="str">
        <f>"2"</f>
        <v>2</v>
      </c>
      <c r="K2502">
        <v>60002</v>
      </c>
      <c r="L2502">
        <v>2100</v>
      </c>
      <c r="M2502">
        <v>11</v>
      </c>
      <c r="N2502">
        <v>1</v>
      </c>
      <c r="O2502">
        <v>1</v>
      </c>
      <c r="P2502" t="s">
        <v>18</v>
      </c>
      <c r="Q2502">
        <v>3</v>
      </c>
      <c r="R2502">
        <v>1</v>
      </c>
      <c r="S2502" t="s">
        <v>22</v>
      </c>
      <c r="T2502">
        <v>3</v>
      </c>
      <c r="U2502">
        <v>0</v>
      </c>
    </row>
    <row r="2503" spans="1:21" x14ac:dyDescent="0.25">
      <c r="A2503" t="str">
        <f>"10494278"</f>
        <v>10494278</v>
      </c>
      <c r="B2503" t="s">
        <v>15</v>
      </c>
      <c r="C2503" s="1">
        <v>43770</v>
      </c>
      <c r="D2503" s="2">
        <f>YEAR(C2503)</f>
        <v>2019</v>
      </c>
      <c r="E2503">
        <v>180000</v>
      </c>
      <c r="F2503" t="s">
        <v>85</v>
      </c>
      <c r="G2503">
        <v>1973</v>
      </c>
      <c r="H2503">
        <v>841</v>
      </c>
      <c r="I2503" t="s">
        <v>815</v>
      </c>
      <c r="J2503" t="str">
        <f>"2"</f>
        <v>2</v>
      </c>
      <c r="K2503">
        <v>60002</v>
      </c>
      <c r="L2503">
        <v>2102</v>
      </c>
      <c r="M2503">
        <v>9</v>
      </c>
      <c r="N2503">
        <v>2</v>
      </c>
      <c r="O2503">
        <v>0</v>
      </c>
      <c r="P2503" t="s">
        <v>79</v>
      </c>
      <c r="Q2503">
        <v>5</v>
      </c>
      <c r="R2503">
        <v>0</v>
      </c>
      <c r="S2503" t="s">
        <v>22</v>
      </c>
      <c r="T2503">
        <v>1.5</v>
      </c>
      <c r="U2503">
        <v>0</v>
      </c>
    </row>
    <row r="2504" spans="1:21" x14ac:dyDescent="0.25">
      <c r="A2504" t="str">
        <f>"10520921"</f>
        <v>10520921</v>
      </c>
      <c r="B2504" t="s">
        <v>15</v>
      </c>
      <c r="C2504" s="1">
        <v>43812</v>
      </c>
      <c r="D2504" s="2">
        <f>YEAR(C2504)</f>
        <v>2019</v>
      </c>
      <c r="E2504">
        <v>40000</v>
      </c>
      <c r="F2504" t="s">
        <v>85</v>
      </c>
      <c r="G2504">
        <v>1970</v>
      </c>
      <c r="H2504">
        <v>42657</v>
      </c>
      <c r="I2504" t="s">
        <v>201</v>
      </c>
      <c r="J2504" t="str">
        <f>"2"</f>
        <v>2</v>
      </c>
      <c r="K2504">
        <v>60002</v>
      </c>
      <c r="L2504">
        <v>2112</v>
      </c>
      <c r="M2504">
        <v>8</v>
      </c>
      <c r="N2504">
        <v>2</v>
      </c>
      <c r="O2504">
        <v>0</v>
      </c>
      <c r="P2504" t="s">
        <v>18</v>
      </c>
      <c r="Q2504">
        <v>4</v>
      </c>
      <c r="R2504">
        <v>0</v>
      </c>
      <c r="S2504" t="s">
        <v>22</v>
      </c>
      <c r="T2504">
        <v>2</v>
      </c>
      <c r="U2504">
        <v>0</v>
      </c>
    </row>
    <row r="2505" spans="1:21" x14ac:dyDescent="0.25">
      <c r="A2505" t="str">
        <f>"10717380"</f>
        <v>10717380</v>
      </c>
      <c r="B2505" t="s">
        <v>15</v>
      </c>
      <c r="C2505" s="1">
        <v>44027</v>
      </c>
      <c r="D2505" s="2">
        <f>YEAR(C2505)</f>
        <v>2020</v>
      </c>
      <c r="E2505">
        <v>306000</v>
      </c>
      <c r="F2505" t="s">
        <v>85</v>
      </c>
      <c r="G2505">
        <v>2001</v>
      </c>
      <c r="H2505">
        <v>961</v>
      </c>
      <c r="I2505" t="s">
        <v>757</v>
      </c>
      <c r="J2505" t="str">
        <f>"2"</f>
        <v>2</v>
      </c>
      <c r="K2505">
        <v>60002</v>
      </c>
      <c r="L2505">
        <v>2115</v>
      </c>
      <c r="M2505">
        <v>10</v>
      </c>
      <c r="N2505">
        <v>3</v>
      </c>
      <c r="O2505">
        <v>1</v>
      </c>
      <c r="P2505" t="s">
        <v>79</v>
      </c>
      <c r="Q2505">
        <v>4</v>
      </c>
      <c r="R2505">
        <v>0</v>
      </c>
      <c r="S2505" t="s">
        <v>21</v>
      </c>
      <c r="T2505">
        <v>3</v>
      </c>
      <c r="U2505">
        <v>0</v>
      </c>
    </row>
    <row r="2506" spans="1:21" x14ac:dyDescent="0.25">
      <c r="A2506" t="str">
        <f>"10420026"</f>
        <v>10420026</v>
      </c>
      <c r="B2506" t="s">
        <v>15</v>
      </c>
      <c r="C2506" s="1">
        <v>43749</v>
      </c>
      <c r="D2506" s="2">
        <f>YEAR(C2506)</f>
        <v>2019</v>
      </c>
      <c r="E2506">
        <v>230000</v>
      </c>
      <c r="F2506" t="s">
        <v>85</v>
      </c>
      <c r="G2506">
        <v>2004</v>
      </c>
      <c r="H2506">
        <v>1005</v>
      </c>
      <c r="I2506" t="s">
        <v>816</v>
      </c>
      <c r="J2506" t="str">
        <f>"2"</f>
        <v>2</v>
      </c>
      <c r="K2506">
        <v>60002</v>
      </c>
      <c r="L2506">
        <v>2116</v>
      </c>
      <c r="M2506">
        <v>9</v>
      </c>
      <c r="N2506">
        <v>2</v>
      </c>
      <c r="O2506">
        <v>1</v>
      </c>
      <c r="P2506" t="s">
        <v>18</v>
      </c>
      <c r="Q2506">
        <v>4</v>
      </c>
      <c r="R2506">
        <v>0</v>
      </c>
      <c r="S2506" t="s">
        <v>21</v>
      </c>
      <c r="T2506">
        <v>2</v>
      </c>
      <c r="U2506">
        <v>0</v>
      </c>
    </row>
    <row r="2507" spans="1:21" x14ac:dyDescent="0.25">
      <c r="A2507" t="str">
        <f>"10810688"</f>
        <v>10810688</v>
      </c>
      <c r="B2507" t="s">
        <v>15</v>
      </c>
      <c r="C2507" s="1">
        <v>44103</v>
      </c>
      <c r="D2507" s="2">
        <f>YEAR(C2507)</f>
        <v>2020</v>
      </c>
      <c r="E2507">
        <v>252000</v>
      </c>
      <c r="F2507" t="s">
        <v>85</v>
      </c>
      <c r="G2507">
        <v>2004</v>
      </c>
      <c r="H2507">
        <v>1005</v>
      </c>
      <c r="I2507" t="s">
        <v>816</v>
      </c>
      <c r="J2507" t="str">
        <f>"2"</f>
        <v>2</v>
      </c>
      <c r="K2507">
        <v>60002</v>
      </c>
      <c r="L2507">
        <v>2116</v>
      </c>
      <c r="M2507">
        <v>9</v>
      </c>
      <c r="N2507">
        <v>2</v>
      </c>
      <c r="O2507">
        <v>1</v>
      </c>
      <c r="P2507" t="s">
        <v>18</v>
      </c>
      <c r="Q2507">
        <v>4</v>
      </c>
      <c r="R2507">
        <v>0</v>
      </c>
      <c r="S2507" t="s">
        <v>21</v>
      </c>
      <c r="T2507">
        <v>2</v>
      </c>
      <c r="U2507">
        <v>0</v>
      </c>
    </row>
    <row r="2508" spans="1:21" x14ac:dyDescent="0.25">
      <c r="A2508" t="str">
        <f>"10641000"</f>
        <v>10641000</v>
      </c>
      <c r="B2508" t="s">
        <v>15</v>
      </c>
      <c r="C2508" s="1">
        <v>43909</v>
      </c>
      <c r="D2508" s="2">
        <f>YEAR(C2508)</f>
        <v>2020</v>
      </c>
      <c r="E2508">
        <v>238000</v>
      </c>
      <c r="F2508" t="s">
        <v>85</v>
      </c>
      <c r="G2508">
        <v>2005</v>
      </c>
      <c r="H2508">
        <v>452</v>
      </c>
      <c r="I2508" t="s">
        <v>817</v>
      </c>
      <c r="J2508" t="str">
        <f>"2"</f>
        <v>2</v>
      </c>
      <c r="K2508">
        <v>60002</v>
      </c>
      <c r="L2508">
        <v>2122</v>
      </c>
      <c r="M2508">
        <v>9</v>
      </c>
      <c r="N2508">
        <v>2</v>
      </c>
      <c r="O2508">
        <v>1</v>
      </c>
      <c r="P2508" t="s">
        <v>18</v>
      </c>
      <c r="Q2508">
        <v>3</v>
      </c>
      <c r="R2508">
        <v>0</v>
      </c>
      <c r="S2508" t="s">
        <v>21</v>
      </c>
      <c r="T2508">
        <v>2</v>
      </c>
      <c r="U2508">
        <v>0</v>
      </c>
    </row>
    <row r="2509" spans="1:21" x14ac:dyDescent="0.25">
      <c r="A2509" t="str">
        <f>"10878889"</f>
        <v>10878889</v>
      </c>
      <c r="B2509" t="s">
        <v>15</v>
      </c>
      <c r="C2509" s="1">
        <v>44182</v>
      </c>
      <c r="D2509" s="2">
        <f>YEAR(C2509)</f>
        <v>2020</v>
      </c>
      <c r="E2509">
        <v>198000</v>
      </c>
      <c r="F2509" t="s">
        <v>85</v>
      </c>
      <c r="G2509">
        <v>1976</v>
      </c>
      <c r="H2509">
        <v>89</v>
      </c>
      <c r="I2509" t="s">
        <v>572</v>
      </c>
      <c r="J2509" t="str">
        <f>"2"</f>
        <v>2</v>
      </c>
      <c r="K2509">
        <v>60002</v>
      </c>
      <c r="L2509">
        <v>2132</v>
      </c>
      <c r="M2509">
        <v>7</v>
      </c>
      <c r="N2509">
        <v>2</v>
      </c>
      <c r="O2509">
        <v>1</v>
      </c>
      <c r="P2509" t="s">
        <v>79</v>
      </c>
      <c r="Q2509">
        <v>3</v>
      </c>
      <c r="R2509">
        <v>0</v>
      </c>
      <c r="S2509" t="s">
        <v>22</v>
      </c>
      <c r="T2509">
        <v>2</v>
      </c>
      <c r="U2509">
        <v>0</v>
      </c>
    </row>
    <row r="2510" spans="1:21" x14ac:dyDescent="0.25">
      <c r="A2510" t="str">
        <f>"10434421"</f>
        <v>10434421</v>
      </c>
      <c r="B2510" t="s">
        <v>15</v>
      </c>
      <c r="C2510" s="1">
        <v>43697</v>
      </c>
      <c r="D2510" s="2">
        <f>YEAR(C2510)</f>
        <v>2019</v>
      </c>
      <c r="E2510">
        <v>175000</v>
      </c>
      <c r="F2510" t="s">
        <v>85</v>
      </c>
      <c r="G2510">
        <v>1970</v>
      </c>
      <c r="H2510">
        <v>107</v>
      </c>
      <c r="I2510" t="s">
        <v>578</v>
      </c>
      <c r="J2510" t="str">
        <f>"2"</f>
        <v>2</v>
      </c>
      <c r="K2510">
        <v>60002</v>
      </c>
      <c r="L2510">
        <v>2138</v>
      </c>
      <c r="M2510">
        <v>8</v>
      </c>
      <c r="N2510">
        <v>2</v>
      </c>
      <c r="O2510">
        <v>0</v>
      </c>
      <c r="P2510" t="s">
        <v>79</v>
      </c>
      <c r="Q2510">
        <v>4</v>
      </c>
      <c r="R2510">
        <v>0</v>
      </c>
      <c r="S2510" t="s">
        <v>22</v>
      </c>
      <c r="T2510">
        <v>3</v>
      </c>
      <c r="U2510">
        <v>0</v>
      </c>
    </row>
    <row r="2511" spans="1:21" x14ac:dyDescent="0.25">
      <c r="A2511" t="str">
        <f>"10127291"</f>
        <v>10127291</v>
      </c>
      <c r="B2511" t="s">
        <v>15</v>
      </c>
      <c r="C2511" s="1">
        <v>43559</v>
      </c>
      <c r="D2511" s="2">
        <f>YEAR(C2511)</f>
        <v>2019</v>
      </c>
      <c r="E2511">
        <v>214500</v>
      </c>
      <c r="F2511" t="s">
        <v>85</v>
      </c>
      <c r="G2511">
        <v>1972</v>
      </c>
      <c r="H2511">
        <v>23650</v>
      </c>
      <c r="I2511" t="s">
        <v>818</v>
      </c>
      <c r="J2511" t="str">
        <f>"2"</f>
        <v>2</v>
      </c>
      <c r="K2511">
        <v>60002</v>
      </c>
      <c r="L2511">
        <v>2154</v>
      </c>
      <c r="M2511">
        <v>7</v>
      </c>
      <c r="N2511">
        <v>2</v>
      </c>
      <c r="O2511">
        <v>0</v>
      </c>
      <c r="P2511" t="s">
        <v>18</v>
      </c>
      <c r="Q2511">
        <v>3</v>
      </c>
      <c r="R2511">
        <v>0</v>
      </c>
      <c r="S2511" t="s">
        <v>21</v>
      </c>
      <c r="T2511">
        <v>2.5</v>
      </c>
      <c r="U2511">
        <v>0</v>
      </c>
    </row>
    <row r="2512" spans="1:21" x14ac:dyDescent="0.25">
      <c r="A2512" t="str">
        <f>"10433085"</f>
        <v>10433085</v>
      </c>
      <c r="B2512" t="s">
        <v>15</v>
      </c>
      <c r="C2512" s="1">
        <v>43693</v>
      </c>
      <c r="D2512" s="2">
        <f>YEAR(C2512)</f>
        <v>2019</v>
      </c>
      <c r="E2512">
        <v>520000</v>
      </c>
      <c r="F2512" t="s">
        <v>85</v>
      </c>
      <c r="G2512">
        <v>2012</v>
      </c>
      <c r="H2512">
        <v>41071</v>
      </c>
      <c r="I2512" t="s">
        <v>819</v>
      </c>
      <c r="J2512" t="str">
        <f>"2"</f>
        <v>2</v>
      </c>
      <c r="K2512">
        <v>60002</v>
      </c>
      <c r="L2512">
        <v>2156</v>
      </c>
      <c r="M2512">
        <v>7</v>
      </c>
      <c r="N2512">
        <v>2</v>
      </c>
      <c r="O2512">
        <v>0</v>
      </c>
      <c r="P2512" t="s">
        <v>18</v>
      </c>
      <c r="Q2512">
        <v>4</v>
      </c>
      <c r="R2512">
        <v>0</v>
      </c>
      <c r="S2512" t="s">
        <v>22</v>
      </c>
      <c r="T2512">
        <v>1.5</v>
      </c>
      <c r="U2512">
        <v>0</v>
      </c>
    </row>
    <row r="2513" spans="1:21" x14ac:dyDescent="0.25">
      <c r="A2513" t="str">
        <f>"10166896"</f>
        <v>10166896</v>
      </c>
      <c r="B2513" t="s">
        <v>15</v>
      </c>
      <c r="C2513" s="1">
        <v>43525</v>
      </c>
      <c r="D2513" s="2">
        <f>YEAR(C2513)</f>
        <v>2019</v>
      </c>
      <c r="E2513">
        <v>170000</v>
      </c>
      <c r="F2513" t="s">
        <v>85</v>
      </c>
      <c r="G2513">
        <v>2003</v>
      </c>
      <c r="H2513">
        <v>1188</v>
      </c>
      <c r="I2513" t="s">
        <v>730</v>
      </c>
      <c r="J2513" t="str">
        <f>"2"</f>
        <v>2</v>
      </c>
      <c r="K2513">
        <v>60002</v>
      </c>
      <c r="L2513">
        <v>2160</v>
      </c>
      <c r="M2513">
        <v>9</v>
      </c>
      <c r="N2513">
        <v>2</v>
      </c>
      <c r="O2513">
        <v>1</v>
      </c>
      <c r="P2513" t="s">
        <v>18</v>
      </c>
      <c r="Q2513">
        <v>4</v>
      </c>
      <c r="R2513">
        <v>0</v>
      </c>
      <c r="S2513" t="s">
        <v>21</v>
      </c>
      <c r="T2513">
        <v>2</v>
      </c>
      <c r="U2513">
        <v>0</v>
      </c>
    </row>
    <row r="2514" spans="1:21" x14ac:dyDescent="0.25">
      <c r="A2514" t="str">
        <f>"10532613"</f>
        <v>10532613</v>
      </c>
      <c r="B2514" t="s">
        <v>15</v>
      </c>
      <c r="C2514" s="1">
        <v>43837</v>
      </c>
      <c r="D2514" s="2">
        <f>YEAR(C2514)</f>
        <v>2020</v>
      </c>
      <c r="E2514">
        <v>240000</v>
      </c>
      <c r="F2514" t="s">
        <v>85</v>
      </c>
      <c r="G2514">
        <v>2005</v>
      </c>
      <c r="H2514">
        <v>909</v>
      </c>
      <c r="I2514" t="s">
        <v>236</v>
      </c>
      <c r="J2514" t="str">
        <f>"2"</f>
        <v>2</v>
      </c>
      <c r="K2514">
        <v>60002</v>
      </c>
      <c r="L2514">
        <v>2160</v>
      </c>
      <c r="M2514">
        <v>9</v>
      </c>
      <c r="N2514">
        <v>2</v>
      </c>
      <c r="O2514">
        <v>1</v>
      </c>
      <c r="P2514" t="s">
        <v>18</v>
      </c>
      <c r="Q2514">
        <v>3</v>
      </c>
      <c r="R2514">
        <v>0</v>
      </c>
      <c r="S2514" t="s">
        <v>21</v>
      </c>
      <c r="T2514">
        <v>2</v>
      </c>
      <c r="U2514">
        <v>0</v>
      </c>
    </row>
    <row r="2515" spans="1:21" x14ac:dyDescent="0.25">
      <c r="A2515" t="str">
        <f>"10623821"</f>
        <v>10623821</v>
      </c>
      <c r="B2515" t="s">
        <v>15</v>
      </c>
      <c r="C2515" s="1">
        <v>44042</v>
      </c>
      <c r="D2515" s="2">
        <f>YEAR(C2515)</f>
        <v>2020</v>
      </c>
      <c r="E2515">
        <v>174000</v>
      </c>
      <c r="F2515" t="s">
        <v>85</v>
      </c>
      <c r="G2515">
        <v>1965</v>
      </c>
      <c r="H2515">
        <v>497</v>
      </c>
      <c r="I2515" t="s">
        <v>790</v>
      </c>
      <c r="J2515" t="str">
        <f>"2"</f>
        <v>2</v>
      </c>
      <c r="K2515">
        <v>60002</v>
      </c>
      <c r="L2515">
        <v>2160</v>
      </c>
      <c r="M2515">
        <v>8</v>
      </c>
      <c r="N2515">
        <v>1</v>
      </c>
      <c r="O2515">
        <v>1</v>
      </c>
      <c r="P2515" t="s">
        <v>18</v>
      </c>
      <c r="Q2515">
        <v>4</v>
      </c>
      <c r="R2515">
        <v>0</v>
      </c>
      <c r="S2515" t="s">
        <v>22</v>
      </c>
      <c r="T2515">
        <v>2</v>
      </c>
      <c r="U2515">
        <v>0</v>
      </c>
    </row>
    <row r="2516" spans="1:21" x14ac:dyDescent="0.25">
      <c r="A2516" t="s">
        <v>820</v>
      </c>
      <c r="B2516" t="s">
        <v>15</v>
      </c>
      <c r="C2516" s="1">
        <v>43543</v>
      </c>
      <c r="D2516" s="2">
        <f>YEAR(C2516)</f>
        <v>2019</v>
      </c>
      <c r="E2516">
        <v>240000</v>
      </c>
      <c r="F2516" t="s">
        <v>16</v>
      </c>
      <c r="G2516">
        <v>2001</v>
      </c>
      <c r="H2516">
        <v>812</v>
      </c>
      <c r="I2516" t="s">
        <v>797</v>
      </c>
      <c r="J2516" t="s">
        <v>600</v>
      </c>
      <c r="K2516">
        <v>60002</v>
      </c>
      <c r="L2516">
        <v>2164</v>
      </c>
      <c r="M2516">
        <v>8</v>
      </c>
      <c r="N2516">
        <v>2</v>
      </c>
      <c r="O2516">
        <v>1</v>
      </c>
      <c r="P2516" t="s">
        <v>18</v>
      </c>
      <c r="Q2516">
        <v>3</v>
      </c>
      <c r="R2516">
        <v>0</v>
      </c>
      <c r="S2516" t="s">
        <v>21</v>
      </c>
      <c r="T2516">
        <v>2</v>
      </c>
      <c r="U2516">
        <v>0</v>
      </c>
    </row>
    <row r="2517" spans="1:21" x14ac:dyDescent="0.25">
      <c r="A2517" t="str">
        <f>"10750811"</f>
        <v>10750811</v>
      </c>
      <c r="B2517" t="s">
        <v>15</v>
      </c>
      <c r="C2517" s="1">
        <v>44050</v>
      </c>
      <c r="D2517" s="2">
        <f>YEAR(C2517)</f>
        <v>2020</v>
      </c>
      <c r="E2517">
        <v>223000</v>
      </c>
      <c r="F2517" t="s">
        <v>85</v>
      </c>
      <c r="G2517">
        <v>2005</v>
      </c>
      <c r="H2517">
        <v>1043</v>
      </c>
      <c r="I2517" t="s">
        <v>821</v>
      </c>
      <c r="J2517" t="str">
        <f>"2"</f>
        <v>2</v>
      </c>
      <c r="K2517">
        <v>60002</v>
      </c>
      <c r="L2517">
        <v>2173</v>
      </c>
      <c r="M2517">
        <v>9</v>
      </c>
      <c r="N2517">
        <v>3</v>
      </c>
      <c r="O2517">
        <v>1</v>
      </c>
      <c r="P2517" t="s">
        <v>79</v>
      </c>
      <c r="Q2517">
        <v>4</v>
      </c>
      <c r="R2517">
        <v>0</v>
      </c>
      <c r="S2517" t="s">
        <v>21</v>
      </c>
      <c r="T2517">
        <v>2</v>
      </c>
      <c r="U2517">
        <v>0</v>
      </c>
    </row>
    <row r="2518" spans="1:21" x14ac:dyDescent="0.25">
      <c r="A2518" t="str">
        <f>"10722033"</f>
        <v>10722033</v>
      </c>
      <c r="B2518" t="s">
        <v>15</v>
      </c>
      <c r="C2518" s="1">
        <v>44032</v>
      </c>
      <c r="D2518" s="2">
        <f>YEAR(C2518)</f>
        <v>2020</v>
      </c>
      <c r="E2518">
        <v>230000</v>
      </c>
      <c r="F2518" t="s">
        <v>85</v>
      </c>
      <c r="G2518">
        <v>2004</v>
      </c>
      <c r="H2518">
        <v>1184</v>
      </c>
      <c r="I2518" t="s">
        <v>730</v>
      </c>
      <c r="J2518" t="str">
        <f>"2"</f>
        <v>2</v>
      </c>
      <c r="K2518">
        <v>60002</v>
      </c>
      <c r="L2518">
        <v>2175</v>
      </c>
      <c r="M2518">
        <v>8</v>
      </c>
      <c r="N2518">
        <v>2</v>
      </c>
      <c r="O2518">
        <v>1</v>
      </c>
      <c r="P2518" t="s">
        <v>18</v>
      </c>
      <c r="Q2518">
        <v>3</v>
      </c>
      <c r="R2518">
        <v>0</v>
      </c>
      <c r="S2518" t="s">
        <v>21</v>
      </c>
      <c r="T2518">
        <v>2</v>
      </c>
      <c r="U2518">
        <v>0</v>
      </c>
    </row>
    <row r="2519" spans="1:21" x14ac:dyDescent="0.25">
      <c r="A2519" t="str">
        <f>"10145941"</f>
        <v>10145941</v>
      </c>
      <c r="B2519" t="s">
        <v>15</v>
      </c>
      <c r="C2519" s="1">
        <v>43511</v>
      </c>
      <c r="D2519" s="2">
        <f>YEAR(C2519)</f>
        <v>2019</v>
      </c>
      <c r="E2519">
        <v>220000</v>
      </c>
      <c r="F2519" t="s">
        <v>85</v>
      </c>
      <c r="G2519">
        <v>2004</v>
      </c>
      <c r="H2519">
        <v>1226</v>
      </c>
      <c r="I2519" t="s">
        <v>822</v>
      </c>
      <c r="J2519" t="str">
        <f>"2"</f>
        <v>2</v>
      </c>
      <c r="K2519">
        <v>60002</v>
      </c>
      <c r="L2519">
        <v>2176</v>
      </c>
      <c r="M2519">
        <v>8</v>
      </c>
      <c r="N2519">
        <v>3</v>
      </c>
      <c r="O2519">
        <v>1</v>
      </c>
      <c r="P2519" t="s">
        <v>79</v>
      </c>
      <c r="Q2519">
        <v>3</v>
      </c>
      <c r="R2519">
        <v>0</v>
      </c>
      <c r="S2519" t="s">
        <v>21</v>
      </c>
      <c r="T2519">
        <v>2</v>
      </c>
      <c r="U2519">
        <v>0</v>
      </c>
    </row>
    <row r="2520" spans="1:21" x14ac:dyDescent="0.25">
      <c r="A2520" t="str">
        <f>"10559948"</f>
        <v>10559948</v>
      </c>
      <c r="B2520" t="s">
        <v>15</v>
      </c>
      <c r="C2520" s="1">
        <v>44032</v>
      </c>
      <c r="D2520" s="2">
        <f>YEAR(C2520)</f>
        <v>2020</v>
      </c>
      <c r="E2520">
        <v>155000</v>
      </c>
      <c r="F2520" t="s">
        <v>85</v>
      </c>
      <c r="G2520">
        <v>2007</v>
      </c>
      <c r="H2520">
        <v>26790</v>
      </c>
      <c r="I2520" t="s">
        <v>797</v>
      </c>
      <c r="J2520" t="str">
        <f>"2"</f>
        <v>2</v>
      </c>
      <c r="K2520">
        <v>60002</v>
      </c>
      <c r="L2520">
        <v>2177</v>
      </c>
      <c r="M2520">
        <v>7</v>
      </c>
      <c r="N2520">
        <v>2</v>
      </c>
      <c r="O2520">
        <v>0</v>
      </c>
      <c r="P2520" t="s">
        <v>18</v>
      </c>
      <c r="Q2520">
        <v>3</v>
      </c>
      <c r="R2520">
        <v>0</v>
      </c>
      <c r="S2520" t="s">
        <v>21</v>
      </c>
      <c r="T2520">
        <v>3</v>
      </c>
      <c r="U2520">
        <v>0</v>
      </c>
    </row>
    <row r="2521" spans="1:21" x14ac:dyDescent="0.25">
      <c r="A2521" t="str">
        <f>"10753149"</f>
        <v>10753149</v>
      </c>
      <c r="B2521" t="s">
        <v>15</v>
      </c>
      <c r="C2521" s="1">
        <v>44036</v>
      </c>
      <c r="D2521" s="2">
        <f>YEAR(C2521)</f>
        <v>2020</v>
      </c>
      <c r="E2521">
        <v>237000</v>
      </c>
      <c r="F2521" t="s">
        <v>85</v>
      </c>
      <c r="G2521">
        <v>1997</v>
      </c>
      <c r="H2521">
        <v>1381</v>
      </c>
      <c r="I2521" t="s">
        <v>732</v>
      </c>
      <c r="J2521" t="str">
        <f>"2"</f>
        <v>2</v>
      </c>
      <c r="K2521">
        <v>60002</v>
      </c>
      <c r="L2521">
        <v>2186</v>
      </c>
      <c r="M2521">
        <v>9</v>
      </c>
      <c r="N2521">
        <v>3</v>
      </c>
      <c r="O2521">
        <v>0</v>
      </c>
      <c r="P2521" t="s">
        <v>18</v>
      </c>
      <c r="Q2521">
        <v>3</v>
      </c>
      <c r="R2521">
        <v>0</v>
      </c>
      <c r="S2521" t="s">
        <v>21</v>
      </c>
      <c r="T2521">
        <v>3</v>
      </c>
      <c r="U2521">
        <v>0</v>
      </c>
    </row>
    <row r="2522" spans="1:21" x14ac:dyDescent="0.25">
      <c r="A2522" t="str">
        <f>"10774173"</f>
        <v>10774173</v>
      </c>
      <c r="B2522" t="s">
        <v>15</v>
      </c>
      <c r="C2522" s="1">
        <v>44097</v>
      </c>
      <c r="D2522" s="2">
        <f>YEAR(C2522)</f>
        <v>2020</v>
      </c>
      <c r="E2522">
        <v>239900</v>
      </c>
      <c r="F2522" t="s">
        <v>85</v>
      </c>
      <c r="G2522">
        <v>2006</v>
      </c>
      <c r="H2522">
        <v>1305</v>
      </c>
      <c r="I2522" t="s">
        <v>823</v>
      </c>
      <c r="J2522" t="str">
        <f>"2"</f>
        <v>2</v>
      </c>
      <c r="K2522">
        <v>60002</v>
      </c>
      <c r="L2522">
        <v>2192</v>
      </c>
      <c r="M2522">
        <v>11</v>
      </c>
      <c r="N2522">
        <v>2</v>
      </c>
      <c r="O2522">
        <v>1</v>
      </c>
      <c r="P2522" t="s">
        <v>18</v>
      </c>
      <c r="Q2522">
        <v>4</v>
      </c>
      <c r="R2522">
        <v>0</v>
      </c>
      <c r="S2522" t="s">
        <v>21</v>
      </c>
      <c r="T2522">
        <v>2</v>
      </c>
      <c r="U2522">
        <v>0</v>
      </c>
    </row>
    <row r="2523" spans="1:21" x14ac:dyDescent="0.25">
      <c r="A2523" t="str">
        <f>"10518734"</f>
        <v>10518734</v>
      </c>
      <c r="B2523" t="s">
        <v>15</v>
      </c>
      <c r="C2523" s="1">
        <v>43833</v>
      </c>
      <c r="D2523" s="2">
        <f>YEAR(C2523)</f>
        <v>2020</v>
      </c>
      <c r="E2523">
        <v>229990</v>
      </c>
      <c r="F2523" t="s">
        <v>85</v>
      </c>
      <c r="G2523">
        <v>2019</v>
      </c>
      <c r="H2523">
        <v>870</v>
      </c>
      <c r="I2523" t="s">
        <v>824</v>
      </c>
      <c r="J2523" t="str">
        <f>"2"</f>
        <v>2</v>
      </c>
      <c r="K2523">
        <v>60002</v>
      </c>
      <c r="L2523">
        <v>2197</v>
      </c>
      <c r="M2523">
        <v>8</v>
      </c>
      <c r="N2523">
        <v>2</v>
      </c>
      <c r="O2523">
        <v>1</v>
      </c>
      <c r="P2523" t="s">
        <v>18</v>
      </c>
      <c r="Q2523">
        <v>3</v>
      </c>
      <c r="R2523">
        <v>0</v>
      </c>
      <c r="S2523" t="s">
        <v>21</v>
      </c>
      <c r="T2523">
        <v>2</v>
      </c>
      <c r="U2523">
        <v>0</v>
      </c>
    </row>
    <row r="2524" spans="1:21" x14ac:dyDescent="0.25">
      <c r="A2524" t="str">
        <f>"10518731"</f>
        <v>10518731</v>
      </c>
      <c r="B2524" t="s">
        <v>15</v>
      </c>
      <c r="C2524" s="1">
        <v>43914</v>
      </c>
      <c r="D2524" s="2">
        <f>YEAR(C2524)</f>
        <v>2020</v>
      </c>
      <c r="E2524">
        <v>229990</v>
      </c>
      <c r="F2524" t="s">
        <v>85</v>
      </c>
      <c r="G2524">
        <v>2019</v>
      </c>
      <c r="H2524">
        <v>848</v>
      </c>
      <c r="I2524" t="s">
        <v>824</v>
      </c>
      <c r="J2524" t="str">
        <f>"2"</f>
        <v>2</v>
      </c>
      <c r="K2524">
        <v>60002</v>
      </c>
      <c r="L2524">
        <v>2197</v>
      </c>
      <c r="M2524">
        <v>8</v>
      </c>
      <c r="N2524">
        <v>2</v>
      </c>
      <c r="O2524">
        <v>1</v>
      </c>
      <c r="P2524" t="s">
        <v>18</v>
      </c>
      <c r="Q2524">
        <v>3</v>
      </c>
      <c r="R2524">
        <v>0</v>
      </c>
      <c r="S2524" t="s">
        <v>21</v>
      </c>
      <c r="T2524">
        <v>2</v>
      </c>
      <c r="U2524">
        <v>0</v>
      </c>
    </row>
    <row r="2525" spans="1:21" x14ac:dyDescent="0.25">
      <c r="A2525" t="str">
        <f>"10410979"</f>
        <v>10410979</v>
      </c>
      <c r="B2525" t="s">
        <v>15</v>
      </c>
      <c r="C2525" s="1">
        <v>43844</v>
      </c>
      <c r="D2525" s="2">
        <f>YEAR(C2525)</f>
        <v>2020</v>
      </c>
      <c r="E2525">
        <v>229990</v>
      </c>
      <c r="F2525" t="s">
        <v>85</v>
      </c>
      <c r="G2525">
        <v>2019</v>
      </c>
      <c r="H2525">
        <v>828</v>
      </c>
      <c r="I2525" t="s">
        <v>824</v>
      </c>
      <c r="J2525" t="str">
        <f>"2"</f>
        <v>2</v>
      </c>
      <c r="K2525">
        <v>60002</v>
      </c>
      <c r="L2525">
        <v>2197</v>
      </c>
      <c r="M2525">
        <v>8</v>
      </c>
      <c r="N2525">
        <v>2</v>
      </c>
      <c r="O2525">
        <v>1</v>
      </c>
      <c r="P2525" t="s">
        <v>18</v>
      </c>
      <c r="Q2525">
        <v>3</v>
      </c>
      <c r="R2525">
        <v>0</v>
      </c>
      <c r="S2525" t="s">
        <v>21</v>
      </c>
      <c r="T2525">
        <v>2</v>
      </c>
      <c r="U2525">
        <v>0</v>
      </c>
    </row>
    <row r="2526" spans="1:21" x14ac:dyDescent="0.25">
      <c r="A2526" t="str">
        <f>"10333370"</f>
        <v>10333370</v>
      </c>
      <c r="B2526" t="s">
        <v>15</v>
      </c>
      <c r="C2526" s="1">
        <v>43658</v>
      </c>
      <c r="D2526" s="2">
        <f>YEAR(C2526)</f>
        <v>2019</v>
      </c>
      <c r="E2526">
        <v>254500</v>
      </c>
      <c r="F2526" t="s">
        <v>85</v>
      </c>
      <c r="G2526">
        <v>2018</v>
      </c>
      <c r="H2526">
        <v>915</v>
      </c>
      <c r="I2526" t="s">
        <v>825</v>
      </c>
      <c r="J2526" t="str">
        <f>"2"</f>
        <v>2</v>
      </c>
      <c r="K2526">
        <v>60002</v>
      </c>
      <c r="L2526">
        <v>2197</v>
      </c>
      <c r="M2526">
        <v>8</v>
      </c>
      <c r="N2526">
        <v>2</v>
      </c>
      <c r="O2526">
        <v>1</v>
      </c>
      <c r="P2526" t="s">
        <v>18</v>
      </c>
      <c r="Q2526">
        <v>3</v>
      </c>
      <c r="R2526">
        <v>0</v>
      </c>
      <c r="S2526" t="s">
        <v>21</v>
      </c>
      <c r="T2526">
        <v>2</v>
      </c>
      <c r="U2526">
        <v>0</v>
      </c>
    </row>
    <row r="2527" spans="1:21" x14ac:dyDescent="0.25">
      <c r="A2527" t="str">
        <f>"10276787"</f>
        <v>10276787</v>
      </c>
      <c r="B2527" t="s">
        <v>15</v>
      </c>
      <c r="C2527" s="1">
        <v>43577</v>
      </c>
      <c r="D2527" s="2">
        <f>YEAR(C2527)</f>
        <v>2019</v>
      </c>
      <c r="E2527">
        <v>255500</v>
      </c>
      <c r="F2527" t="s">
        <v>85</v>
      </c>
      <c r="G2527">
        <v>2018</v>
      </c>
      <c r="H2527">
        <v>882</v>
      </c>
      <c r="I2527" t="s">
        <v>824</v>
      </c>
      <c r="J2527" t="str">
        <f>"2"</f>
        <v>2</v>
      </c>
      <c r="K2527">
        <v>60002</v>
      </c>
      <c r="L2527">
        <v>2197</v>
      </c>
      <c r="M2527">
        <v>8</v>
      </c>
      <c r="N2527">
        <v>2</v>
      </c>
      <c r="O2527">
        <v>1</v>
      </c>
      <c r="P2527" t="s">
        <v>18</v>
      </c>
      <c r="Q2527">
        <v>3</v>
      </c>
      <c r="R2527">
        <v>0</v>
      </c>
      <c r="S2527" t="s">
        <v>21</v>
      </c>
      <c r="T2527">
        <v>2</v>
      </c>
      <c r="U2527">
        <v>0</v>
      </c>
    </row>
    <row r="2528" spans="1:21" x14ac:dyDescent="0.25">
      <c r="A2528" t="str">
        <f>"10541524"</f>
        <v>10541524</v>
      </c>
      <c r="B2528" t="s">
        <v>15</v>
      </c>
      <c r="C2528" s="1">
        <v>43808</v>
      </c>
      <c r="D2528" s="2">
        <f>YEAR(C2528)</f>
        <v>2019</v>
      </c>
      <c r="E2528">
        <v>226000</v>
      </c>
      <c r="F2528" t="s">
        <v>85</v>
      </c>
      <c r="G2528">
        <v>1998</v>
      </c>
      <c r="H2528">
        <v>760</v>
      </c>
      <c r="I2528" t="s">
        <v>669</v>
      </c>
      <c r="J2528" t="str">
        <f>"2"</f>
        <v>2</v>
      </c>
      <c r="K2528">
        <v>60002</v>
      </c>
      <c r="L2528">
        <v>2200</v>
      </c>
      <c r="M2528">
        <v>8</v>
      </c>
      <c r="N2528">
        <v>2</v>
      </c>
      <c r="O2528">
        <v>1</v>
      </c>
      <c r="P2528" t="s">
        <v>18</v>
      </c>
      <c r="Q2528">
        <v>3</v>
      </c>
      <c r="R2528">
        <v>0</v>
      </c>
      <c r="S2528" t="s">
        <v>21</v>
      </c>
      <c r="T2528">
        <v>2</v>
      </c>
      <c r="U2528">
        <v>0</v>
      </c>
    </row>
    <row r="2529" spans="1:21" x14ac:dyDescent="0.25">
      <c r="A2529" t="s">
        <v>826</v>
      </c>
      <c r="B2529" t="s">
        <v>15</v>
      </c>
      <c r="C2529" s="1">
        <v>43669</v>
      </c>
      <c r="D2529" s="2">
        <f>YEAR(C2529)</f>
        <v>2019</v>
      </c>
      <c r="E2529">
        <v>160000</v>
      </c>
      <c r="F2529" t="s">
        <v>548</v>
      </c>
      <c r="G2529">
        <v>1996</v>
      </c>
      <c r="H2529">
        <v>39813</v>
      </c>
      <c r="I2529" t="s">
        <v>702</v>
      </c>
      <c r="J2529" t="s">
        <v>600</v>
      </c>
      <c r="K2529">
        <v>60002</v>
      </c>
      <c r="L2529">
        <v>2200</v>
      </c>
      <c r="M2529">
        <v>7</v>
      </c>
      <c r="N2529">
        <v>2</v>
      </c>
      <c r="O2529">
        <v>1</v>
      </c>
      <c r="P2529" t="s">
        <v>18</v>
      </c>
      <c r="Q2529">
        <v>2.5</v>
      </c>
      <c r="R2529">
        <v>1</v>
      </c>
      <c r="S2529" t="s">
        <v>21</v>
      </c>
      <c r="T2529">
        <v>2</v>
      </c>
      <c r="U2529">
        <v>0</v>
      </c>
    </row>
    <row r="2530" spans="1:21" x14ac:dyDescent="0.25">
      <c r="A2530" t="str">
        <f>"10363838"</f>
        <v>10363838</v>
      </c>
      <c r="B2530" t="s">
        <v>15</v>
      </c>
      <c r="C2530" s="1">
        <v>43658</v>
      </c>
      <c r="D2530" s="2">
        <f>YEAR(C2530)</f>
        <v>2019</v>
      </c>
      <c r="E2530">
        <v>245000</v>
      </c>
      <c r="F2530" t="s">
        <v>85</v>
      </c>
      <c r="G2530">
        <v>2000</v>
      </c>
      <c r="H2530">
        <v>521</v>
      </c>
      <c r="I2530" t="s">
        <v>827</v>
      </c>
      <c r="J2530" t="str">
        <f>"2"</f>
        <v>2</v>
      </c>
      <c r="K2530">
        <v>60002</v>
      </c>
      <c r="L2530">
        <v>2200</v>
      </c>
      <c r="M2530">
        <v>9</v>
      </c>
      <c r="N2530">
        <v>2</v>
      </c>
      <c r="O2530">
        <v>1</v>
      </c>
      <c r="P2530" t="s">
        <v>18</v>
      </c>
      <c r="Q2530">
        <v>3</v>
      </c>
      <c r="R2530">
        <v>1</v>
      </c>
      <c r="S2530" t="s">
        <v>21</v>
      </c>
      <c r="T2530">
        <v>3.5</v>
      </c>
      <c r="U2530">
        <v>0</v>
      </c>
    </row>
    <row r="2531" spans="1:21" x14ac:dyDescent="0.25">
      <c r="A2531" t="str">
        <f>"10764992"</f>
        <v>10764992</v>
      </c>
      <c r="B2531" t="s">
        <v>15</v>
      </c>
      <c r="C2531" s="1">
        <v>44077</v>
      </c>
      <c r="D2531" s="2">
        <f>YEAR(C2531)</f>
        <v>2020</v>
      </c>
      <c r="E2531">
        <v>225000</v>
      </c>
      <c r="F2531" t="s">
        <v>85</v>
      </c>
      <c r="G2531">
        <v>1972</v>
      </c>
      <c r="H2531">
        <v>912</v>
      </c>
      <c r="I2531" t="s">
        <v>828</v>
      </c>
      <c r="J2531" t="str">
        <f>"2"</f>
        <v>2</v>
      </c>
      <c r="K2531">
        <v>60002</v>
      </c>
      <c r="L2531">
        <v>2200</v>
      </c>
      <c r="M2531">
        <v>8</v>
      </c>
      <c r="N2531">
        <v>2</v>
      </c>
      <c r="O2531">
        <v>2</v>
      </c>
      <c r="P2531" t="s">
        <v>79</v>
      </c>
      <c r="Q2531">
        <v>5</v>
      </c>
      <c r="R2531">
        <v>0</v>
      </c>
      <c r="S2531" t="s">
        <v>21</v>
      </c>
      <c r="T2531">
        <v>1</v>
      </c>
      <c r="U2531">
        <v>0</v>
      </c>
    </row>
    <row r="2532" spans="1:21" x14ac:dyDescent="0.25">
      <c r="A2532" t="str">
        <f>"10689428"</f>
        <v>10689428</v>
      </c>
      <c r="B2532" t="s">
        <v>15</v>
      </c>
      <c r="C2532" s="1">
        <v>43991</v>
      </c>
      <c r="D2532" s="2">
        <f>YEAR(C2532)</f>
        <v>2020</v>
      </c>
      <c r="E2532">
        <v>235000</v>
      </c>
      <c r="F2532" t="s">
        <v>85</v>
      </c>
      <c r="G2532">
        <v>1970</v>
      </c>
      <c r="H2532">
        <v>587</v>
      </c>
      <c r="I2532" t="s">
        <v>207</v>
      </c>
      <c r="J2532" t="str">
        <f>"2"</f>
        <v>2</v>
      </c>
      <c r="K2532">
        <v>60002</v>
      </c>
      <c r="L2532">
        <v>2206</v>
      </c>
      <c r="M2532">
        <v>10</v>
      </c>
      <c r="N2532">
        <v>3</v>
      </c>
      <c r="O2532">
        <v>1</v>
      </c>
      <c r="P2532" t="s">
        <v>79</v>
      </c>
      <c r="Q2532">
        <v>3</v>
      </c>
      <c r="R2532">
        <v>0</v>
      </c>
      <c r="S2532" t="s">
        <v>21</v>
      </c>
      <c r="T2532">
        <v>2</v>
      </c>
      <c r="U2532">
        <v>0</v>
      </c>
    </row>
    <row r="2533" spans="1:21" x14ac:dyDescent="0.25">
      <c r="A2533" t="str">
        <f>"10402384"</f>
        <v>10402384</v>
      </c>
      <c r="B2533" t="s">
        <v>15</v>
      </c>
      <c r="C2533" s="1">
        <v>43672</v>
      </c>
      <c r="D2533" s="2">
        <f>YEAR(C2533)</f>
        <v>2019</v>
      </c>
      <c r="E2533">
        <v>269000</v>
      </c>
      <c r="F2533" t="s">
        <v>85</v>
      </c>
      <c r="G2533">
        <v>2005</v>
      </c>
      <c r="H2533">
        <v>952</v>
      </c>
      <c r="I2533" t="s">
        <v>829</v>
      </c>
      <c r="J2533" t="str">
        <f>"2"</f>
        <v>2</v>
      </c>
      <c r="K2533">
        <v>60002</v>
      </c>
      <c r="L2533">
        <v>2208</v>
      </c>
      <c r="M2533">
        <v>8</v>
      </c>
      <c r="N2533">
        <v>2</v>
      </c>
      <c r="O2533">
        <v>1</v>
      </c>
      <c r="P2533" t="s">
        <v>18</v>
      </c>
      <c r="Q2533">
        <v>3</v>
      </c>
      <c r="R2533">
        <v>0</v>
      </c>
      <c r="S2533" t="s">
        <v>21</v>
      </c>
      <c r="T2533">
        <v>3</v>
      </c>
      <c r="U2533">
        <v>0</v>
      </c>
    </row>
    <row r="2534" spans="1:21" x14ac:dyDescent="0.25">
      <c r="A2534" t="str">
        <f>"10057866"</f>
        <v>10057866</v>
      </c>
      <c r="B2534" t="s">
        <v>15</v>
      </c>
      <c r="C2534" s="1">
        <v>43504</v>
      </c>
      <c r="D2534" s="2">
        <f>YEAR(C2534)</f>
        <v>2019</v>
      </c>
      <c r="E2534">
        <v>170000</v>
      </c>
      <c r="F2534" t="s">
        <v>85</v>
      </c>
      <c r="G2534">
        <v>2006</v>
      </c>
      <c r="H2534">
        <v>1092</v>
      </c>
      <c r="I2534" t="s">
        <v>742</v>
      </c>
      <c r="J2534" t="str">
        <f>"2"</f>
        <v>2</v>
      </c>
      <c r="K2534">
        <v>60002</v>
      </c>
      <c r="L2534">
        <v>2212</v>
      </c>
      <c r="M2534">
        <v>10</v>
      </c>
      <c r="N2534">
        <v>2</v>
      </c>
      <c r="O2534">
        <v>1</v>
      </c>
      <c r="P2534" t="s">
        <v>18</v>
      </c>
      <c r="Q2534">
        <v>4</v>
      </c>
      <c r="R2534">
        <v>0</v>
      </c>
      <c r="S2534" t="s">
        <v>21</v>
      </c>
      <c r="T2534">
        <v>2</v>
      </c>
      <c r="U2534">
        <v>0</v>
      </c>
    </row>
    <row r="2535" spans="1:21" x14ac:dyDescent="0.25">
      <c r="A2535" t="str">
        <f>"10130796"</f>
        <v>10130796</v>
      </c>
      <c r="B2535" t="s">
        <v>15</v>
      </c>
      <c r="C2535" s="1">
        <v>43500</v>
      </c>
      <c r="D2535" s="2">
        <f>YEAR(C2535)</f>
        <v>2019</v>
      </c>
      <c r="E2535">
        <v>265000</v>
      </c>
      <c r="F2535" t="s">
        <v>85</v>
      </c>
      <c r="G2535">
        <v>2004</v>
      </c>
      <c r="H2535">
        <v>657</v>
      </c>
      <c r="I2535" t="s">
        <v>831</v>
      </c>
      <c r="J2535" t="str">
        <f>"2"</f>
        <v>2</v>
      </c>
      <c r="K2535">
        <v>60002</v>
      </c>
      <c r="L2535">
        <v>2214</v>
      </c>
      <c r="M2535">
        <v>11</v>
      </c>
      <c r="N2535">
        <v>2</v>
      </c>
      <c r="O2535">
        <v>2</v>
      </c>
      <c r="P2535" t="s">
        <v>79</v>
      </c>
      <c r="Q2535">
        <v>4</v>
      </c>
      <c r="R2535">
        <v>0</v>
      </c>
      <c r="S2535" t="s">
        <v>21</v>
      </c>
      <c r="T2535">
        <v>2.5</v>
      </c>
      <c r="U2535">
        <v>0</v>
      </c>
    </row>
    <row r="2536" spans="1:21" x14ac:dyDescent="0.25">
      <c r="A2536" t="str">
        <f>"10340650"</f>
        <v>10340650</v>
      </c>
      <c r="B2536" t="s">
        <v>15</v>
      </c>
      <c r="C2536" s="1">
        <v>43626</v>
      </c>
      <c r="D2536" s="2">
        <f>YEAR(C2536)</f>
        <v>2019</v>
      </c>
      <c r="E2536">
        <v>245000</v>
      </c>
      <c r="F2536" t="s">
        <v>85</v>
      </c>
      <c r="G2536">
        <v>1996</v>
      </c>
      <c r="H2536">
        <v>657</v>
      </c>
      <c r="I2536" t="s">
        <v>110</v>
      </c>
      <c r="J2536" t="str">
        <f>"2"</f>
        <v>2</v>
      </c>
      <c r="K2536">
        <v>60002</v>
      </c>
      <c r="L2536">
        <v>2219</v>
      </c>
      <c r="M2536">
        <v>8</v>
      </c>
      <c r="N2536">
        <v>3</v>
      </c>
      <c r="O2536">
        <v>1</v>
      </c>
      <c r="P2536" t="s">
        <v>18</v>
      </c>
      <c r="Q2536">
        <v>3</v>
      </c>
      <c r="R2536">
        <v>0</v>
      </c>
      <c r="S2536" t="s">
        <v>21</v>
      </c>
      <c r="T2536">
        <v>2</v>
      </c>
      <c r="U2536">
        <v>0</v>
      </c>
    </row>
    <row r="2537" spans="1:21" x14ac:dyDescent="0.25">
      <c r="A2537" t="str">
        <f>"09984211"</f>
        <v>09984211</v>
      </c>
      <c r="B2537" t="s">
        <v>15</v>
      </c>
      <c r="C2537" s="1">
        <v>43514</v>
      </c>
      <c r="D2537" s="2">
        <f>YEAR(C2537)</f>
        <v>2019</v>
      </c>
      <c r="E2537">
        <v>147101</v>
      </c>
      <c r="F2537" t="s">
        <v>85</v>
      </c>
      <c r="G2537">
        <v>2004</v>
      </c>
      <c r="H2537">
        <v>1654</v>
      </c>
      <c r="I2537" t="s">
        <v>236</v>
      </c>
      <c r="J2537" t="str">
        <f>"2"</f>
        <v>2</v>
      </c>
      <c r="K2537">
        <v>60002</v>
      </c>
      <c r="L2537">
        <v>2222</v>
      </c>
      <c r="M2537">
        <v>8</v>
      </c>
      <c r="N2537">
        <v>2</v>
      </c>
      <c r="O2537">
        <v>1</v>
      </c>
      <c r="P2537" t="s">
        <v>18</v>
      </c>
      <c r="Q2537">
        <v>3</v>
      </c>
      <c r="R2537">
        <v>0</v>
      </c>
      <c r="S2537" t="s">
        <v>21</v>
      </c>
      <c r="T2537">
        <v>2.5</v>
      </c>
      <c r="U2537">
        <v>0</v>
      </c>
    </row>
    <row r="2538" spans="1:21" x14ac:dyDescent="0.25">
      <c r="A2538" t="str">
        <f>"10666146"</f>
        <v>10666146</v>
      </c>
      <c r="B2538" t="s">
        <v>15</v>
      </c>
      <c r="C2538" s="1">
        <v>44007</v>
      </c>
      <c r="D2538" s="2">
        <f>YEAR(C2538)</f>
        <v>2020</v>
      </c>
      <c r="E2538">
        <v>235000</v>
      </c>
      <c r="F2538" t="s">
        <v>85</v>
      </c>
      <c r="G2538">
        <v>2004</v>
      </c>
      <c r="H2538">
        <v>1654</v>
      </c>
      <c r="I2538" t="s">
        <v>236</v>
      </c>
      <c r="J2538" t="str">
        <f>"2"</f>
        <v>2</v>
      </c>
      <c r="K2538">
        <v>60002</v>
      </c>
      <c r="L2538">
        <v>2222</v>
      </c>
      <c r="M2538">
        <v>12</v>
      </c>
      <c r="N2538">
        <v>2</v>
      </c>
      <c r="O2538">
        <v>1</v>
      </c>
      <c r="P2538" t="s">
        <v>18</v>
      </c>
      <c r="Q2538">
        <v>3</v>
      </c>
      <c r="R2538">
        <v>1</v>
      </c>
      <c r="S2538" t="s">
        <v>21</v>
      </c>
      <c r="T2538">
        <v>2.5</v>
      </c>
      <c r="U2538">
        <v>0</v>
      </c>
    </row>
    <row r="2539" spans="1:21" x14ac:dyDescent="0.25">
      <c r="A2539" t="str">
        <f>"10401775"</f>
        <v>10401775</v>
      </c>
      <c r="B2539" t="s">
        <v>15</v>
      </c>
      <c r="C2539" s="1">
        <v>43665</v>
      </c>
      <c r="D2539" s="2">
        <f>YEAR(C2539)</f>
        <v>2019</v>
      </c>
      <c r="E2539">
        <v>263900</v>
      </c>
      <c r="F2539" t="s">
        <v>85</v>
      </c>
      <c r="G2539">
        <v>2005</v>
      </c>
      <c r="H2539">
        <v>1062</v>
      </c>
      <c r="I2539" t="s">
        <v>785</v>
      </c>
      <c r="J2539" t="str">
        <f>"2"</f>
        <v>2</v>
      </c>
      <c r="K2539">
        <v>60002</v>
      </c>
      <c r="L2539">
        <v>2226</v>
      </c>
      <c r="M2539">
        <v>12</v>
      </c>
      <c r="N2539">
        <v>2</v>
      </c>
      <c r="O2539">
        <v>1</v>
      </c>
      <c r="P2539" t="s">
        <v>18</v>
      </c>
      <c r="Q2539">
        <v>4</v>
      </c>
      <c r="R2539">
        <v>0</v>
      </c>
      <c r="S2539" t="s">
        <v>21</v>
      </c>
      <c r="T2539">
        <v>2</v>
      </c>
      <c r="U2539">
        <v>0</v>
      </c>
    </row>
    <row r="2540" spans="1:21" x14ac:dyDescent="0.25">
      <c r="A2540" t="str">
        <f>"10315316"</f>
        <v>10315316</v>
      </c>
      <c r="B2540" t="s">
        <v>15</v>
      </c>
      <c r="C2540" s="1">
        <v>43658</v>
      </c>
      <c r="D2540" s="2">
        <f>YEAR(C2540)</f>
        <v>2019</v>
      </c>
      <c r="E2540">
        <v>285000</v>
      </c>
      <c r="F2540" t="s">
        <v>85</v>
      </c>
      <c r="G2540">
        <v>2005</v>
      </c>
      <c r="H2540">
        <v>1317</v>
      </c>
      <c r="I2540" t="s">
        <v>832</v>
      </c>
      <c r="J2540" t="str">
        <f>"2"</f>
        <v>2</v>
      </c>
      <c r="K2540">
        <v>60002</v>
      </c>
      <c r="L2540">
        <v>2229</v>
      </c>
      <c r="M2540">
        <v>10</v>
      </c>
      <c r="N2540">
        <v>3</v>
      </c>
      <c r="O2540">
        <v>1</v>
      </c>
      <c r="P2540" t="s">
        <v>79</v>
      </c>
      <c r="Q2540">
        <v>4</v>
      </c>
      <c r="R2540">
        <v>0</v>
      </c>
      <c r="S2540" t="s">
        <v>21</v>
      </c>
      <c r="T2540">
        <v>3</v>
      </c>
      <c r="U2540">
        <v>0</v>
      </c>
    </row>
    <row r="2541" spans="1:21" x14ac:dyDescent="0.25">
      <c r="A2541" t="str">
        <f>"10411013"</f>
        <v>10411013</v>
      </c>
      <c r="B2541" t="s">
        <v>15</v>
      </c>
      <c r="C2541" s="1">
        <v>43735</v>
      </c>
      <c r="D2541" s="2">
        <f>YEAR(C2541)</f>
        <v>2019</v>
      </c>
      <c r="E2541">
        <v>250000</v>
      </c>
      <c r="F2541" t="s">
        <v>85</v>
      </c>
      <c r="G2541">
        <v>2019</v>
      </c>
      <c r="H2541">
        <v>834</v>
      </c>
      <c r="I2541" t="s">
        <v>824</v>
      </c>
      <c r="J2541" t="str">
        <f>"2"</f>
        <v>2</v>
      </c>
      <c r="K2541">
        <v>60002</v>
      </c>
      <c r="L2541">
        <v>2231</v>
      </c>
      <c r="M2541">
        <v>8</v>
      </c>
      <c r="N2541">
        <v>2</v>
      </c>
      <c r="O2541">
        <v>1</v>
      </c>
      <c r="P2541" t="s">
        <v>18</v>
      </c>
      <c r="Q2541">
        <v>3</v>
      </c>
      <c r="R2541">
        <v>0</v>
      </c>
      <c r="S2541" t="s">
        <v>21</v>
      </c>
      <c r="T2541">
        <v>2</v>
      </c>
      <c r="U2541">
        <v>0</v>
      </c>
    </row>
    <row r="2542" spans="1:21" x14ac:dyDescent="0.25">
      <c r="A2542" t="str">
        <f>"10333017"</f>
        <v>10333017</v>
      </c>
      <c r="B2542" t="s">
        <v>15</v>
      </c>
      <c r="C2542" s="1">
        <v>43665</v>
      </c>
      <c r="D2542" s="2">
        <f>YEAR(C2542)</f>
        <v>2019</v>
      </c>
      <c r="E2542">
        <v>312500</v>
      </c>
      <c r="F2542" t="s">
        <v>85</v>
      </c>
      <c r="G2542">
        <v>1981</v>
      </c>
      <c r="H2542">
        <v>24013</v>
      </c>
      <c r="I2542" t="s">
        <v>818</v>
      </c>
      <c r="J2542" t="str">
        <f>"2"</f>
        <v>2</v>
      </c>
      <c r="K2542">
        <v>60002</v>
      </c>
      <c r="L2542">
        <v>2231</v>
      </c>
      <c r="M2542">
        <v>8</v>
      </c>
      <c r="N2542">
        <v>2</v>
      </c>
      <c r="O2542">
        <v>0</v>
      </c>
      <c r="P2542" t="s">
        <v>18</v>
      </c>
      <c r="Q2542">
        <v>4</v>
      </c>
      <c r="R2542">
        <v>0</v>
      </c>
      <c r="S2542" t="s">
        <v>21</v>
      </c>
      <c r="T2542">
        <v>2</v>
      </c>
      <c r="U2542">
        <v>0</v>
      </c>
    </row>
    <row r="2543" spans="1:21" x14ac:dyDescent="0.25">
      <c r="A2543" t="str">
        <f>"10589805"</f>
        <v>10589805</v>
      </c>
      <c r="B2543" t="s">
        <v>15</v>
      </c>
      <c r="C2543" s="1">
        <v>43938</v>
      </c>
      <c r="D2543" s="2">
        <f>YEAR(C2543)</f>
        <v>2020</v>
      </c>
      <c r="E2543">
        <v>225000</v>
      </c>
      <c r="F2543" t="s">
        <v>85</v>
      </c>
      <c r="G2543">
        <v>2005</v>
      </c>
      <c r="H2543">
        <v>948</v>
      </c>
      <c r="I2543" t="s">
        <v>777</v>
      </c>
      <c r="J2543" t="str">
        <f>"2"</f>
        <v>2</v>
      </c>
      <c r="K2543">
        <v>60002</v>
      </c>
      <c r="L2543">
        <v>2232</v>
      </c>
      <c r="M2543">
        <v>8</v>
      </c>
      <c r="N2543">
        <v>2</v>
      </c>
      <c r="O2543">
        <v>1</v>
      </c>
      <c r="P2543" t="s">
        <v>18</v>
      </c>
      <c r="Q2543">
        <v>3</v>
      </c>
      <c r="R2543">
        <v>0</v>
      </c>
      <c r="S2543" t="s">
        <v>21</v>
      </c>
      <c r="T2543">
        <v>2</v>
      </c>
      <c r="U2543">
        <v>0</v>
      </c>
    </row>
    <row r="2544" spans="1:21" x14ac:dyDescent="0.25">
      <c r="A2544" t="str">
        <f>"10081175"</f>
        <v>10081175</v>
      </c>
      <c r="B2544" t="s">
        <v>15</v>
      </c>
      <c r="C2544" s="1">
        <v>43556</v>
      </c>
      <c r="D2544" s="2">
        <f>YEAR(C2544)</f>
        <v>2019</v>
      </c>
      <c r="E2544">
        <v>347000</v>
      </c>
      <c r="F2544" t="s">
        <v>85</v>
      </c>
      <c r="G2544">
        <v>1975</v>
      </c>
      <c r="H2544">
        <v>39718</v>
      </c>
      <c r="I2544" t="s">
        <v>833</v>
      </c>
      <c r="J2544" t="str">
        <f>"2"</f>
        <v>2</v>
      </c>
      <c r="K2544">
        <v>60002</v>
      </c>
      <c r="L2544">
        <v>2240</v>
      </c>
      <c r="M2544">
        <v>9</v>
      </c>
      <c r="N2544">
        <v>3</v>
      </c>
      <c r="O2544">
        <v>0</v>
      </c>
      <c r="P2544" t="s">
        <v>18</v>
      </c>
      <c r="Q2544">
        <v>3</v>
      </c>
      <c r="R2544">
        <v>0</v>
      </c>
      <c r="S2544" t="s">
        <v>21</v>
      </c>
      <c r="T2544">
        <v>2</v>
      </c>
      <c r="U2544">
        <v>0</v>
      </c>
    </row>
    <row r="2545" spans="1:21" x14ac:dyDescent="0.25">
      <c r="A2545" t="str">
        <f>"10671994"</f>
        <v>10671994</v>
      </c>
      <c r="B2545" t="s">
        <v>15</v>
      </c>
      <c r="C2545" s="1">
        <v>44011</v>
      </c>
      <c r="D2545" s="2">
        <f>YEAR(C2545)</f>
        <v>2020</v>
      </c>
      <c r="E2545">
        <v>262000</v>
      </c>
      <c r="F2545" t="s">
        <v>85</v>
      </c>
      <c r="G2545">
        <v>2004</v>
      </c>
      <c r="H2545">
        <v>1229</v>
      </c>
      <c r="I2545" t="s">
        <v>822</v>
      </c>
      <c r="J2545" t="str">
        <f>"2"</f>
        <v>2</v>
      </c>
      <c r="K2545">
        <v>60002</v>
      </c>
      <c r="L2545">
        <v>2244</v>
      </c>
      <c r="M2545">
        <v>10</v>
      </c>
      <c r="N2545">
        <v>2</v>
      </c>
      <c r="O2545">
        <v>1</v>
      </c>
      <c r="P2545" t="s">
        <v>18</v>
      </c>
      <c r="Q2545">
        <v>4</v>
      </c>
      <c r="R2545">
        <v>0</v>
      </c>
      <c r="S2545" t="s">
        <v>21</v>
      </c>
      <c r="T2545">
        <v>2</v>
      </c>
      <c r="U2545">
        <v>0</v>
      </c>
    </row>
    <row r="2546" spans="1:21" x14ac:dyDescent="0.25">
      <c r="A2546" t="str">
        <f>"10572862"</f>
        <v>10572862</v>
      </c>
      <c r="B2546" t="s">
        <v>15</v>
      </c>
      <c r="C2546" s="1">
        <v>43896</v>
      </c>
      <c r="D2546" s="2">
        <f>YEAR(C2546)</f>
        <v>2020</v>
      </c>
      <c r="E2546">
        <v>245000</v>
      </c>
      <c r="F2546" t="s">
        <v>85</v>
      </c>
      <c r="G2546">
        <v>1994</v>
      </c>
      <c r="H2546">
        <v>599</v>
      </c>
      <c r="I2546" t="s">
        <v>834</v>
      </c>
      <c r="J2546" t="str">
        <f>"2"</f>
        <v>2</v>
      </c>
      <c r="K2546">
        <v>60002</v>
      </c>
      <c r="L2546">
        <v>2244</v>
      </c>
      <c r="M2546">
        <v>9</v>
      </c>
      <c r="N2546">
        <v>3</v>
      </c>
      <c r="O2546">
        <v>0</v>
      </c>
      <c r="P2546" t="s">
        <v>79</v>
      </c>
      <c r="Q2546">
        <v>4</v>
      </c>
      <c r="R2546">
        <v>0</v>
      </c>
      <c r="S2546" t="s">
        <v>21</v>
      </c>
      <c r="T2546">
        <v>2</v>
      </c>
      <c r="U2546">
        <v>0</v>
      </c>
    </row>
    <row r="2547" spans="1:21" x14ac:dyDescent="0.25">
      <c r="A2547" t="str">
        <f>"10810370"</f>
        <v>10810370</v>
      </c>
      <c r="B2547" t="s">
        <v>15</v>
      </c>
      <c r="C2547" s="1">
        <v>44109</v>
      </c>
      <c r="D2547" s="2">
        <f>YEAR(C2547)</f>
        <v>2020</v>
      </c>
      <c r="E2547">
        <v>310000</v>
      </c>
      <c r="F2547" t="s">
        <v>85</v>
      </c>
      <c r="G2547">
        <v>1972</v>
      </c>
      <c r="H2547">
        <v>40360</v>
      </c>
      <c r="I2547" t="s">
        <v>835</v>
      </c>
      <c r="J2547" t="str">
        <f>"2"</f>
        <v>2</v>
      </c>
      <c r="K2547">
        <v>60002</v>
      </c>
      <c r="L2547">
        <v>2252</v>
      </c>
      <c r="M2547">
        <v>9</v>
      </c>
      <c r="N2547">
        <v>2</v>
      </c>
      <c r="O2547">
        <v>0</v>
      </c>
      <c r="P2547" t="s">
        <v>18</v>
      </c>
      <c r="Q2547">
        <v>3</v>
      </c>
      <c r="R2547">
        <v>0</v>
      </c>
      <c r="S2547" t="s">
        <v>21</v>
      </c>
      <c r="T2547">
        <v>2</v>
      </c>
      <c r="U2547">
        <v>0</v>
      </c>
    </row>
    <row r="2548" spans="1:21" x14ac:dyDescent="0.25">
      <c r="A2548" t="str">
        <f>"10912597"</f>
        <v>10912597</v>
      </c>
      <c r="B2548" t="s">
        <v>15</v>
      </c>
      <c r="C2548" s="1">
        <v>44173</v>
      </c>
      <c r="D2548" s="2">
        <f>YEAR(C2548)</f>
        <v>2020</v>
      </c>
      <c r="E2548">
        <v>272000</v>
      </c>
      <c r="F2548" t="s">
        <v>85</v>
      </c>
      <c r="G2548">
        <v>2000</v>
      </c>
      <c r="H2548">
        <v>553</v>
      </c>
      <c r="I2548" t="s">
        <v>115</v>
      </c>
      <c r="J2548" t="str">
        <f>"2"</f>
        <v>2</v>
      </c>
      <c r="K2548">
        <v>60002</v>
      </c>
      <c r="L2548">
        <v>2262</v>
      </c>
      <c r="M2548">
        <v>10</v>
      </c>
      <c r="N2548">
        <v>3</v>
      </c>
      <c r="O2548">
        <v>1</v>
      </c>
      <c r="P2548" t="s">
        <v>79</v>
      </c>
      <c r="Q2548">
        <v>4</v>
      </c>
      <c r="R2548">
        <v>0</v>
      </c>
      <c r="S2548" t="s">
        <v>21</v>
      </c>
      <c r="T2548">
        <v>3</v>
      </c>
      <c r="U2548">
        <v>0</v>
      </c>
    </row>
    <row r="2549" spans="1:21" x14ac:dyDescent="0.25">
      <c r="A2549" t="str">
        <f>"10670844"</f>
        <v>10670844</v>
      </c>
      <c r="B2549" t="s">
        <v>15</v>
      </c>
      <c r="C2549" s="1">
        <v>43990</v>
      </c>
      <c r="D2549" s="2">
        <f>YEAR(C2549)</f>
        <v>2020</v>
      </c>
      <c r="E2549">
        <v>184000</v>
      </c>
      <c r="F2549" t="s">
        <v>85</v>
      </c>
      <c r="G2549">
        <v>1966</v>
      </c>
      <c r="H2549">
        <v>507</v>
      </c>
      <c r="I2549" t="s">
        <v>724</v>
      </c>
      <c r="J2549" t="str">
        <f>"2"</f>
        <v>2</v>
      </c>
      <c r="K2549">
        <v>60002</v>
      </c>
      <c r="L2549">
        <v>2263</v>
      </c>
      <c r="M2549">
        <v>8</v>
      </c>
      <c r="N2549">
        <v>2</v>
      </c>
      <c r="O2549">
        <v>0</v>
      </c>
      <c r="P2549" t="s">
        <v>18</v>
      </c>
      <c r="Q2549">
        <v>3</v>
      </c>
      <c r="R2549">
        <v>0</v>
      </c>
      <c r="S2549" t="s">
        <v>21</v>
      </c>
      <c r="T2549">
        <v>2</v>
      </c>
      <c r="U2549">
        <v>0</v>
      </c>
    </row>
    <row r="2550" spans="1:21" x14ac:dyDescent="0.25">
      <c r="A2550" t="str">
        <f>"10817822"</f>
        <v>10817822</v>
      </c>
      <c r="B2550" t="s">
        <v>15</v>
      </c>
      <c r="C2550" s="1">
        <v>44117</v>
      </c>
      <c r="D2550" s="2">
        <f>YEAR(C2550)</f>
        <v>2020</v>
      </c>
      <c r="E2550">
        <v>295000</v>
      </c>
      <c r="F2550" t="s">
        <v>85</v>
      </c>
      <c r="G2550">
        <v>1994</v>
      </c>
      <c r="H2550">
        <v>25006</v>
      </c>
      <c r="I2550" t="s">
        <v>836</v>
      </c>
      <c r="J2550" t="str">
        <f>"2"</f>
        <v>2</v>
      </c>
      <c r="K2550">
        <v>60002</v>
      </c>
      <c r="L2550">
        <v>2268</v>
      </c>
      <c r="M2550">
        <v>10</v>
      </c>
      <c r="N2550">
        <v>2</v>
      </c>
      <c r="O2550">
        <v>1</v>
      </c>
      <c r="P2550" t="s">
        <v>18</v>
      </c>
      <c r="Q2550">
        <v>4</v>
      </c>
      <c r="R2550">
        <v>0</v>
      </c>
      <c r="S2550" t="s">
        <v>21</v>
      </c>
      <c r="T2550">
        <v>2</v>
      </c>
      <c r="U2550">
        <v>0</v>
      </c>
    </row>
    <row r="2551" spans="1:21" x14ac:dyDescent="0.25">
      <c r="A2551" t="str">
        <f>"10368741"</f>
        <v>10368741</v>
      </c>
      <c r="B2551" t="s">
        <v>15</v>
      </c>
      <c r="C2551" s="1">
        <v>43637</v>
      </c>
      <c r="D2551" s="2">
        <f>YEAR(C2551)</f>
        <v>2019</v>
      </c>
      <c r="E2551">
        <v>264000</v>
      </c>
      <c r="F2551" t="s">
        <v>85</v>
      </c>
      <c r="G2551">
        <v>2005</v>
      </c>
      <c r="H2551">
        <v>1273</v>
      </c>
      <c r="I2551" t="s">
        <v>837</v>
      </c>
      <c r="J2551" t="str">
        <f>"2"</f>
        <v>2</v>
      </c>
      <c r="K2551">
        <v>60002</v>
      </c>
      <c r="L2551">
        <v>2268</v>
      </c>
      <c r="M2551">
        <v>8</v>
      </c>
      <c r="N2551">
        <v>2</v>
      </c>
      <c r="O2551">
        <v>1</v>
      </c>
      <c r="P2551" t="s">
        <v>18</v>
      </c>
      <c r="Q2551">
        <v>4</v>
      </c>
      <c r="R2551">
        <v>0</v>
      </c>
      <c r="S2551" t="s">
        <v>21</v>
      </c>
      <c r="T2551">
        <v>3</v>
      </c>
      <c r="U2551">
        <v>0</v>
      </c>
    </row>
    <row r="2552" spans="1:21" x14ac:dyDescent="0.25">
      <c r="A2552" t="str">
        <f>"10530394"</f>
        <v>10530394</v>
      </c>
      <c r="B2552" t="s">
        <v>15</v>
      </c>
      <c r="C2552" s="1">
        <v>43794</v>
      </c>
      <c r="D2552" s="2">
        <f>YEAR(C2552)</f>
        <v>2019</v>
      </c>
      <c r="E2552">
        <v>227000</v>
      </c>
      <c r="F2552" t="s">
        <v>85</v>
      </c>
      <c r="G2552">
        <v>2005</v>
      </c>
      <c r="H2552">
        <v>1076</v>
      </c>
      <c r="I2552" t="s">
        <v>785</v>
      </c>
      <c r="J2552" t="str">
        <f>"2"</f>
        <v>2</v>
      </c>
      <c r="K2552">
        <v>60002</v>
      </c>
      <c r="L2552">
        <v>2270</v>
      </c>
      <c r="M2552">
        <v>9</v>
      </c>
      <c r="N2552">
        <v>2</v>
      </c>
      <c r="O2552">
        <v>1</v>
      </c>
      <c r="P2552" t="s">
        <v>18</v>
      </c>
      <c r="Q2552">
        <v>4</v>
      </c>
      <c r="R2552">
        <v>0</v>
      </c>
      <c r="S2552" t="s">
        <v>21</v>
      </c>
      <c r="T2552">
        <v>3</v>
      </c>
      <c r="U2552">
        <v>0</v>
      </c>
    </row>
    <row r="2553" spans="1:21" x14ac:dyDescent="0.25">
      <c r="A2553" t="str">
        <f>"10764932"</f>
        <v>10764932</v>
      </c>
      <c r="B2553" t="s">
        <v>15</v>
      </c>
      <c r="C2553" s="1">
        <v>44099</v>
      </c>
      <c r="D2553" s="2">
        <f>YEAR(C2553)</f>
        <v>2020</v>
      </c>
      <c r="E2553">
        <v>202000</v>
      </c>
      <c r="F2553" t="s">
        <v>85</v>
      </c>
      <c r="G2553">
        <v>2005</v>
      </c>
      <c r="H2553">
        <v>1734</v>
      </c>
      <c r="I2553" t="s">
        <v>838</v>
      </c>
      <c r="J2553" t="str">
        <f>"2"</f>
        <v>2</v>
      </c>
      <c r="K2553">
        <v>60002</v>
      </c>
      <c r="L2553">
        <v>2271</v>
      </c>
      <c r="M2553">
        <v>9</v>
      </c>
      <c r="N2553">
        <v>2</v>
      </c>
      <c r="O2553">
        <v>1</v>
      </c>
      <c r="P2553" t="s">
        <v>18</v>
      </c>
      <c r="Q2553">
        <v>3</v>
      </c>
      <c r="R2553">
        <v>0</v>
      </c>
      <c r="S2553" t="s">
        <v>21</v>
      </c>
      <c r="T2553">
        <v>2</v>
      </c>
      <c r="U2553">
        <v>0</v>
      </c>
    </row>
    <row r="2554" spans="1:21" x14ac:dyDescent="0.25">
      <c r="A2554" t="str">
        <f>"10312390"</f>
        <v>10312390</v>
      </c>
      <c r="B2554" t="s">
        <v>15</v>
      </c>
      <c r="C2554" s="1">
        <v>43693</v>
      </c>
      <c r="D2554" s="2">
        <f>YEAR(C2554)</f>
        <v>2019</v>
      </c>
      <c r="E2554">
        <v>234900</v>
      </c>
      <c r="F2554" t="s">
        <v>85</v>
      </c>
      <c r="G2554">
        <v>1999</v>
      </c>
      <c r="H2554">
        <v>20</v>
      </c>
      <c r="I2554" t="s">
        <v>694</v>
      </c>
      <c r="J2554" t="str">
        <f>"2"</f>
        <v>2</v>
      </c>
      <c r="K2554">
        <v>60002</v>
      </c>
      <c r="L2554">
        <v>2271</v>
      </c>
      <c r="M2554">
        <v>8</v>
      </c>
      <c r="N2554">
        <v>2</v>
      </c>
      <c r="O2554">
        <v>1</v>
      </c>
      <c r="P2554" t="s">
        <v>18</v>
      </c>
      <c r="Q2554">
        <v>4</v>
      </c>
      <c r="R2554">
        <v>0</v>
      </c>
      <c r="S2554" t="s">
        <v>21</v>
      </c>
      <c r="T2554">
        <v>2</v>
      </c>
      <c r="U2554">
        <v>0</v>
      </c>
    </row>
    <row r="2555" spans="1:21" x14ac:dyDescent="0.25">
      <c r="A2555" t="str">
        <f>"10726332"</f>
        <v>10726332</v>
      </c>
      <c r="B2555" t="s">
        <v>15</v>
      </c>
      <c r="C2555" s="1">
        <v>44095</v>
      </c>
      <c r="D2555" s="2">
        <f>YEAR(C2555)</f>
        <v>2020</v>
      </c>
      <c r="E2555">
        <v>228000</v>
      </c>
      <c r="F2555" t="s">
        <v>85</v>
      </c>
      <c r="G2555">
        <v>2005</v>
      </c>
      <c r="H2555">
        <v>1076</v>
      </c>
      <c r="I2555" t="s">
        <v>780</v>
      </c>
      <c r="J2555" t="str">
        <f>"2"</f>
        <v>2</v>
      </c>
      <c r="K2555">
        <v>60002</v>
      </c>
      <c r="L2555">
        <v>2274</v>
      </c>
      <c r="M2555">
        <v>9</v>
      </c>
      <c r="N2555">
        <v>2</v>
      </c>
      <c r="O2555">
        <v>1</v>
      </c>
      <c r="P2555" t="s">
        <v>18</v>
      </c>
      <c r="Q2555">
        <v>4</v>
      </c>
      <c r="R2555">
        <v>0</v>
      </c>
      <c r="S2555" t="s">
        <v>21</v>
      </c>
      <c r="T2555">
        <v>2</v>
      </c>
      <c r="U2555">
        <v>0</v>
      </c>
    </row>
    <row r="2556" spans="1:21" x14ac:dyDescent="0.25">
      <c r="A2556" t="str">
        <f>"10335506"</f>
        <v>10335506</v>
      </c>
      <c r="B2556" t="s">
        <v>15</v>
      </c>
      <c r="C2556" s="1">
        <v>44036</v>
      </c>
      <c r="D2556" s="2">
        <f>YEAR(C2556)</f>
        <v>2020</v>
      </c>
      <c r="E2556">
        <v>420000</v>
      </c>
      <c r="F2556" t="s">
        <v>85</v>
      </c>
      <c r="G2556">
        <v>1954</v>
      </c>
      <c r="H2556">
        <v>42675</v>
      </c>
      <c r="I2556" t="s">
        <v>299</v>
      </c>
      <c r="J2556" t="str">
        <f>"2"</f>
        <v>2</v>
      </c>
      <c r="K2556">
        <v>60002</v>
      </c>
      <c r="L2556">
        <v>2275</v>
      </c>
      <c r="M2556">
        <v>6</v>
      </c>
      <c r="N2556">
        <v>2</v>
      </c>
      <c r="O2556">
        <v>0</v>
      </c>
      <c r="P2556" t="s">
        <v>18</v>
      </c>
      <c r="Q2556">
        <v>3</v>
      </c>
      <c r="R2556">
        <v>0</v>
      </c>
      <c r="S2556" t="s">
        <v>22</v>
      </c>
      <c r="T2556">
        <v>2.5</v>
      </c>
      <c r="U2556">
        <v>0</v>
      </c>
    </row>
    <row r="2557" spans="1:21" x14ac:dyDescent="0.25">
      <c r="A2557" t="str">
        <f>"10330393"</f>
        <v>10330393</v>
      </c>
      <c r="B2557" t="s">
        <v>15</v>
      </c>
      <c r="C2557" s="1">
        <v>43675</v>
      </c>
      <c r="D2557" s="2">
        <f>YEAR(C2557)</f>
        <v>2019</v>
      </c>
      <c r="E2557">
        <v>293700</v>
      </c>
      <c r="F2557" t="s">
        <v>85</v>
      </c>
      <c r="G2557">
        <v>2002</v>
      </c>
      <c r="H2557">
        <v>867</v>
      </c>
      <c r="I2557" t="s">
        <v>829</v>
      </c>
      <c r="J2557" t="str">
        <f>"2"</f>
        <v>2</v>
      </c>
      <c r="K2557">
        <v>60002</v>
      </c>
      <c r="L2557">
        <v>2280</v>
      </c>
      <c r="M2557">
        <v>9</v>
      </c>
      <c r="N2557">
        <v>2</v>
      </c>
      <c r="O2557">
        <v>1</v>
      </c>
      <c r="P2557" t="s">
        <v>18</v>
      </c>
      <c r="Q2557">
        <v>4</v>
      </c>
      <c r="R2557">
        <v>0</v>
      </c>
      <c r="S2557" t="s">
        <v>21</v>
      </c>
      <c r="T2557">
        <v>2.5</v>
      </c>
      <c r="U2557">
        <v>0</v>
      </c>
    </row>
    <row r="2558" spans="1:21" x14ac:dyDescent="0.25">
      <c r="A2558" t="str">
        <f>"10652612"</f>
        <v>10652612</v>
      </c>
      <c r="B2558" t="s">
        <v>15</v>
      </c>
      <c r="C2558" s="1">
        <v>43983</v>
      </c>
      <c r="D2558" s="2">
        <f>YEAR(C2558)</f>
        <v>2020</v>
      </c>
      <c r="E2558">
        <v>238000</v>
      </c>
      <c r="F2558" t="s">
        <v>85</v>
      </c>
      <c r="G2558">
        <v>1998</v>
      </c>
      <c r="H2558">
        <v>805</v>
      </c>
      <c r="I2558" t="s">
        <v>758</v>
      </c>
      <c r="J2558" t="str">
        <f>"2"</f>
        <v>2</v>
      </c>
      <c r="K2558">
        <v>60002</v>
      </c>
      <c r="L2558">
        <v>2288</v>
      </c>
      <c r="M2558">
        <v>9</v>
      </c>
      <c r="N2558">
        <v>2</v>
      </c>
      <c r="O2558">
        <v>1</v>
      </c>
      <c r="P2558" t="s">
        <v>18</v>
      </c>
      <c r="Q2558">
        <v>4</v>
      </c>
      <c r="R2558">
        <v>0</v>
      </c>
      <c r="S2558" t="s">
        <v>21</v>
      </c>
      <c r="T2558">
        <v>2</v>
      </c>
      <c r="U2558">
        <v>0</v>
      </c>
    </row>
    <row r="2559" spans="1:21" x14ac:dyDescent="0.25">
      <c r="A2559" t="str">
        <f>"10272369"</f>
        <v>10272369</v>
      </c>
      <c r="B2559" t="s">
        <v>15</v>
      </c>
      <c r="C2559" s="1">
        <v>43595</v>
      </c>
      <c r="D2559" s="2">
        <f>YEAR(C2559)</f>
        <v>2019</v>
      </c>
      <c r="E2559">
        <v>240000</v>
      </c>
      <c r="F2559" t="s">
        <v>85</v>
      </c>
      <c r="G2559">
        <v>1998</v>
      </c>
      <c r="H2559">
        <v>805</v>
      </c>
      <c r="I2559" t="s">
        <v>758</v>
      </c>
      <c r="J2559" t="str">
        <f>"2"</f>
        <v>2</v>
      </c>
      <c r="K2559">
        <v>60002</v>
      </c>
      <c r="L2559">
        <v>2288</v>
      </c>
      <c r="M2559">
        <v>9</v>
      </c>
      <c r="N2559">
        <v>2</v>
      </c>
      <c r="O2559">
        <v>1</v>
      </c>
      <c r="P2559" t="s">
        <v>18</v>
      </c>
      <c r="Q2559">
        <v>4</v>
      </c>
      <c r="R2559">
        <v>0</v>
      </c>
      <c r="S2559" t="s">
        <v>21</v>
      </c>
      <c r="T2559">
        <v>2</v>
      </c>
      <c r="U2559">
        <v>0</v>
      </c>
    </row>
    <row r="2560" spans="1:21" x14ac:dyDescent="0.25">
      <c r="A2560" t="str">
        <f>"10522276"</f>
        <v>10522276</v>
      </c>
      <c r="B2560" t="s">
        <v>15</v>
      </c>
      <c r="C2560" s="1">
        <v>43787</v>
      </c>
      <c r="D2560" s="2">
        <f>YEAR(C2560)</f>
        <v>2019</v>
      </c>
      <c r="E2560">
        <v>267800</v>
      </c>
      <c r="F2560" t="s">
        <v>85</v>
      </c>
      <c r="G2560">
        <v>1996</v>
      </c>
      <c r="H2560">
        <v>1204</v>
      </c>
      <c r="I2560" t="s">
        <v>809</v>
      </c>
      <c r="J2560" t="str">
        <f>"2"</f>
        <v>2</v>
      </c>
      <c r="K2560">
        <v>60002</v>
      </c>
      <c r="L2560">
        <v>2288</v>
      </c>
      <c r="M2560">
        <v>9</v>
      </c>
      <c r="N2560">
        <v>2</v>
      </c>
      <c r="O2560">
        <v>1</v>
      </c>
      <c r="P2560" t="s">
        <v>18</v>
      </c>
      <c r="Q2560">
        <v>4</v>
      </c>
      <c r="R2560">
        <v>0</v>
      </c>
      <c r="S2560" t="s">
        <v>21</v>
      </c>
      <c r="T2560">
        <v>3</v>
      </c>
      <c r="U2560">
        <v>0</v>
      </c>
    </row>
    <row r="2561" spans="1:21" x14ac:dyDescent="0.25">
      <c r="A2561" t="str">
        <f>"10265523"</f>
        <v>10265523</v>
      </c>
      <c r="B2561" t="s">
        <v>15</v>
      </c>
      <c r="C2561" s="1">
        <v>43572</v>
      </c>
      <c r="D2561" s="2">
        <f>YEAR(C2561)</f>
        <v>2019</v>
      </c>
      <c r="E2561">
        <v>172000</v>
      </c>
      <c r="F2561" t="s">
        <v>85</v>
      </c>
      <c r="G2561">
        <v>1965</v>
      </c>
      <c r="H2561">
        <v>41066</v>
      </c>
      <c r="I2561" t="s">
        <v>840</v>
      </c>
      <c r="J2561" t="str">
        <f>"2"</f>
        <v>2</v>
      </c>
      <c r="K2561">
        <v>60002</v>
      </c>
      <c r="L2561">
        <v>2300</v>
      </c>
      <c r="M2561">
        <v>9</v>
      </c>
      <c r="N2561">
        <v>2</v>
      </c>
      <c r="O2561">
        <v>0</v>
      </c>
      <c r="P2561" t="s">
        <v>18</v>
      </c>
      <c r="Q2561">
        <v>4</v>
      </c>
      <c r="R2561">
        <v>0</v>
      </c>
      <c r="S2561" t="s">
        <v>21</v>
      </c>
      <c r="T2561">
        <v>1.5</v>
      </c>
      <c r="U2561">
        <v>0</v>
      </c>
    </row>
    <row r="2562" spans="1:21" x14ac:dyDescent="0.25">
      <c r="A2562" t="str">
        <f>"10594551"</f>
        <v>10594551</v>
      </c>
      <c r="B2562" t="s">
        <v>15</v>
      </c>
      <c r="C2562" s="1">
        <v>43909</v>
      </c>
      <c r="D2562" s="2">
        <f>YEAR(C2562)</f>
        <v>2020</v>
      </c>
      <c r="E2562">
        <v>230000</v>
      </c>
      <c r="F2562" t="s">
        <v>85</v>
      </c>
      <c r="G2562">
        <v>2002</v>
      </c>
      <c r="H2562">
        <v>64</v>
      </c>
      <c r="I2562" t="s">
        <v>841</v>
      </c>
      <c r="J2562" t="str">
        <f>"2"</f>
        <v>2</v>
      </c>
      <c r="K2562">
        <v>60002</v>
      </c>
      <c r="L2562">
        <v>2300</v>
      </c>
      <c r="M2562">
        <v>7</v>
      </c>
      <c r="N2562">
        <v>2</v>
      </c>
      <c r="O2562">
        <v>1</v>
      </c>
      <c r="P2562" t="s">
        <v>18</v>
      </c>
      <c r="Q2562">
        <v>3</v>
      </c>
      <c r="R2562">
        <v>0</v>
      </c>
      <c r="S2562" t="s">
        <v>21</v>
      </c>
      <c r="T2562">
        <v>2</v>
      </c>
      <c r="U2562">
        <v>0</v>
      </c>
    </row>
    <row r="2563" spans="1:21" x14ac:dyDescent="0.25">
      <c r="A2563" t="str">
        <f>"10291399"</f>
        <v>10291399</v>
      </c>
      <c r="B2563" t="s">
        <v>15</v>
      </c>
      <c r="C2563" s="1">
        <v>43585</v>
      </c>
      <c r="D2563" s="2">
        <f>YEAR(C2563)</f>
        <v>2019</v>
      </c>
      <c r="E2563">
        <v>256000</v>
      </c>
      <c r="F2563" t="s">
        <v>85</v>
      </c>
      <c r="G2563">
        <v>1989</v>
      </c>
      <c r="H2563">
        <v>680</v>
      </c>
      <c r="I2563" t="s">
        <v>207</v>
      </c>
      <c r="J2563" t="str">
        <f>"2"</f>
        <v>2</v>
      </c>
      <c r="K2563">
        <v>60002</v>
      </c>
      <c r="L2563">
        <v>2300</v>
      </c>
      <c r="M2563">
        <v>9</v>
      </c>
      <c r="N2563">
        <v>3</v>
      </c>
      <c r="O2563">
        <v>0</v>
      </c>
      <c r="P2563" t="s">
        <v>18</v>
      </c>
      <c r="Q2563">
        <v>4</v>
      </c>
      <c r="R2563">
        <v>0</v>
      </c>
      <c r="S2563" t="s">
        <v>21</v>
      </c>
      <c r="T2563">
        <v>2</v>
      </c>
      <c r="U2563">
        <v>0</v>
      </c>
    </row>
    <row r="2564" spans="1:21" x14ac:dyDescent="0.25">
      <c r="A2564" t="str">
        <f>"10273639"</f>
        <v>10273639</v>
      </c>
      <c r="B2564" t="s">
        <v>15</v>
      </c>
      <c r="C2564" s="1">
        <v>43588</v>
      </c>
      <c r="D2564" s="2">
        <f>YEAR(C2564)</f>
        <v>2019</v>
      </c>
      <c r="E2564">
        <v>260000</v>
      </c>
      <c r="F2564" t="s">
        <v>85</v>
      </c>
      <c r="G2564">
        <v>2005</v>
      </c>
      <c r="H2564">
        <v>1023</v>
      </c>
      <c r="I2564" t="s">
        <v>761</v>
      </c>
      <c r="J2564" t="str">
        <f>"2"</f>
        <v>2</v>
      </c>
      <c r="K2564">
        <v>60002</v>
      </c>
      <c r="L2564">
        <v>2300</v>
      </c>
      <c r="M2564">
        <v>10</v>
      </c>
      <c r="N2564">
        <v>2</v>
      </c>
      <c r="O2564">
        <v>1</v>
      </c>
      <c r="P2564" t="s">
        <v>18</v>
      </c>
      <c r="Q2564">
        <v>4</v>
      </c>
      <c r="R2564">
        <v>0</v>
      </c>
      <c r="S2564" t="s">
        <v>21</v>
      </c>
      <c r="T2564">
        <v>3</v>
      </c>
      <c r="U2564">
        <v>0</v>
      </c>
    </row>
    <row r="2565" spans="1:21" x14ac:dyDescent="0.25">
      <c r="A2565" t="str">
        <f>"10682139"</f>
        <v>10682139</v>
      </c>
      <c r="B2565" t="s">
        <v>15</v>
      </c>
      <c r="C2565" s="1">
        <v>43980</v>
      </c>
      <c r="D2565" s="2">
        <f>YEAR(C2565)</f>
        <v>2020</v>
      </c>
      <c r="E2565">
        <v>210000</v>
      </c>
      <c r="F2565" t="s">
        <v>85</v>
      </c>
      <c r="G2565">
        <v>2004</v>
      </c>
      <c r="H2565">
        <v>43160</v>
      </c>
      <c r="I2565" t="s">
        <v>570</v>
      </c>
      <c r="J2565" t="str">
        <f>"2"</f>
        <v>2</v>
      </c>
      <c r="K2565">
        <v>60002</v>
      </c>
      <c r="L2565">
        <v>2300</v>
      </c>
      <c r="M2565">
        <v>7</v>
      </c>
      <c r="N2565">
        <v>2</v>
      </c>
      <c r="O2565">
        <v>0</v>
      </c>
      <c r="P2565" t="s">
        <v>79</v>
      </c>
      <c r="Q2565">
        <v>4</v>
      </c>
      <c r="R2565">
        <v>0</v>
      </c>
      <c r="S2565" t="s">
        <v>21</v>
      </c>
      <c r="T2565">
        <v>2</v>
      </c>
      <c r="U2565">
        <v>0</v>
      </c>
    </row>
    <row r="2566" spans="1:21" x14ac:dyDescent="0.25">
      <c r="A2566" t="str">
        <f>"10815235"</f>
        <v>10815235</v>
      </c>
      <c r="B2566" t="s">
        <v>15</v>
      </c>
      <c r="C2566" s="1">
        <v>44106</v>
      </c>
      <c r="D2566" s="2">
        <f>YEAR(C2566)</f>
        <v>2020</v>
      </c>
      <c r="E2566">
        <v>560000</v>
      </c>
      <c r="F2566" t="s">
        <v>85</v>
      </c>
      <c r="G2566">
        <v>2001</v>
      </c>
      <c r="H2566">
        <v>42723</v>
      </c>
      <c r="I2566" t="s">
        <v>299</v>
      </c>
      <c r="J2566" t="str">
        <f>"2"</f>
        <v>2</v>
      </c>
      <c r="K2566">
        <v>60002</v>
      </c>
      <c r="L2566">
        <v>2310</v>
      </c>
      <c r="M2566">
        <v>11</v>
      </c>
      <c r="N2566">
        <v>3</v>
      </c>
      <c r="O2566">
        <v>1</v>
      </c>
      <c r="P2566" t="s">
        <v>79</v>
      </c>
      <c r="Q2566">
        <v>4</v>
      </c>
      <c r="R2566">
        <v>0</v>
      </c>
      <c r="S2566" t="s">
        <v>22</v>
      </c>
      <c r="T2566">
        <v>3.5</v>
      </c>
      <c r="U2566">
        <v>0</v>
      </c>
    </row>
    <row r="2567" spans="1:21" x14ac:dyDescent="0.25">
      <c r="A2567" t="str">
        <f>"10276256"</f>
        <v>10276256</v>
      </c>
      <c r="B2567" t="s">
        <v>15</v>
      </c>
      <c r="C2567" s="1">
        <v>43560</v>
      </c>
      <c r="D2567" s="2">
        <f>YEAR(C2567)</f>
        <v>2019</v>
      </c>
      <c r="E2567">
        <v>233000</v>
      </c>
      <c r="F2567" t="s">
        <v>85</v>
      </c>
      <c r="G2567">
        <v>2002</v>
      </c>
      <c r="H2567">
        <v>525</v>
      </c>
      <c r="I2567" t="s">
        <v>722</v>
      </c>
      <c r="J2567" t="str">
        <f>"2"</f>
        <v>2</v>
      </c>
      <c r="K2567">
        <v>60002</v>
      </c>
      <c r="L2567">
        <v>2312</v>
      </c>
      <c r="M2567">
        <v>7</v>
      </c>
      <c r="N2567">
        <v>2</v>
      </c>
      <c r="O2567">
        <v>1</v>
      </c>
      <c r="P2567" t="s">
        <v>18</v>
      </c>
      <c r="Q2567">
        <v>4</v>
      </c>
      <c r="R2567">
        <v>0</v>
      </c>
      <c r="S2567" t="s">
        <v>21</v>
      </c>
      <c r="T2567">
        <v>2</v>
      </c>
      <c r="U2567">
        <v>0</v>
      </c>
    </row>
    <row r="2568" spans="1:21" x14ac:dyDescent="0.25">
      <c r="A2568" t="str">
        <f>"10888369"</f>
        <v>10888369</v>
      </c>
      <c r="B2568" t="s">
        <v>15</v>
      </c>
      <c r="C2568" s="1">
        <v>44165</v>
      </c>
      <c r="D2568" s="2">
        <f>YEAR(C2568)</f>
        <v>2020</v>
      </c>
      <c r="E2568">
        <v>274000</v>
      </c>
      <c r="F2568" t="s">
        <v>85</v>
      </c>
      <c r="G2568">
        <v>2005</v>
      </c>
      <c r="H2568">
        <v>614</v>
      </c>
      <c r="I2568" t="s">
        <v>844</v>
      </c>
      <c r="J2568" t="str">
        <f>"2"</f>
        <v>2</v>
      </c>
      <c r="K2568">
        <v>60002</v>
      </c>
      <c r="L2568">
        <v>2330</v>
      </c>
      <c r="M2568">
        <v>9</v>
      </c>
      <c r="N2568">
        <v>2</v>
      </c>
      <c r="O2568">
        <v>1</v>
      </c>
      <c r="P2568" t="s">
        <v>18</v>
      </c>
      <c r="Q2568">
        <v>4</v>
      </c>
      <c r="R2568">
        <v>0</v>
      </c>
      <c r="S2568" t="s">
        <v>21</v>
      </c>
      <c r="T2568">
        <v>2</v>
      </c>
      <c r="U2568">
        <v>0</v>
      </c>
    </row>
    <row r="2569" spans="1:21" x14ac:dyDescent="0.25">
      <c r="A2569" t="str">
        <f>"10631320"</f>
        <v>10631320</v>
      </c>
      <c r="B2569" t="s">
        <v>15</v>
      </c>
      <c r="C2569" s="1">
        <v>43913</v>
      </c>
      <c r="D2569" s="2">
        <f>YEAR(C2569)</f>
        <v>2020</v>
      </c>
      <c r="E2569">
        <v>425000</v>
      </c>
      <c r="F2569" t="s">
        <v>85</v>
      </c>
      <c r="G2569">
        <v>1979</v>
      </c>
      <c r="H2569">
        <v>25071</v>
      </c>
      <c r="I2569" t="s">
        <v>663</v>
      </c>
      <c r="J2569" t="str">
        <f>"2"</f>
        <v>2</v>
      </c>
      <c r="K2569">
        <v>60002</v>
      </c>
      <c r="L2569">
        <v>2330</v>
      </c>
      <c r="M2569">
        <v>6</v>
      </c>
      <c r="N2569">
        <v>2</v>
      </c>
      <c r="O2569">
        <v>0</v>
      </c>
      <c r="P2569" t="s">
        <v>18</v>
      </c>
      <c r="Q2569">
        <v>3</v>
      </c>
      <c r="R2569">
        <v>0</v>
      </c>
      <c r="S2569" t="s">
        <v>21</v>
      </c>
      <c r="T2569">
        <v>2</v>
      </c>
      <c r="U2569">
        <v>0</v>
      </c>
    </row>
    <row r="2570" spans="1:21" x14ac:dyDescent="0.25">
      <c r="A2570" t="str">
        <f>"10769117"</f>
        <v>10769117</v>
      </c>
      <c r="B2570" t="s">
        <v>15</v>
      </c>
      <c r="C2570" s="1">
        <v>44055</v>
      </c>
      <c r="D2570" s="2">
        <f>YEAR(C2570)</f>
        <v>2020</v>
      </c>
      <c r="E2570">
        <v>219900</v>
      </c>
      <c r="F2570" t="s">
        <v>85</v>
      </c>
      <c r="G2570">
        <v>1993</v>
      </c>
      <c r="H2570">
        <v>1025</v>
      </c>
      <c r="I2570" t="s">
        <v>746</v>
      </c>
      <c r="J2570" t="str">
        <f>"2"</f>
        <v>2</v>
      </c>
      <c r="K2570">
        <v>60002</v>
      </c>
      <c r="L2570">
        <v>2348</v>
      </c>
      <c r="M2570">
        <v>9</v>
      </c>
      <c r="N2570">
        <v>2</v>
      </c>
      <c r="O2570">
        <v>1</v>
      </c>
      <c r="P2570" t="s">
        <v>18</v>
      </c>
      <c r="Q2570">
        <v>4</v>
      </c>
      <c r="R2570">
        <v>0</v>
      </c>
      <c r="S2570" t="s">
        <v>21</v>
      </c>
      <c r="T2570">
        <v>3</v>
      </c>
      <c r="U2570">
        <v>0</v>
      </c>
    </row>
    <row r="2571" spans="1:21" x14ac:dyDescent="0.25">
      <c r="A2571" t="str">
        <f>"10677454"</f>
        <v>10677454</v>
      </c>
      <c r="B2571" t="s">
        <v>15</v>
      </c>
      <c r="C2571" s="1">
        <v>43971</v>
      </c>
      <c r="D2571" s="2">
        <f>YEAR(C2571)</f>
        <v>2020</v>
      </c>
      <c r="E2571">
        <v>367500</v>
      </c>
      <c r="F2571" t="s">
        <v>85</v>
      </c>
      <c r="G2571">
        <v>2002</v>
      </c>
      <c r="H2571">
        <v>907</v>
      </c>
      <c r="I2571" t="s">
        <v>829</v>
      </c>
      <c r="J2571" t="str">
        <f>"2"</f>
        <v>2</v>
      </c>
      <c r="K2571">
        <v>60002</v>
      </c>
      <c r="L2571">
        <v>2348</v>
      </c>
      <c r="M2571">
        <v>13</v>
      </c>
      <c r="N2571">
        <v>3</v>
      </c>
      <c r="O2571">
        <v>1</v>
      </c>
      <c r="P2571" t="s">
        <v>79</v>
      </c>
      <c r="Q2571">
        <v>3</v>
      </c>
      <c r="R2571">
        <v>1</v>
      </c>
      <c r="S2571" t="s">
        <v>21</v>
      </c>
      <c r="T2571">
        <v>3</v>
      </c>
      <c r="U2571">
        <v>0</v>
      </c>
    </row>
    <row r="2572" spans="1:21" x14ac:dyDescent="0.25">
      <c r="A2572" t="str">
        <f>"10697689"</f>
        <v>10697689</v>
      </c>
      <c r="B2572" t="s">
        <v>15</v>
      </c>
      <c r="C2572" s="1">
        <v>44004</v>
      </c>
      <c r="D2572" s="2">
        <f>YEAR(C2572)</f>
        <v>2020</v>
      </c>
      <c r="E2572">
        <v>221500</v>
      </c>
      <c r="F2572" t="s">
        <v>85</v>
      </c>
      <c r="G2572">
        <v>1998</v>
      </c>
      <c r="H2572">
        <v>861</v>
      </c>
      <c r="I2572" t="s">
        <v>264</v>
      </c>
      <c r="J2572" t="str">
        <f>"2"</f>
        <v>2</v>
      </c>
      <c r="K2572">
        <v>60002</v>
      </c>
      <c r="L2572">
        <v>2350</v>
      </c>
      <c r="M2572">
        <v>5</v>
      </c>
      <c r="N2572">
        <v>2</v>
      </c>
      <c r="O2572">
        <v>0</v>
      </c>
      <c r="P2572" t="s">
        <v>18</v>
      </c>
      <c r="Q2572">
        <v>3</v>
      </c>
      <c r="R2572">
        <v>0</v>
      </c>
      <c r="S2572" t="s">
        <v>21</v>
      </c>
      <c r="T2572">
        <v>2</v>
      </c>
      <c r="U2572">
        <v>0</v>
      </c>
    </row>
    <row r="2573" spans="1:21" x14ac:dyDescent="0.25">
      <c r="A2573" t="str">
        <f>"10172565"</f>
        <v>10172565</v>
      </c>
      <c r="B2573" t="s">
        <v>15</v>
      </c>
      <c r="C2573" s="1">
        <v>43573</v>
      </c>
      <c r="D2573" s="2">
        <f>YEAR(C2573)</f>
        <v>2019</v>
      </c>
      <c r="E2573">
        <v>242000</v>
      </c>
      <c r="F2573" t="s">
        <v>85</v>
      </c>
      <c r="G2573">
        <v>2005</v>
      </c>
      <c r="H2573">
        <v>887</v>
      </c>
      <c r="I2573" t="s">
        <v>236</v>
      </c>
      <c r="J2573" t="str">
        <f>"2"</f>
        <v>2</v>
      </c>
      <c r="K2573">
        <v>60002</v>
      </c>
      <c r="L2573">
        <v>2350</v>
      </c>
      <c r="M2573">
        <v>10</v>
      </c>
      <c r="N2573">
        <v>2</v>
      </c>
      <c r="O2573">
        <v>1</v>
      </c>
      <c r="P2573" t="s">
        <v>18</v>
      </c>
      <c r="Q2573">
        <v>4</v>
      </c>
      <c r="R2573">
        <v>0</v>
      </c>
      <c r="S2573" t="s">
        <v>21</v>
      </c>
      <c r="T2573">
        <v>2</v>
      </c>
      <c r="U2573">
        <v>0</v>
      </c>
    </row>
    <row r="2574" spans="1:21" x14ac:dyDescent="0.25">
      <c r="A2574" t="str">
        <f>"10904805"</f>
        <v>10904805</v>
      </c>
      <c r="B2574" t="s">
        <v>15</v>
      </c>
      <c r="C2574" s="1">
        <v>44175</v>
      </c>
      <c r="D2574" s="2">
        <f>YEAR(C2574)</f>
        <v>2020</v>
      </c>
      <c r="E2574">
        <v>285000</v>
      </c>
      <c r="F2574" t="s">
        <v>85</v>
      </c>
      <c r="G2574">
        <v>2005</v>
      </c>
      <c r="H2574">
        <v>1272</v>
      </c>
      <c r="I2574" t="s">
        <v>837</v>
      </c>
      <c r="J2574" t="str">
        <f>"2"</f>
        <v>2</v>
      </c>
      <c r="K2574">
        <v>60002</v>
      </c>
      <c r="L2574">
        <v>2355</v>
      </c>
      <c r="M2574">
        <v>9</v>
      </c>
      <c r="N2574">
        <v>2</v>
      </c>
      <c r="O2574">
        <v>1</v>
      </c>
      <c r="P2574" t="s">
        <v>18</v>
      </c>
      <c r="Q2574">
        <v>4</v>
      </c>
      <c r="R2574">
        <v>0</v>
      </c>
      <c r="S2574" t="s">
        <v>21</v>
      </c>
      <c r="T2574">
        <v>2</v>
      </c>
      <c r="U2574">
        <v>0</v>
      </c>
    </row>
    <row r="2575" spans="1:21" x14ac:dyDescent="0.25">
      <c r="A2575" t="str">
        <f>"10170857"</f>
        <v>10170857</v>
      </c>
      <c r="B2575" t="s">
        <v>15</v>
      </c>
      <c r="C2575" s="1">
        <v>43532</v>
      </c>
      <c r="D2575" s="2">
        <f>YEAR(C2575)</f>
        <v>2019</v>
      </c>
      <c r="E2575">
        <v>180000</v>
      </c>
      <c r="F2575" t="s">
        <v>85</v>
      </c>
      <c r="G2575">
        <v>1957</v>
      </c>
      <c r="H2575">
        <v>26735</v>
      </c>
      <c r="I2575" t="s">
        <v>846</v>
      </c>
      <c r="J2575" t="str">
        <f>"2"</f>
        <v>2</v>
      </c>
      <c r="K2575">
        <v>60002</v>
      </c>
      <c r="L2575">
        <v>2359</v>
      </c>
      <c r="M2575">
        <v>6</v>
      </c>
      <c r="N2575">
        <v>2</v>
      </c>
      <c r="O2575">
        <v>0</v>
      </c>
      <c r="P2575" t="s">
        <v>18</v>
      </c>
      <c r="Q2575">
        <v>3</v>
      </c>
      <c r="R2575">
        <v>0</v>
      </c>
      <c r="S2575" t="s">
        <v>21</v>
      </c>
      <c r="T2575">
        <v>2</v>
      </c>
      <c r="U2575">
        <v>0</v>
      </c>
    </row>
    <row r="2576" spans="1:21" x14ac:dyDescent="0.25">
      <c r="A2576" t="str">
        <f>"10660679"</f>
        <v>10660679</v>
      </c>
      <c r="B2576" t="s">
        <v>15</v>
      </c>
      <c r="C2576" s="1">
        <v>43973</v>
      </c>
      <c r="D2576" s="2">
        <f>YEAR(C2576)</f>
        <v>2020</v>
      </c>
      <c r="E2576">
        <v>239000</v>
      </c>
      <c r="F2576" t="s">
        <v>85</v>
      </c>
      <c r="G2576">
        <v>2004</v>
      </c>
      <c r="H2576">
        <v>322</v>
      </c>
      <c r="I2576" t="s">
        <v>847</v>
      </c>
      <c r="J2576" t="str">
        <f>"2"</f>
        <v>2</v>
      </c>
      <c r="K2576">
        <v>60002</v>
      </c>
      <c r="L2576">
        <v>2360</v>
      </c>
      <c r="M2576">
        <v>8</v>
      </c>
      <c r="N2576">
        <v>2</v>
      </c>
      <c r="O2576">
        <v>1</v>
      </c>
      <c r="P2576" t="s">
        <v>18</v>
      </c>
      <c r="Q2576">
        <v>3</v>
      </c>
      <c r="R2576">
        <v>0</v>
      </c>
      <c r="S2576" t="s">
        <v>21</v>
      </c>
      <c r="T2576">
        <v>2</v>
      </c>
      <c r="U2576">
        <v>0</v>
      </c>
    </row>
    <row r="2577" spans="1:21" x14ac:dyDescent="0.25">
      <c r="A2577" t="str">
        <f>"10446632"</f>
        <v>10446632</v>
      </c>
      <c r="B2577" t="s">
        <v>15</v>
      </c>
      <c r="C2577" s="1">
        <v>43754</v>
      </c>
      <c r="D2577" s="2">
        <f>YEAR(C2577)</f>
        <v>2019</v>
      </c>
      <c r="E2577">
        <v>251000</v>
      </c>
      <c r="F2577" t="s">
        <v>85</v>
      </c>
      <c r="G2577">
        <v>2004</v>
      </c>
      <c r="H2577">
        <v>310</v>
      </c>
      <c r="I2577" t="s">
        <v>848</v>
      </c>
      <c r="J2577" t="str">
        <f>"2"</f>
        <v>2</v>
      </c>
      <c r="K2577">
        <v>60002</v>
      </c>
      <c r="L2577">
        <v>2360</v>
      </c>
      <c r="M2577">
        <v>8</v>
      </c>
      <c r="N2577">
        <v>2</v>
      </c>
      <c r="O2577">
        <v>1</v>
      </c>
      <c r="P2577" t="s">
        <v>18</v>
      </c>
      <c r="Q2577">
        <v>4</v>
      </c>
      <c r="R2577">
        <v>0</v>
      </c>
      <c r="S2577" t="s">
        <v>21</v>
      </c>
      <c r="T2577">
        <v>2</v>
      </c>
      <c r="U2577">
        <v>0</v>
      </c>
    </row>
    <row r="2578" spans="1:21" x14ac:dyDescent="0.25">
      <c r="A2578" t="str">
        <f>"10666120"</f>
        <v>10666120</v>
      </c>
      <c r="B2578" t="s">
        <v>15</v>
      </c>
      <c r="C2578" s="1">
        <v>43969</v>
      </c>
      <c r="D2578" s="2">
        <f>YEAR(C2578)</f>
        <v>2020</v>
      </c>
      <c r="E2578">
        <v>227000</v>
      </c>
      <c r="F2578" t="s">
        <v>85</v>
      </c>
      <c r="G2578">
        <v>1999</v>
      </c>
      <c r="H2578">
        <v>649</v>
      </c>
      <c r="I2578" t="s">
        <v>768</v>
      </c>
      <c r="J2578" t="str">
        <f>"2"</f>
        <v>2</v>
      </c>
      <c r="K2578">
        <v>60002</v>
      </c>
      <c r="L2578">
        <v>2368</v>
      </c>
      <c r="M2578">
        <v>8</v>
      </c>
      <c r="N2578">
        <v>3</v>
      </c>
      <c r="O2578">
        <v>0</v>
      </c>
      <c r="P2578" t="s">
        <v>79</v>
      </c>
      <c r="Q2578">
        <v>3</v>
      </c>
      <c r="R2578">
        <v>1</v>
      </c>
      <c r="S2578" t="s">
        <v>21</v>
      </c>
      <c r="T2578">
        <v>2</v>
      </c>
      <c r="U2578">
        <v>0</v>
      </c>
    </row>
    <row r="2579" spans="1:21" x14ac:dyDescent="0.25">
      <c r="A2579" t="str">
        <f>"10882913"</f>
        <v>10882913</v>
      </c>
      <c r="B2579" t="s">
        <v>15</v>
      </c>
      <c r="C2579" s="1">
        <v>44141</v>
      </c>
      <c r="D2579" s="2">
        <f>YEAR(C2579)</f>
        <v>2020</v>
      </c>
      <c r="E2579">
        <v>344900</v>
      </c>
      <c r="F2579" t="s">
        <v>85</v>
      </c>
      <c r="G2579">
        <v>2003</v>
      </c>
      <c r="H2579">
        <v>1452</v>
      </c>
      <c r="I2579" t="s">
        <v>784</v>
      </c>
      <c r="J2579" t="str">
        <f>"2"</f>
        <v>2</v>
      </c>
      <c r="K2579">
        <v>60002</v>
      </c>
      <c r="L2579">
        <v>2369</v>
      </c>
      <c r="M2579">
        <v>10</v>
      </c>
      <c r="N2579">
        <v>3</v>
      </c>
      <c r="O2579">
        <v>1</v>
      </c>
      <c r="P2579" t="s">
        <v>79</v>
      </c>
      <c r="Q2579">
        <v>4</v>
      </c>
      <c r="R2579">
        <v>0</v>
      </c>
      <c r="S2579" t="s">
        <v>21</v>
      </c>
      <c r="T2579">
        <v>3</v>
      </c>
      <c r="U2579">
        <v>0</v>
      </c>
    </row>
    <row r="2580" spans="1:21" x14ac:dyDescent="0.25">
      <c r="A2580" t="str">
        <f>"10637488"</f>
        <v>10637488</v>
      </c>
      <c r="B2580" t="s">
        <v>15</v>
      </c>
      <c r="C2580" s="1">
        <v>43980</v>
      </c>
      <c r="D2580" s="2">
        <f>YEAR(C2580)</f>
        <v>2020</v>
      </c>
      <c r="E2580">
        <v>265000</v>
      </c>
      <c r="F2580" t="s">
        <v>85</v>
      </c>
      <c r="G2580">
        <v>2006</v>
      </c>
      <c r="H2580">
        <v>950</v>
      </c>
      <c r="I2580" t="s">
        <v>850</v>
      </c>
      <c r="J2580" t="str">
        <f>"2"</f>
        <v>2</v>
      </c>
      <c r="K2580">
        <v>60002</v>
      </c>
      <c r="L2580">
        <v>2371</v>
      </c>
      <c r="M2580">
        <v>10</v>
      </c>
      <c r="N2580">
        <v>2</v>
      </c>
      <c r="O2580">
        <v>1</v>
      </c>
      <c r="P2580" t="s">
        <v>18</v>
      </c>
      <c r="Q2580">
        <v>4</v>
      </c>
      <c r="R2580">
        <v>0</v>
      </c>
      <c r="S2580" t="s">
        <v>21</v>
      </c>
      <c r="T2580">
        <v>2</v>
      </c>
      <c r="U2580">
        <v>0</v>
      </c>
    </row>
    <row r="2581" spans="1:21" x14ac:dyDescent="0.25">
      <c r="A2581" t="str">
        <f>"10311006"</f>
        <v>10311006</v>
      </c>
      <c r="B2581" t="s">
        <v>15</v>
      </c>
      <c r="C2581" s="1">
        <v>43602</v>
      </c>
      <c r="D2581" s="2">
        <f>YEAR(C2581)</f>
        <v>2019</v>
      </c>
      <c r="E2581">
        <v>280500</v>
      </c>
      <c r="F2581" t="s">
        <v>85</v>
      </c>
      <c r="G2581">
        <v>1998</v>
      </c>
      <c r="H2581">
        <v>652</v>
      </c>
      <c r="I2581" t="s">
        <v>115</v>
      </c>
      <c r="J2581" t="str">
        <f>"2"</f>
        <v>2</v>
      </c>
      <c r="K2581">
        <v>60002</v>
      </c>
      <c r="L2581">
        <v>2372</v>
      </c>
      <c r="M2581">
        <v>8</v>
      </c>
      <c r="N2581">
        <v>3</v>
      </c>
      <c r="O2581">
        <v>1</v>
      </c>
      <c r="P2581" t="s">
        <v>79</v>
      </c>
      <c r="Q2581">
        <v>4</v>
      </c>
      <c r="R2581">
        <v>0</v>
      </c>
      <c r="S2581" t="s">
        <v>21</v>
      </c>
      <c r="T2581">
        <v>3</v>
      </c>
      <c r="U2581">
        <v>0</v>
      </c>
    </row>
    <row r="2582" spans="1:21" x14ac:dyDescent="0.25">
      <c r="A2582" t="str">
        <f>"10717973"</f>
        <v>10717973</v>
      </c>
      <c r="B2582" t="s">
        <v>15</v>
      </c>
      <c r="C2582" s="1">
        <v>44117</v>
      </c>
      <c r="D2582" s="2">
        <f>YEAR(C2582)</f>
        <v>2020</v>
      </c>
      <c r="E2582">
        <v>289500</v>
      </c>
      <c r="F2582" t="s">
        <v>85</v>
      </c>
      <c r="G2582">
        <v>1994</v>
      </c>
      <c r="H2582">
        <v>618</v>
      </c>
      <c r="I2582" t="s">
        <v>851</v>
      </c>
      <c r="J2582" t="str">
        <f>"2"</f>
        <v>2</v>
      </c>
      <c r="K2582">
        <v>60002</v>
      </c>
      <c r="L2582">
        <v>2373</v>
      </c>
      <c r="M2582">
        <v>8</v>
      </c>
      <c r="N2582">
        <v>3</v>
      </c>
      <c r="O2582">
        <v>1</v>
      </c>
      <c r="P2582" t="s">
        <v>79</v>
      </c>
      <c r="Q2582">
        <v>4</v>
      </c>
      <c r="R2582">
        <v>0</v>
      </c>
      <c r="S2582" t="s">
        <v>21</v>
      </c>
      <c r="T2582">
        <v>2</v>
      </c>
      <c r="U2582">
        <v>0</v>
      </c>
    </row>
    <row r="2583" spans="1:21" x14ac:dyDescent="0.25">
      <c r="A2583" t="str">
        <f>"10255620"</f>
        <v>10255620</v>
      </c>
      <c r="B2583" t="s">
        <v>15</v>
      </c>
      <c r="C2583" s="1">
        <v>43553</v>
      </c>
      <c r="D2583" s="2">
        <f>YEAR(C2583)</f>
        <v>2019</v>
      </c>
      <c r="E2583">
        <v>290000</v>
      </c>
      <c r="F2583" t="s">
        <v>85</v>
      </c>
      <c r="G2583">
        <v>1952</v>
      </c>
      <c r="H2583">
        <v>25641</v>
      </c>
      <c r="I2583" t="s">
        <v>583</v>
      </c>
      <c r="J2583" t="str">
        <f>"2"</f>
        <v>2</v>
      </c>
      <c r="K2583">
        <v>60002</v>
      </c>
      <c r="L2583">
        <v>2375</v>
      </c>
      <c r="M2583">
        <v>8</v>
      </c>
      <c r="N2583">
        <v>2</v>
      </c>
      <c r="O2583">
        <v>1</v>
      </c>
      <c r="P2583" t="s">
        <v>18</v>
      </c>
      <c r="Q2583">
        <v>3</v>
      </c>
      <c r="R2583">
        <v>0</v>
      </c>
      <c r="S2583" t="s">
        <v>22</v>
      </c>
      <c r="T2583">
        <v>2.5</v>
      </c>
      <c r="U2583">
        <v>0</v>
      </c>
    </row>
    <row r="2584" spans="1:21" x14ac:dyDescent="0.25">
      <c r="A2584" t="str">
        <f>"10400785"</f>
        <v>10400785</v>
      </c>
      <c r="B2584" t="s">
        <v>15</v>
      </c>
      <c r="C2584" s="1">
        <v>43735</v>
      </c>
      <c r="D2584" s="2">
        <f>YEAR(C2584)</f>
        <v>2019</v>
      </c>
      <c r="E2584">
        <v>296000</v>
      </c>
      <c r="F2584" t="s">
        <v>85</v>
      </c>
      <c r="G2584">
        <v>2005</v>
      </c>
      <c r="H2584">
        <v>1040</v>
      </c>
      <c r="I2584" t="s">
        <v>852</v>
      </c>
      <c r="J2584" t="str">
        <f>"2"</f>
        <v>2</v>
      </c>
      <c r="K2584">
        <v>60002</v>
      </c>
      <c r="L2584">
        <v>2376</v>
      </c>
      <c r="M2584">
        <v>9</v>
      </c>
      <c r="N2584">
        <v>2</v>
      </c>
      <c r="O2584">
        <v>1</v>
      </c>
      <c r="P2584" t="s">
        <v>18</v>
      </c>
      <c r="Q2584">
        <v>4</v>
      </c>
      <c r="R2584">
        <v>0</v>
      </c>
      <c r="S2584" t="s">
        <v>21</v>
      </c>
      <c r="T2584">
        <v>3</v>
      </c>
      <c r="U2584">
        <v>0</v>
      </c>
    </row>
    <row r="2585" spans="1:21" x14ac:dyDescent="0.25">
      <c r="A2585" t="str">
        <f>"10690875"</f>
        <v>10690875</v>
      </c>
      <c r="B2585" t="s">
        <v>15</v>
      </c>
      <c r="C2585" s="1">
        <v>44028</v>
      </c>
      <c r="D2585" s="2">
        <f>YEAR(C2585)</f>
        <v>2020</v>
      </c>
      <c r="E2585">
        <v>350000</v>
      </c>
      <c r="F2585" t="s">
        <v>85</v>
      </c>
      <c r="G2585">
        <v>1958</v>
      </c>
      <c r="H2585">
        <v>43489</v>
      </c>
      <c r="I2585" t="s">
        <v>853</v>
      </c>
      <c r="J2585" t="str">
        <f>"2"</f>
        <v>2</v>
      </c>
      <c r="K2585">
        <v>60002</v>
      </c>
      <c r="L2585">
        <v>2400</v>
      </c>
      <c r="M2585">
        <v>8</v>
      </c>
      <c r="N2585">
        <v>2</v>
      </c>
      <c r="O2585">
        <v>0</v>
      </c>
      <c r="P2585" t="s">
        <v>18</v>
      </c>
      <c r="Q2585">
        <v>4</v>
      </c>
      <c r="R2585">
        <v>0</v>
      </c>
      <c r="S2585" t="s">
        <v>21</v>
      </c>
      <c r="T2585">
        <v>1</v>
      </c>
      <c r="U2585">
        <v>0</v>
      </c>
    </row>
    <row r="2586" spans="1:21" x14ac:dyDescent="0.25">
      <c r="A2586" t="str">
        <f>"10282116"</f>
        <v>10282116</v>
      </c>
      <c r="B2586" t="s">
        <v>15</v>
      </c>
      <c r="C2586" s="1">
        <v>43558</v>
      </c>
      <c r="D2586" s="2">
        <f>YEAR(C2586)</f>
        <v>2019</v>
      </c>
      <c r="E2586">
        <v>227900</v>
      </c>
      <c r="F2586" t="s">
        <v>85</v>
      </c>
      <c r="G2586">
        <v>2004</v>
      </c>
      <c r="H2586">
        <v>560</v>
      </c>
      <c r="I2586" t="s">
        <v>754</v>
      </c>
      <c r="J2586" t="str">
        <f>"2"</f>
        <v>2</v>
      </c>
      <c r="K2586">
        <v>60002</v>
      </c>
      <c r="L2586">
        <v>2400</v>
      </c>
      <c r="M2586">
        <v>9</v>
      </c>
      <c r="N2586">
        <v>2</v>
      </c>
      <c r="O2586">
        <v>1</v>
      </c>
      <c r="P2586" t="s">
        <v>18</v>
      </c>
      <c r="Q2586">
        <v>4</v>
      </c>
      <c r="R2586">
        <v>0</v>
      </c>
      <c r="S2586" t="s">
        <v>21</v>
      </c>
      <c r="T2586">
        <v>2</v>
      </c>
      <c r="U2586">
        <v>0</v>
      </c>
    </row>
    <row r="2587" spans="1:21" x14ac:dyDescent="0.25">
      <c r="A2587" t="str">
        <f>"10771693"</f>
        <v>10771693</v>
      </c>
      <c r="B2587" t="s">
        <v>15</v>
      </c>
      <c r="C2587" s="1">
        <v>44091</v>
      </c>
      <c r="D2587" s="2">
        <f>YEAR(C2587)</f>
        <v>2020</v>
      </c>
      <c r="E2587">
        <v>380000</v>
      </c>
      <c r="F2587" t="s">
        <v>85</v>
      </c>
      <c r="G2587">
        <v>1949</v>
      </c>
      <c r="H2587">
        <v>39705</v>
      </c>
      <c r="I2587" t="s">
        <v>854</v>
      </c>
      <c r="J2587" t="str">
        <f>"2"</f>
        <v>2</v>
      </c>
      <c r="K2587">
        <v>60002</v>
      </c>
      <c r="L2587">
        <v>2400</v>
      </c>
      <c r="M2587">
        <v>7</v>
      </c>
      <c r="N2587">
        <v>2</v>
      </c>
      <c r="O2587">
        <v>1</v>
      </c>
      <c r="P2587" t="s">
        <v>18</v>
      </c>
      <c r="Q2587">
        <v>3</v>
      </c>
      <c r="R2587">
        <v>0</v>
      </c>
      <c r="S2587" t="s">
        <v>21</v>
      </c>
      <c r="T2587">
        <v>3</v>
      </c>
      <c r="U2587">
        <v>0</v>
      </c>
    </row>
    <row r="2588" spans="1:21" x14ac:dyDescent="0.25">
      <c r="A2588" t="str">
        <f>"10273562"</f>
        <v>10273562</v>
      </c>
      <c r="B2588" t="s">
        <v>15</v>
      </c>
      <c r="C2588" s="1">
        <v>43578</v>
      </c>
      <c r="D2588" s="2">
        <f>YEAR(C2588)</f>
        <v>2019</v>
      </c>
      <c r="E2588">
        <v>239500</v>
      </c>
      <c r="F2588" t="s">
        <v>85</v>
      </c>
      <c r="G2588">
        <v>1968</v>
      </c>
      <c r="H2588">
        <v>143</v>
      </c>
      <c r="I2588" t="s">
        <v>604</v>
      </c>
      <c r="J2588" t="str">
        <f>"2"</f>
        <v>2</v>
      </c>
      <c r="K2588">
        <v>60002</v>
      </c>
      <c r="L2588">
        <v>2400</v>
      </c>
      <c r="M2588">
        <v>7</v>
      </c>
      <c r="N2588">
        <v>3</v>
      </c>
      <c r="O2588">
        <v>0</v>
      </c>
      <c r="P2588" t="s">
        <v>79</v>
      </c>
      <c r="Q2588">
        <v>3</v>
      </c>
      <c r="R2588">
        <v>0</v>
      </c>
      <c r="S2588" t="s">
        <v>21</v>
      </c>
      <c r="T2588">
        <v>1</v>
      </c>
      <c r="U2588">
        <v>0</v>
      </c>
    </row>
    <row r="2589" spans="1:21" x14ac:dyDescent="0.25">
      <c r="A2589" t="str">
        <f>"10420277"</f>
        <v>10420277</v>
      </c>
      <c r="B2589" t="s">
        <v>15</v>
      </c>
      <c r="C2589" s="1">
        <v>43678</v>
      </c>
      <c r="D2589" s="2">
        <f>YEAR(C2589)</f>
        <v>2019</v>
      </c>
      <c r="E2589">
        <v>229500</v>
      </c>
      <c r="F2589" t="s">
        <v>85</v>
      </c>
      <c r="G2589">
        <v>2003</v>
      </c>
      <c r="H2589">
        <v>63</v>
      </c>
      <c r="I2589" t="s">
        <v>682</v>
      </c>
      <c r="J2589" t="str">
        <f>"2"</f>
        <v>2</v>
      </c>
      <c r="K2589">
        <v>60002</v>
      </c>
      <c r="L2589">
        <v>2400</v>
      </c>
      <c r="M2589">
        <v>9</v>
      </c>
      <c r="N2589">
        <v>2</v>
      </c>
      <c r="O2589">
        <v>1</v>
      </c>
      <c r="P2589" t="s">
        <v>79</v>
      </c>
      <c r="Q2589">
        <v>2</v>
      </c>
      <c r="R2589">
        <v>1</v>
      </c>
      <c r="S2589" t="s">
        <v>21</v>
      </c>
      <c r="T2589">
        <v>2</v>
      </c>
      <c r="U2589">
        <v>0</v>
      </c>
    </row>
    <row r="2590" spans="1:21" x14ac:dyDescent="0.25">
      <c r="A2590" t="s">
        <v>855</v>
      </c>
      <c r="B2590" t="s">
        <v>15</v>
      </c>
      <c r="C2590" s="1">
        <v>44095</v>
      </c>
      <c r="D2590" s="2">
        <f>YEAR(C2590)</f>
        <v>2020</v>
      </c>
      <c r="E2590">
        <v>159000</v>
      </c>
      <c r="F2590" t="s">
        <v>548</v>
      </c>
      <c r="G2590">
        <v>2006</v>
      </c>
      <c r="H2590">
        <v>1268</v>
      </c>
      <c r="I2590" t="s">
        <v>856</v>
      </c>
      <c r="J2590" t="s">
        <v>600</v>
      </c>
      <c r="K2590">
        <v>60002</v>
      </c>
      <c r="L2590">
        <v>2400</v>
      </c>
      <c r="M2590">
        <v>7</v>
      </c>
      <c r="N2590">
        <v>3</v>
      </c>
      <c r="O2590">
        <v>0</v>
      </c>
      <c r="P2590" t="s">
        <v>79</v>
      </c>
      <c r="Q2590">
        <v>3</v>
      </c>
      <c r="R2590">
        <v>0</v>
      </c>
      <c r="S2590" t="s">
        <v>21</v>
      </c>
      <c r="T2590">
        <v>2</v>
      </c>
      <c r="U2590">
        <v>0</v>
      </c>
    </row>
    <row r="2591" spans="1:21" x14ac:dyDescent="0.25">
      <c r="A2591" t="s">
        <v>857</v>
      </c>
      <c r="B2591" t="s">
        <v>15</v>
      </c>
      <c r="C2591" s="1">
        <v>43749</v>
      </c>
      <c r="D2591" s="2">
        <f>YEAR(C2591)</f>
        <v>2019</v>
      </c>
      <c r="E2591">
        <v>210000</v>
      </c>
      <c r="F2591" t="s">
        <v>548</v>
      </c>
      <c r="G2591">
        <v>2003</v>
      </c>
      <c r="H2591">
        <v>1042</v>
      </c>
      <c r="I2591" t="s">
        <v>726</v>
      </c>
      <c r="J2591" t="s">
        <v>600</v>
      </c>
      <c r="K2591">
        <v>60002</v>
      </c>
      <c r="L2591">
        <v>2400</v>
      </c>
      <c r="M2591">
        <v>8</v>
      </c>
      <c r="N2591">
        <v>3</v>
      </c>
      <c r="O2591">
        <v>1</v>
      </c>
      <c r="P2591" t="s">
        <v>79</v>
      </c>
      <c r="Q2591">
        <v>4</v>
      </c>
      <c r="R2591">
        <v>0</v>
      </c>
      <c r="S2591" t="s">
        <v>21</v>
      </c>
      <c r="T2591">
        <v>2</v>
      </c>
      <c r="U2591">
        <v>0</v>
      </c>
    </row>
    <row r="2592" spans="1:21" x14ac:dyDescent="0.25">
      <c r="A2592" t="str">
        <f>"10742999"</f>
        <v>10742999</v>
      </c>
      <c r="B2592" t="s">
        <v>15</v>
      </c>
      <c r="C2592" s="1">
        <v>44053</v>
      </c>
      <c r="D2592" s="2">
        <f>YEAR(C2592)</f>
        <v>2020</v>
      </c>
      <c r="E2592">
        <v>580000</v>
      </c>
      <c r="F2592" t="s">
        <v>85</v>
      </c>
      <c r="G2592">
        <v>1996</v>
      </c>
      <c r="H2592">
        <v>25408</v>
      </c>
      <c r="I2592" t="s">
        <v>679</v>
      </c>
      <c r="J2592" t="str">
        <f>"2"</f>
        <v>2</v>
      </c>
      <c r="K2592">
        <v>60002</v>
      </c>
      <c r="L2592">
        <v>2400</v>
      </c>
      <c r="M2592">
        <v>11</v>
      </c>
      <c r="N2592">
        <v>4</v>
      </c>
      <c r="O2592">
        <v>0</v>
      </c>
      <c r="P2592" t="s">
        <v>79</v>
      </c>
      <c r="Q2592">
        <v>7</v>
      </c>
      <c r="R2592">
        <v>0</v>
      </c>
      <c r="S2592" t="s">
        <v>22</v>
      </c>
      <c r="T2592">
        <v>3</v>
      </c>
      <c r="U2592">
        <v>0</v>
      </c>
    </row>
    <row r="2593" spans="1:21" x14ac:dyDescent="0.25">
      <c r="A2593" t="str">
        <f>"10791213"</f>
        <v>10791213</v>
      </c>
      <c r="B2593" t="s">
        <v>15</v>
      </c>
      <c r="C2593" s="1">
        <v>44092</v>
      </c>
      <c r="D2593" s="2">
        <f>YEAR(C2593)</f>
        <v>2020</v>
      </c>
      <c r="E2593">
        <v>264180</v>
      </c>
      <c r="F2593" t="s">
        <v>85</v>
      </c>
      <c r="G2593">
        <v>2001</v>
      </c>
      <c r="H2593">
        <v>630</v>
      </c>
      <c r="I2593" t="s">
        <v>768</v>
      </c>
      <c r="J2593" t="str">
        <f>"2"</f>
        <v>2</v>
      </c>
      <c r="K2593">
        <v>60002</v>
      </c>
      <c r="L2593">
        <v>2403</v>
      </c>
      <c r="M2593">
        <v>10</v>
      </c>
      <c r="N2593">
        <v>2</v>
      </c>
      <c r="O2593">
        <v>1</v>
      </c>
      <c r="P2593" t="s">
        <v>18</v>
      </c>
      <c r="Q2593">
        <v>4</v>
      </c>
      <c r="R2593">
        <v>0</v>
      </c>
      <c r="S2593" t="s">
        <v>21</v>
      </c>
      <c r="T2593">
        <v>3</v>
      </c>
      <c r="U2593">
        <v>0</v>
      </c>
    </row>
    <row r="2594" spans="1:21" x14ac:dyDescent="0.25">
      <c r="A2594" t="str">
        <f>"10398826"</f>
        <v>10398826</v>
      </c>
      <c r="B2594" t="s">
        <v>15</v>
      </c>
      <c r="C2594" s="1">
        <v>43658</v>
      </c>
      <c r="D2594" s="2">
        <f>YEAR(C2594)</f>
        <v>2019</v>
      </c>
      <c r="E2594">
        <v>244900</v>
      </c>
      <c r="F2594" t="s">
        <v>85</v>
      </c>
      <c r="G2594">
        <v>1998</v>
      </c>
      <c r="H2594">
        <v>1402</v>
      </c>
      <c r="I2594" t="s">
        <v>845</v>
      </c>
      <c r="J2594" t="str">
        <f>"2"</f>
        <v>2</v>
      </c>
      <c r="K2594">
        <v>60002</v>
      </c>
      <c r="L2594">
        <v>2406</v>
      </c>
      <c r="M2594">
        <v>11</v>
      </c>
      <c r="N2594">
        <v>2</v>
      </c>
      <c r="O2594">
        <v>1</v>
      </c>
      <c r="P2594" t="s">
        <v>18</v>
      </c>
      <c r="Q2594">
        <v>4</v>
      </c>
      <c r="R2594">
        <v>0</v>
      </c>
      <c r="S2594" t="s">
        <v>21</v>
      </c>
      <c r="T2594">
        <v>3</v>
      </c>
      <c r="U2594">
        <v>0</v>
      </c>
    </row>
    <row r="2595" spans="1:21" x14ac:dyDescent="0.25">
      <c r="A2595" t="str">
        <f>"10653443"</f>
        <v>10653443</v>
      </c>
      <c r="B2595" t="s">
        <v>15</v>
      </c>
      <c r="C2595" s="1">
        <v>43999</v>
      </c>
      <c r="D2595" s="2">
        <f>YEAR(C2595)</f>
        <v>2020</v>
      </c>
      <c r="E2595">
        <v>271500</v>
      </c>
      <c r="F2595" t="s">
        <v>85</v>
      </c>
      <c r="G2595">
        <v>2006</v>
      </c>
      <c r="H2595">
        <v>1830</v>
      </c>
      <c r="I2595" t="s">
        <v>858</v>
      </c>
      <c r="J2595" t="str">
        <f>"2"</f>
        <v>2</v>
      </c>
      <c r="K2595">
        <v>60002</v>
      </c>
      <c r="L2595">
        <v>2408</v>
      </c>
      <c r="M2595">
        <v>10</v>
      </c>
      <c r="N2595">
        <v>2</v>
      </c>
      <c r="O2595">
        <v>1</v>
      </c>
      <c r="P2595" t="s">
        <v>18</v>
      </c>
      <c r="Q2595">
        <v>3</v>
      </c>
      <c r="R2595">
        <v>0</v>
      </c>
      <c r="S2595" t="s">
        <v>21</v>
      </c>
      <c r="T2595">
        <v>2</v>
      </c>
      <c r="U2595">
        <v>0</v>
      </c>
    </row>
    <row r="2596" spans="1:21" x14ac:dyDescent="0.25">
      <c r="A2596" t="str">
        <f>"10397657"</f>
        <v>10397657</v>
      </c>
      <c r="B2596" t="s">
        <v>15</v>
      </c>
      <c r="C2596" s="1">
        <v>43669</v>
      </c>
      <c r="D2596" s="2">
        <f>YEAR(C2596)</f>
        <v>2019</v>
      </c>
      <c r="E2596">
        <v>255000</v>
      </c>
      <c r="F2596" t="s">
        <v>85</v>
      </c>
      <c r="G2596">
        <v>1977</v>
      </c>
      <c r="H2596">
        <v>136</v>
      </c>
      <c r="I2596" t="s">
        <v>94</v>
      </c>
      <c r="J2596" t="str">
        <f>"2"</f>
        <v>2</v>
      </c>
      <c r="K2596">
        <v>60002</v>
      </c>
      <c r="L2596">
        <v>2408</v>
      </c>
      <c r="M2596">
        <v>8</v>
      </c>
      <c r="N2596">
        <v>2</v>
      </c>
      <c r="O2596">
        <v>0</v>
      </c>
      <c r="P2596" t="s">
        <v>79</v>
      </c>
      <c r="Q2596">
        <v>4</v>
      </c>
      <c r="R2596">
        <v>0</v>
      </c>
      <c r="S2596" t="s">
        <v>21</v>
      </c>
      <c r="T2596">
        <v>1</v>
      </c>
      <c r="U2596">
        <v>0</v>
      </c>
    </row>
    <row r="2597" spans="1:21" x14ac:dyDescent="0.25">
      <c r="A2597" t="str">
        <f>"10670597"</f>
        <v>10670597</v>
      </c>
      <c r="B2597" t="s">
        <v>15</v>
      </c>
      <c r="C2597" s="1">
        <v>43980</v>
      </c>
      <c r="D2597" s="2">
        <f>YEAR(C2597)</f>
        <v>2020</v>
      </c>
      <c r="E2597">
        <v>244000</v>
      </c>
      <c r="F2597" t="s">
        <v>85</v>
      </c>
      <c r="G2597">
        <v>2001</v>
      </c>
      <c r="H2597">
        <v>561</v>
      </c>
      <c r="I2597" t="s">
        <v>754</v>
      </c>
      <c r="J2597" t="str">
        <f>"2"</f>
        <v>2</v>
      </c>
      <c r="K2597">
        <v>60002</v>
      </c>
      <c r="L2597">
        <v>2408</v>
      </c>
      <c r="M2597">
        <v>9</v>
      </c>
      <c r="N2597">
        <v>2</v>
      </c>
      <c r="O2597">
        <v>2</v>
      </c>
      <c r="P2597" t="s">
        <v>79</v>
      </c>
      <c r="Q2597">
        <v>4</v>
      </c>
      <c r="R2597">
        <v>0</v>
      </c>
      <c r="S2597" t="s">
        <v>21</v>
      </c>
      <c r="T2597">
        <v>2</v>
      </c>
      <c r="U2597">
        <v>0</v>
      </c>
    </row>
    <row r="2598" spans="1:21" x14ac:dyDescent="0.25">
      <c r="A2598" t="str">
        <f>"10796335"</f>
        <v>10796335</v>
      </c>
      <c r="B2598" t="s">
        <v>15</v>
      </c>
      <c r="C2598" s="1">
        <v>44120</v>
      </c>
      <c r="D2598" s="2">
        <f>YEAR(C2598)</f>
        <v>2020</v>
      </c>
      <c r="E2598">
        <v>254900</v>
      </c>
      <c r="F2598" t="s">
        <v>85</v>
      </c>
      <c r="G2598">
        <v>2001</v>
      </c>
      <c r="H2598">
        <v>561</v>
      </c>
      <c r="I2598" t="s">
        <v>754</v>
      </c>
      <c r="J2598" t="str">
        <f>"2"</f>
        <v>2</v>
      </c>
      <c r="K2598">
        <v>60002</v>
      </c>
      <c r="L2598">
        <v>2408</v>
      </c>
      <c r="M2598">
        <v>9</v>
      </c>
      <c r="N2598">
        <v>2</v>
      </c>
      <c r="O2598">
        <v>2</v>
      </c>
      <c r="P2598" t="s">
        <v>79</v>
      </c>
      <c r="Q2598">
        <v>4</v>
      </c>
      <c r="R2598">
        <v>0</v>
      </c>
      <c r="S2598" t="s">
        <v>21</v>
      </c>
      <c r="T2598">
        <v>2</v>
      </c>
      <c r="U2598">
        <v>0</v>
      </c>
    </row>
    <row r="2599" spans="1:21" x14ac:dyDescent="0.25">
      <c r="A2599" t="str">
        <f>"10558334"</f>
        <v>10558334</v>
      </c>
      <c r="B2599" t="s">
        <v>15</v>
      </c>
      <c r="C2599" s="1">
        <v>43819</v>
      </c>
      <c r="D2599" s="2">
        <f>YEAR(C2599)</f>
        <v>2019</v>
      </c>
      <c r="E2599">
        <v>219000</v>
      </c>
      <c r="F2599" t="s">
        <v>85</v>
      </c>
      <c r="G2599">
        <v>2002</v>
      </c>
      <c r="H2599">
        <v>669</v>
      </c>
      <c r="I2599" t="s">
        <v>754</v>
      </c>
      <c r="J2599" t="str">
        <f>"2"</f>
        <v>2</v>
      </c>
      <c r="K2599">
        <v>60002</v>
      </c>
      <c r="L2599">
        <v>2410</v>
      </c>
      <c r="M2599">
        <v>9</v>
      </c>
      <c r="N2599">
        <v>2</v>
      </c>
      <c r="O2599">
        <v>1</v>
      </c>
      <c r="P2599" t="s">
        <v>18</v>
      </c>
      <c r="Q2599">
        <v>4</v>
      </c>
      <c r="R2599">
        <v>0</v>
      </c>
      <c r="S2599" t="s">
        <v>21</v>
      </c>
      <c r="T2599">
        <v>2</v>
      </c>
      <c r="U2599">
        <v>0</v>
      </c>
    </row>
    <row r="2600" spans="1:21" x14ac:dyDescent="0.25">
      <c r="A2600" t="str">
        <f>"10757551"</f>
        <v>10757551</v>
      </c>
      <c r="B2600" t="s">
        <v>15</v>
      </c>
      <c r="C2600" s="1">
        <v>44055</v>
      </c>
      <c r="D2600" s="2">
        <f>YEAR(C2600)</f>
        <v>2020</v>
      </c>
      <c r="E2600">
        <v>275000</v>
      </c>
      <c r="F2600" t="s">
        <v>85</v>
      </c>
      <c r="G2600">
        <v>1950</v>
      </c>
      <c r="H2600">
        <v>40953</v>
      </c>
      <c r="I2600" t="s">
        <v>736</v>
      </c>
      <c r="J2600" t="str">
        <f>"2"</f>
        <v>2</v>
      </c>
      <c r="K2600">
        <v>60002</v>
      </c>
      <c r="L2600">
        <v>2411</v>
      </c>
      <c r="M2600">
        <v>8</v>
      </c>
      <c r="N2600">
        <v>1</v>
      </c>
      <c r="O2600">
        <v>1</v>
      </c>
      <c r="P2600" t="s">
        <v>18</v>
      </c>
      <c r="Q2600">
        <v>3</v>
      </c>
      <c r="R2600">
        <v>0</v>
      </c>
      <c r="S2600" t="s">
        <v>22</v>
      </c>
      <c r="T2600">
        <v>2</v>
      </c>
      <c r="U2600">
        <v>0</v>
      </c>
    </row>
    <row r="2601" spans="1:21" x14ac:dyDescent="0.25">
      <c r="A2601" t="str">
        <f>"10484695"</f>
        <v>10484695</v>
      </c>
      <c r="B2601" t="s">
        <v>15</v>
      </c>
      <c r="C2601" s="1">
        <v>43746</v>
      </c>
      <c r="D2601" s="2">
        <f>YEAR(C2601)</f>
        <v>2019</v>
      </c>
      <c r="E2601">
        <v>234500</v>
      </c>
      <c r="F2601" t="s">
        <v>85</v>
      </c>
      <c r="G2601">
        <v>2004</v>
      </c>
      <c r="H2601">
        <v>556</v>
      </c>
      <c r="I2601" t="s">
        <v>754</v>
      </c>
      <c r="J2601" t="str">
        <f>"2"</f>
        <v>2</v>
      </c>
      <c r="K2601">
        <v>60002</v>
      </c>
      <c r="L2601">
        <v>2417</v>
      </c>
      <c r="M2601">
        <v>9</v>
      </c>
      <c r="N2601">
        <v>3</v>
      </c>
      <c r="O2601">
        <v>1</v>
      </c>
      <c r="P2601" t="s">
        <v>79</v>
      </c>
      <c r="Q2601">
        <v>4</v>
      </c>
      <c r="R2601">
        <v>0</v>
      </c>
      <c r="S2601" t="s">
        <v>21</v>
      </c>
      <c r="T2601">
        <v>2</v>
      </c>
      <c r="U2601">
        <v>0</v>
      </c>
    </row>
    <row r="2602" spans="1:21" x14ac:dyDescent="0.25">
      <c r="A2602" t="str">
        <f>"10583919"</f>
        <v>10583919</v>
      </c>
      <c r="B2602" t="s">
        <v>15</v>
      </c>
      <c r="C2602" s="1">
        <v>43860</v>
      </c>
      <c r="D2602" s="2">
        <f>YEAR(C2602)</f>
        <v>2020</v>
      </c>
      <c r="E2602">
        <v>125000</v>
      </c>
      <c r="F2602" t="s">
        <v>85</v>
      </c>
      <c r="G2602">
        <v>2011</v>
      </c>
      <c r="H2602">
        <v>40629</v>
      </c>
      <c r="I2602" t="s">
        <v>859</v>
      </c>
      <c r="J2602" t="str">
        <f>"2"</f>
        <v>2</v>
      </c>
      <c r="K2602">
        <v>60002</v>
      </c>
      <c r="L2602">
        <v>2418</v>
      </c>
      <c r="M2602">
        <v>6</v>
      </c>
      <c r="N2602">
        <v>2</v>
      </c>
      <c r="O2602">
        <v>1</v>
      </c>
      <c r="P2602" t="s">
        <v>18</v>
      </c>
      <c r="Q2602">
        <v>3</v>
      </c>
      <c r="R2602">
        <v>0</v>
      </c>
      <c r="S2602" t="s">
        <v>21</v>
      </c>
      <c r="T2602">
        <v>4</v>
      </c>
      <c r="U2602">
        <v>0</v>
      </c>
    </row>
    <row r="2603" spans="1:21" x14ac:dyDescent="0.25">
      <c r="A2603" t="str">
        <f>"10121201"</f>
        <v>10121201</v>
      </c>
      <c r="B2603" t="s">
        <v>15</v>
      </c>
      <c r="C2603" s="1">
        <v>43477</v>
      </c>
      <c r="D2603" s="2">
        <f>YEAR(C2603)</f>
        <v>2019</v>
      </c>
      <c r="E2603">
        <v>202000</v>
      </c>
      <c r="F2603" t="s">
        <v>85</v>
      </c>
      <c r="G2603">
        <v>2005</v>
      </c>
      <c r="H2603">
        <v>983</v>
      </c>
      <c r="I2603" t="s">
        <v>761</v>
      </c>
      <c r="J2603" t="str">
        <f>"2"</f>
        <v>2</v>
      </c>
      <c r="K2603">
        <v>60002</v>
      </c>
      <c r="L2603">
        <v>2421</v>
      </c>
      <c r="M2603">
        <v>9</v>
      </c>
      <c r="N2603">
        <v>2</v>
      </c>
      <c r="O2603">
        <v>1</v>
      </c>
      <c r="P2603" t="s">
        <v>18</v>
      </c>
      <c r="Q2603">
        <v>4</v>
      </c>
      <c r="R2603">
        <v>0</v>
      </c>
      <c r="S2603" t="s">
        <v>21</v>
      </c>
      <c r="T2603">
        <v>2</v>
      </c>
      <c r="U2603">
        <v>0</v>
      </c>
    </row>
    <row r="2604" spans="1:21" x14ac:dyDescent="0.25">
      <c r="A2604" t="str">
        <f>"10668875"</f>
        <v>10668875</v>
      </c>
      <c r="B2604" t="s">
        <v>15</v>
      </c>
      <c r="C2604" s="1">
        <v>44000</v>
      </c>
      <c r="D2604" s="2">
        <f>YEAR(C2604)</f>
        <v>2020</v>
      </c>
      <c r="E2604">
        <v>370000</v>
      </c>
      <c r="F2604" t="s">
        <v>85</v>
      </c>
      <c r="G2604">
        <v>1965</v>
      </c>
      <c r="H2604">
        <v>39647</v>
      </c>
      <c r="I2604" t="s">
        <v>568</v>
      </c>
      <c r="J2604" t="str">
        <f>"2"</f>
        <v>2</v>
      </c>
      <c r="K2604">
        <v>60002</v>
      </c>
      <c r="L2604">
        <v>2428</v>
      </c>
      <c r="M2604">
        <v>8</v>
      </c>
      <c r="N2604">
        <v>2</v>
      </c>
      <c r="O2604">
        <v>0</v>
      </c>
      <c r="P2604" t="s">
        <v>18</v>
      </c>
      <c r="Q2604">
        <v>4</v>
      </c>
      <c r="R2604">
        <v>0</v>
      </c>
      <c r="S2604" t="s">
        <v>21</v>
      </c>
      <c r="T2604">
        <v>2</v>
      </c>
      <c r="U2604">
        <v>0</v>
      </c>
    </row>
    <row r="2605" spans="1:21" x14ac:dyDescent="0.25">
      <c r="A2605" t="str">
        <f>"10904858"</f>
        <v>10904858</v>
      </c>
      <c r="B2605" t="s">
        <v>15</v>
      </c>
      <c r="C2605" s="1">
        <v>44165</v>
      </c>
      <c r="D2605" s="2">
        <f>YEAR(C2605)</f>
        <v>2020</v>
      </c>
      <c r="E2605">
        <v>258000</v>
      </c>
      <c r="F2605" t="s">
        <v>85</v>
      </c>
      <c r="G2605">
        <v>2002</v>
      </c>
      <c r="H2605">
        <v>682</v>
      </c>
      <c r="I2605" t="s">
        <v>754</v>
      </c>
      <c r="J2605" t="str">
        <f>"2"</f>
        <v>2</v>
      </c>
      <c r="K2605">
        <v>60002</v>
      </c>
      <c r="L2605">
        <v>2430</v>
      </c>
      <c r="M2605">
        <v>8</v>
      </c>
      <c r="N2605">
        <v>2</v>
      </c>
      <c r="O2605">
        <v>1</v>
      </c>
      <c r="P2605" t="s">
        <v>18</v>
      </c>
      <c r="Q2605">
        <v>4</v>
      </c>
      <c r="R2605">
        <v>0</v>
      </c>
      <c r="S2605" t="s">
        <v>21</v>
      </c>
      <c r="T2605">
        <v>2</v>
      </c>
      <c r="U2605">
        <v>0</v>
      </c>
    </row>
    <row r="2606" spans="1:21" x14ac:dyDescent="0.25">
      <c r="A2606" t="str">
        <f>"10337509"</f>
        <v>10337509</v>
      </c>
      <c r="B2606" t="s">
        <v>15</v>
      </c>
      <c r="C2606" s="1">
        <v>43606</v>
      </c>
      <c r="D2606" s="2">
        <f>YEAR(C2606)</f>
        <v>2019</v>
      </c>
      <c r="E2606">
        <v>210000</v>
      </c>
      <c r="F2606" t="s">
        <v>85</v>
      </c>
      <c r="G2606">
        <v>1965</v>
      </c>
      <c r="H2606">
        <v>26639</v>
      </c>
      <c r="I2606" t="s">
        <v>860</v>
      </c>
      <c r="J2606" t="str">
        <f>"2"</f>
        <v>2</v>
      </c>
      <c r="K2606">
        <v>60002</v>
      </c>
      <c r="L2606">
        <v>2430</v>
      </c>
      <c r="M2606">
        <v>8</v>
      </c>
      <c r="N2606">
        <v>2</v>
      </c>
      <c r="O2606">
        <v>0</v>
      </c>
      <c r="P2606" t="s">
        <v>79</v>
      </c>
      <c r="Q2606">
        <v>4</v>
      </c>
      <c r="R2606">
        <v>0</v>
      </c>
      <c r="S2606" t="s">
        <v>22</v>
      </c>
      <c r="T2606">
        <v>2</v>
      </c>
      <c r="U2606">
        <v>0</v>
      </c>
    </row>
    <row r="2607" spans="1:21" x14ac:dyDescent="0.25">
      <c r="A2607" t="str">
        <f>"10136186"</f>
        <v>10136186</v>
      </c>
      <c r="B2607" t="s">
        <v>15</v>
      </c>
      <c r="C2607" s="1">
        <v>43496</v>
      </c>
      <c r="D2607" s="2">
        <f>YEAR(C2607)</f>
        <v>2019</v>
      </c>
      <c r="E2607">
        <v>240990</v>
      </c>
      <c r="F2607" t="s">
        <v>85</v>
      </c>
      <c r="G2607">
        <v>2018</v>
      </c>
      <c r="H2607">
        <v>908</v>
      </c>
      <c r="I2607" t="s">
        <v>777</v>
      </c>
      <c r="J2607" t="str">
        <f>"2"</f>
        <v>2</v>
      </c>
      <c r="K2607">
        <v>60002</v>
      </c>
      <c r="L2607">
        <v>2434</v>
      </c>
      <c r="M2607">
        <v>8</v>
      </c>
      <c r="N2607">
        <v>2</v>
      </c>
      <c r="O2607">
        <v>1</v>
      </c>
      <c r="P2607" t="s">
        <v>18</v>
      </c>
      <c r="Q2607">
        <v>3</v>
      </c>
      <c r="R2607">
        <v>0</v>
      </c>
      <c r="S2607" t="s">
        <v>21</v>
      </c>
      <c r="T2607">
        <v>2</v>
      </c>
      <c r="U2607">
        <v>0</v>
      </c>
    </row>
    <row r="2608" spans="1:21" x14ac:dyDescent="0.25">
      <c r="A2608" t="str">
        <f>"10136126"</f>
        <v>10136126</v>
      </c>
      <c r="B2608" t="s">
        <v>15</v>
      </c>
      <c r="C2608" s="1">
        <v>43496</v>
      </c>
      <c r="D2608" s="2">
        <f>YEAR(C2608)</f>
        <v>2019</v>
      </c>
      <c r="E2608">
        <v>245000</v>
      </c>
      <c r="F2608" t="s">
        <v>85</v>
      </c>
      <c r="G2608">
        <v>2018</v>
      </c>
      <c r="H2608">
        <v>1679</v>
      </c>
      <c r="I2608" t="s">
        <v>838</v>
      </c>
      <c r="J2608" t="str">
        <f>"2"</f>
        <v>2</v>
      </c>
      <c r="K2608">
        <v>60002</v>
      </c>
      <c r="L2608">
        <v>2434</v>
      </c>
      <c r="M2608">
        <v>8</v>
      </c>
      <c r="N2608">
        <v>2</v>
      </c>
      <c r="O2608">
        <v>1</v>
      </c>
      <c r="P2608" t="s">
        <v>18</v>
      </c>
      <c r="Q2608">
        <v>3</v>
      </c>
      <c r="R2608">
        <v>0</v>
      </c>
      <c r="S2608" t="s">
        <v>21</v>
      </c>
      <c r="T2608">
        <v>2</v>
      </c>
      <c r="U2608">
        <v>0</v>
      </c>
    </row>
    <row r="2609" spans="1:21" x14ac:dyDescent="0.25">
      <c r="A2609" t="str">
        <f>"10136189"</f>
        <v>10136189</v>
      </c>
      <c r="B2609" t="s">
        <v>15</v>
      </c>
      <c r="C2609" s="1">
        <v>43521</v>
      </c>
      <c r="D2609" s="2">
        <f>YEAR(C2609)</f>
        <v>2019</v>
      </c>
      <c r="E2609">
        <v>250955</v>
      </c>
      <c r="F2609" t="s">
        <v>85</v>
      </c>
      <c r="G2609">
        <v>2018</v>
      </c>
      <c r="H2609">
        <v>883</v>
      </c>
      <c r="I2609" t="s">
        <v>777</v>
      </c>
      <c r="J2609" t="str">
        <f>"2"</f>
        <v>2</v>
      </c>
      <c r="K2609">
        <v>60002</v>
      </c>
      <c r="L2609">
        <v>2434</v>
      </c>
      <c r="M2609">
        <v>8</v>
      </c>
      <c r="N2609">
        <v>2</v>
      </c>
      <c r="O2609">
        <v>1</v>
      </c>
      <c r="P2609" t="s">
        <v>18</v>
      </c>
      <c r="Q2609">
        <v>3</v>
      </c>
      <c r="R2609">
        <v>0</v>
      </c>
      <c r="S2609" t="s">
        <v>21</v>
      </c>
      <c r="T2609">
        <v>2</v>
      </c>
      <c r="U2609">
        <v>0</v>
      </c>
    </row>
    <row r="2610" spans="1:21" x14ac:dyDescent="0.25">
      <c r="A2610" t="str">
        <f>"10848433"</f>
        <v>10848433</v>
      </c>
      <c r="B2610" t="s">
        <v>15</v>
      </c>
      <c r="C2610" s="1">
        <v>44125</v>
      </c>
      <c r="D2610" s="2">
        <f>YEAR(C2610)</f>
        <v>2020</v>
      </c>
      <c r="E2610">
        <v>270000</v>
      </c>
      <c r="F2610" t="s">
        <v>85</v>
      </c>
      <c r="G2610">
        <v>2007</v>
      </c>
      <c r="H2610">
        <v>1139</v>
      </c>
      <c r="I2610" t="s">
        <v>780</v>
      </c>
      <c r="J2610" t="str">
        <f>"2"</f>
        <v>2</v>
      </c>
      <c r="K2610">
        <v>60002</v>
      </c>
      <c r="L2610">
        <v>2448</v>
      </c>
      <c r="M2610">
        <v>9</v>
      </c>
      <c r="N2610">
        <v>2</v>
      </c>
      <c r="O2610">
        <v>1</v>
      </c>
      <c r="P2610" t="s">
        <v>18</v>
      </c>
      <c r="Q2610">
        <v>4</v>
      </c>
      <c r="R2610">
        <v>0</v>
      </c>
      <c r="S2610" t="s">
        <v>21</v>
      </c>
      <c r="T2610">
        <v>2</v>
      </c>
      <c r="U2610">
        <v>0</v>
      </c>
    </row>
    <row r="2611" spans="1:21" x14ac:dyDescent="0.25">
      <c r="A2611" t="str">
        <f>"10521489"</f>
        <v>10521489</v>
      </c>
      <c r="B2611" t="s">
        <v>15</v>
      </c>
      <c r="C2611" s="1">
        <v>43819</v>
      </c>
      <c r="D2611" s="2">
        <f>YEAR(C2611)</f>
        <v>2019</v>
      </c>
      <c r="E2611">
        <v>240000</v>
      </c>
      <c r="F2611" t="s">
        <v>85</v>
      </c>
      <c r="G2611">
        <v>1994</v>
      </c>
      <c r="H2611">
        <v>41042</v>
      </c>
      <c r="I2611" t="s">
        <v>819</v>
      </c>
      <c r="J2611" t="str">
        <f>"2"</f>
        <v>2</v>
      </c>
      <c r="K2611">
        <v>60002</v>
      </c>
      <c r="L2611">
        <v>2448</v>
      </c>
      <c r="M2611">
        <v>7</v>
      </c>
      <c r="N2611">
        <v>3</v>
      </c>
      <c r="O2611">
        <v>0</v>
      </c>
      <c r="P2611" t="s">
        <v>79</v>
      </c>
      <c r="Q2611">
        <v>3</v>
      </c>
      <c r="R2611">
        <v>0</v>
      </c>
      <c r="S2611" t="s">
        <v>21</v>
      </c>
      <c r="T2611">
        <v>2</v>
      </c>
      <c r="U2611">
        <v>0</v>
      </c>
    </row>
    <row r="2612" spans="1:21" x14ac:dyDescent="0.25">
      <c r="A2612" t="str">
        <f>"10480603"</f>
        <v>10480603</v>
      </c>
      <c r="B2612" t="s">
        <v>15</v>
      </c>
      <c r="C2612" s="1">
        <v>43756</v>
      </c>
      <c r="D2612" s="2">
        <f>YEAR(C2612)</f>
        <v>2019</v>
      </c>
      <c r="E2612">
        <v>294000</v>
      </c>
      <c r="F2612" t="s">
        <v>85</v>
      </c>
      <c r="G2612">
        <v>2002</v>
      </c>
      <c r="H2612">
        <v>929</v>
      </c>
      <c r="I2612" t="s">
        <v>625</v>
      </c>
      <c r="J2612" t="str">
        <f>"2"</f>
        <v>2</v>
      </c>
      <c r="K2612">
        <v>60002</v>
      </c>
      <c r="L2612">
        <v>2450</v>
      </c>
      <c r="M2612">
        <v>11</v>
      </c>
      <c r="N2612">
        <v>3</v>
      </c>
      <c r="O2612">
        <v>1</v>
      </c>
      <c r="P2612" t="s">
        <v>79</v>
      </c>
      <c r="Q2612">
        <v>5</v>
      </c>
      <c r="R2612">
        <v>0</v>
      </c>
      <c r="S2612" t="s">
        <v>21</v>
      </c>
      <c r="T2612">
        <v>3</v>
      </c>
      <c r="U2612">
        <v>0</v>
      </c>
    </row>
    <row r="2613" spans="1:21" x14ac:dyDescent="0.25">
      <c r="A2613" t="str">
        <f>"10656279"</f>
        <v>10656279</v>
      </c>
      <c r="B2613" t="s">
        <v>15</v>
      </c>
      <c r="C2613" s="1">
        <v>43983</v>
      </c>
      <c r="D2613" s="2">
        <f>YEAR(C2613)</f>
        <v>2020</v>
      </c>
      <c r="E2613">
        <v>345000</v>
      </c>
      <c r="F2613" t="s">
        <v>85</v>
      </c>
      <c r="G2613">
        <v>2003</v>
      </c>
      <c r="H2613">
        <v>868</v>
      </c>
      <c r="I2613" t="s">
        <v>829</v>
      </c>
      <c r="J2613" t="str">
        <f>"2"</f>
        <v>2</v>
      </c>
      <c r="K2613">
        <v>60002</v>
      </c>
      <c r="L2613">
        <v>2450</v>
      </c>
      <c r="M2613">
        <v>11</v>
      </c>
      <c r="N2613">
        <v>3</v>
      </c>
      <c r="O2613">
        <v>1</v>
      </c>
      <c r="P2613" t="s">
        <v>79</v>
      </c>
      <c r="Q2613">
        <v>4</v>
      </c>
      <c r="R2613">
        <v>0</v>
      </c>
      <c r="S2613" t="s">
        <v>21</v>
      </c>
      <c r="T2613">
        <v>3</v>
      </c>
      <c r="U2613">
        <v>0</v>
      </c>
    </row>
    <row r="2614" spans="1:21" x14ac:dyDescent="0.25">
      <c r="A2614" t="str">
        <f>"10722555"</f>
        <v>10722555</v>
      </c>
      <c r="B2614" t="s">
        <v>15</v>
      </c>
      <c r="C2614" s="1">
        <v>44004</v>
      </c>
      <c r="D2614" s="2">
        <f>YEAR(C2614)</f>
        <v>2020</v>
      </c>
      <c r="E2614">
        <v>600000</v>
      </c>
      <c r="F2614" t="s">
        <v>85</v>
      </c>
      <c r="G2614">
        <v>1971</v>
      </c>
      <c r="H2614">
        <v>1172</v>
      </c>
      <c r="I2614" t="s">
        <v>861</v>
      </c>
      <c r="J2614" t="str">
        <f>"2"</f>
        <v>2</v>
      </c>
      <c r="K2614">
        <v>60002</v>
      </c>
      <c r="L2614">
        <v>2456</v>
      </c>
      <c r="M2614">
        <v>7</v>
      </c>
      <c r="N2614">
        <v>2</v>
      </c>
      <c r="O2614">
        <v>1</v>
      </c>
      <c r="P2614" t="s">
        <v>18</v>
      </c>
      <c r="Q2614">
        <v>3</v>
      </c>
      <c r="R2614">
        <v>0</v>
      </c>
      <c r="S2614" t="s">
        <v>22</v>
      </c>
      <c r="T2614">
        <v>8</v>
      </c>
      <c r="U2614">
        <v>0</v>
      </c>
    </row>
    <row r="2615" spans="1:21" x14ac:dyDescent="0.25">
      <c r="A2615" t="str">
        <f>"10608020"</f>
        <v>10608020</v>
      </c>
      <c r="B2615" t="s">
        <v>15</v>
      </c>
      <c r="C2615" s="1">
        <v>43868</v>
      </c>
      <c r="D2615" s="2">
        <f>YEAR(C2615)</f>
        <v>2020</v>
      </c>
      <c r="E2615">
        <v>207900</v>
      </c>
      <c r="F2615" t="s">
        <v>85</v>
      </c>
      <c r="G2615">
        <v>1953</v>
      </c>
      <c r="H2615">
        <v>40913</v>
      </c>
      <c r="I2615" t="s">
        <v>862</v>
      </c>
      <c r="J2615" t="str">
        <f>"2"</f>
        <v>2</v>
      </c>
      <c r="K2615">
        <v>60002</v>
      </c>
      <c r="L2615">
        <v>2460</v>
      </c>
      <c r="M2615">
        <v>8</v>
      </c>
      <c r="N2615">
        <v>2</v>
      </c>
      <c r="O2615">
        <v>0</v>
      </c>
      <c r="P2615" t="s">
        <v>18</v>
      </c>
      <c r="Q2615">
        <v>3</v>
      </c>
      <c r="R2615">
        <v>0</v>
      </c>
      <c r="S2615" t="s">
        <v>21</v>
      </c>
      <c r="T2615">
        <v>2</v>
      </c>
      <c r="U2615">
        <v>0</v>
      </c>
    </row>
    <row r="2616" spans="1:21" x14ac:dyDescent="0.25">
      <c r="A2616" t="str">
        <f>"10006290"</f>
        <v>10006290</v>
      </c>
      <c r="B2616" t="s">
        <v>15</v>
      </c>
      <c r="C2616" s="1">
        <v>43601</v>
      </c>
      <c r="D2616" s="2">
        <f>YEAR(C2616)</f>
        <v>2019</v>
      </c>
      <c r="E2616">
        <v>294000</v>
      </c>
      <c r="F2616" t="s">
        <v>85</v>
      </c>
      <c r="G2616">
        <v>1998</v>
      </c>
      <c r="H2616">
        <v>916</v>
      </c>
      <c r="I2616" t="s">
        <v>863</v>
      </c>
      <c r="J2616" t="str">
        <f>"2"</f>
        <v>2</v>
      </c>
      <c r="K2616">
        <v>60002</v>
      </c>
      <c r="L2616">
        <v>2464</v>
      </c>
      <c r="M2616">
        <v>9</v>
      </c>
      <c r="N2616">
        <v>2</v>
      </c>
      <c r="O2616">
        <v>1</v>
      </c>
      <c r="P2616" t="s">
        <v>18</v>
      </c>
      <c r="Q2616">
        <v>4</v>
      </c>
      <c r="R2616">
        <v>0</v>
      </c>
      <c r="S2616" t="s">
        <v>21</v>
      </c>
      <c r="T2616">
        <v>3</v>
      </c>
      <c r="U2616">
        <v>0</v>
      </c>
    </row>
    <row r="2617" spans="1:21" x14ac:dyDescent="0.25">
      <c r="A2617" t="str">
        <f>"10330965"</f>
        <v>10330965</v>
      </c>
      <c r="B2617" t="s">
        <v>15</v>
      </c>
      <c r="C2617" s="1">
        <v>43602</v>
      </c>
      <c r="D2617" s="2">
        <f>YEAR(C2617)</f>
        <v>2019</v>
      </c>
      <c r="E2617">
        <v>278500</v>
      </c>
      <c r="F2617" t="s">
        <v>85</v>
      </c>
      <c r="G2617">
        <v>2003</v>
      </c>
      <c r="H2617">
        <v>26520</v>
      </c>
      <c r="I2617" t="s">
        <v>581</v>
      </c>
      <c r="J2617" t="str">
        <f>"2"</f>
        <v>2</v>
      </c>
      <c r="K2617">
        <v>60002</v>
      </c>
      <c r="L2617">
        <v>2464</v>
      </c>
      <c r="M2617">
        <v>10</v>
      </c>
      <c r="N2617">
        <v>2</v>
      </c>
      <c r="O2617">
        <v>1</v>
      </c>
      <c r="P2617" t="s">
        <v>18</v>
      </c>
      <c r="Q2617">
        <v>3</v>
      </c>
      <c r="R2617">
        <v>0</v>
      </c>
      <c r="S2617" t="s">
        <v>21</v>
      </c>
      <c r="T2617">
        <v>4.5</v>
      </c>
      <c r="U2617">
        <v>0</v>
      </c>
    </row>
    <row r="2618" spans="1:21" x14ac:dyDescent="0.25">
      <c r="A2618" t="str">
        <f>"10690561"</f>
        <v>10690561</v>
      </c>
      <c r="B2618" t="s">
        <v>15</v>
      </c>
      <c r="C2618" s="1">
        <v>44012</v>
      </c>
      <c r="D2618" s="2">
        <f>YEAR(C2618)</f>
        <v>2020</v>
      </c>
      <c r="E2618">
        <v>208000</v>
      </c>
      <c r="F2618" t="s">
        <v>85</v>
      </c>
      <c r="G2618">
        <v>2003</v>
      </c>
      <c r="H2618">
        <v>637</v>
      </c>
      <c r="I2618" t="s">
        <v>723</v>
      </c>
      <c r="J2618" t="str">
        <f>"2"</f>
        <v>2</v>
      </c>
      <c r="K2618">
        <v>60002</v>
      </c>
      <c r="L2618">
        <v>2472</v>
      </c>
      <c r="M2618">
        <v>11</v>
      </c>
      <c r="N2618">
        <v>2</v>
      </c>
      <c r="O2618">
        <v>1</v>
      </c>
      <c r="P2618" t="s">
        <v>18</v>
      </c>
      <c r="Q2618">
        <v>4</v>
      </c>
      <c r="R2618">
        <v>0</v>
      </c>
      <c r="S2618" t="s">
        <v>21</v>
      </c>
      <c r="T2618">
        <v>2</v>
      </c>
      <c r="U2618">
        <v>0</v>
      </c>
    </row>
    <row r="2619" spans="1:21" x14ac:dyDescent="0.25">
      <c r="A2619" t="str">
        <f>"10695130"</f>
        <v>10695130</v>
      </c>
      <c r="B2619" t="s">
        <v>15</v>
      </c>
      <c r="C2619" s="1">
        <v>44008</v>
      </c>
      <c r="D2619" s="2">
        <f>YEAR(C2619)</f>
        <v>2020</v>
      </c>
      <c r="E2619">
        <v>223000</v>
      </c>
      <c r="F2619" t="s">
        <v>85</v>
      </c>
      <c r="G2619">
        <v>1995</v>
      </c>
      <c r="H2619">
        <v>38830</v>
      </c>
      <c r="I2619" t="s">
        <v>593</v>
      </c>
      <c r="J2619" t="str">
        <f>"2"</f>
        <v>2</v>
      </c>
      <c r="K2619">
        <v>60002</v>
      </c>
      <c r="L2619">
        <v>2477</v>
      </c>
      <c r="M2619">
        <v>9</v>
      </c>
      <c r="N2619">
        <v>3</v>
      </c>
      <c r="O2619">
        <v>1</v>
      </c>
      <c r="P2619" t="s">
        <v>79</v>
      </c>
      <c r="Q2619">
        <v>3</v>
      </c>
      <c r="R2619">
        <v>1</v>
      </c>
      <c r="S2619" t="s">
        <v>21</v>
      </c>
      <c r="T2619">
        <v>2</v>
      </c>
      <c r="U2619">
        <v>0</v>
      </c>
    </row>
    <row r="2620" spans="1:21" x14ac:dyDescent="0.25">
      <c r="A2620" t="str">
        <f>"10891472"</f>
        <v>10891472</v>
      </c>
      <c r="B2620" t="s">
        <v>15</v>
      </c>
      <c r="C2620" s="1">
        <v>44154</v>
      </c>
      <c r="D2620" s="2">
        <f>YEAR(C2620)</f>
        <v>2020</v>
      </c>
      <c r="E2620">
        <v>253000</v>
      </c>
      <c r="F2620" t="s">
        <v>85</v>
      </c>
      <c r="G2620">
        <v>2006</v>
      </c>
      <c r="H2620">
        <v>1157</v>
      </c>
      <c r="I2620" t="s">
        <v>864</v>
      </c>
      <c r="J2620" t="str">
        <f>"2"</f>
        <v>2</v>
      </c>
      <c r="K2620">
        <v>60002</v>
      </c>
      <c r="L2620">
        <v>2486</v>
      </c>
      <c r="M2620">
        <v>10</v>
      </c>
      <c r="N2620">
        <v>2</v>
      </c>
      <c r="O2620">
        <v>1</v>
      </c>
      <c r="P2620" t="s">
        <v>18</v>
      </c>
      <c r="Q2620">
        <v>4</v>
      </c>
      <c r="R2620">
        <v>0</v>
      </c>
      <c r="S2620" t="s">
        <v>21</v>
      </c>
      <c r="T2620">
        <v>2</v>
      </c>
      <c r="U2620">
        <v>0</v>
      </c>
    </row>
    <row r="2621" spans="1:21" x14ac:dyDescent="0.25">
      <c r="A2621" t="str">
        <f>"10318959"</f>
        <v>10318959</v>
      </c>
      <c r="B2621" t="s">
        <v>15</v>
      </c>
      <c r="C2621" s="1">
        <v>43606</v>
      </c>
      <c r="D2621" s="2">
        <f>YEAR(C2621)</f>
        <v>2019</v>
      </c>
      <c r="E2621">
        <v>250000</v>
      </c>
      <c r="F2621" t="s">
        <v>85</v>
      </c>
      <c r="G2621">
        <v>1991</v>
      </c>
      <c r="H2621">
        <v>22214</v>
      </c>
      <c r="I2621" t="s">
        <v>663</v>
      </c>
      <c r="J2621" t="str">
        <f>"2"</f>
        <v>2</v>
      </c>
      <c r="K2621">
        <v>60002</v>
      </c>
      <c r="L2621">
        <v>2491</v>
      </c>
      <c r="M2621">
        <v>10</v>
      </c>
      <c r="N2621">
        <v>2</v>
      </c>
      <c r="O2621">
        <v>1</v>
      </c>
      <c r="P2621" t="s">
        <v>18</v>
      </c>
      <c r="Q2621">
        <v>3</v>
      </c>
      <c r="R2621">
        <v>1</v>
      </c>
      <c r="S2621" t="s">
        <v>21</v>
      </c>
      <c r="T2621">
        <v>2</v>
      </c>
      <c r="U2621">
        <v>0</v>
      </c>
    </row>
    <row r="2622" spans="1:21" x14ac:dyDescent="0.25">
      <c r="A2622" t="str">
        <f>"10656469"</f>
        <v>10656469</v>
      </c>
      <c r="B2622" t="s">
        <v>15</v>
      </c>
      <c r="C2622" s="1">
        <v>44015</v>
      </c>
      <c r="D2622" s="2">
        <f>YEAR(C2622)</f>
        <v>2020</v>
      </c>
      <c r="E2622">
        <v>350000</v>
      </c>
      <c r="F2622" t="s">
        <v>85</v>
      </c>
      <c r="G2622">
        <v>1950</v>
      </c>
      <c r="H2622">
        <v>201</v>
      </c>
      <c r="I2622" t="s">
        <v>637</v>
      </c>
      <c r="J2622" t="str">
        <f>"2"</f>
        <v>2</v>
      </c>
      <c r="K2622">
        <v>60002</v>
      </c>
      <c r="L2622">
        <v>2496</v>
      </c>
      <c r="M2622">
        <v>7</v>
      </c>
      <c r="N2622">
        <v>2</v>
      </c>
      <c r="O2622">
        <v>0</v>
      </c>
      <c r="P2622" t="s">
        <v>18</v>
      </c>
      <c r="Q2622">
        <v>3</v>
      </c>
      <c r="R2622">
        <v>0</v>
      </c>
      <c r="S2622" t="s">
        <v>22</v>
      </c>
      <c r="T2622">
        <v>2</v>
      </c>
      <c r="U2622">
        <v>0</v>
      </c>
    </row>
    <row r="2623" spans="1:21" x14ac:dyDescent="0.25">
      <c r="A2623" t="str">
        <f>"10898314"</f>
        <v>10898314</v>
      </c>
      <c r="B2623" t="s">
        <v>15</v>
      </c>
      <c r="C2623" s="1">
        <v>44165</v>
      </c>
      <c r="D2623" s="2">
        <f>YEAR(C2623)</f>
        <v>2020</v>
      </c>
      <c r="E2623">
        <v>445000</v>
      </c>
      <c r="F2623" t="s">
        <v>85</v>
      </c>
      <c r="G2623">
        <v>2010</v>
      </c>
      <c r="H2623">
        <v>26089</v>
      </c>
      <c r="I2623" t="s">
        <v>704</v>
      </c>
      <c r="J2623" t="str">
        <f>"2"</f>
        <v>2</v>
      </c>
      <c r="K2623">
        <v>60002</v>
      </c>
      <c r="L2623">
        <v>2496</v>
      </c>
      <c r="M2623">
        <v>5</v>
      </c>
      <c r="N2623">
        <v>2</v>
      </c>
      <c r="O2623">
        <v>1</v>
      </c>
      <c r="P2623" t="s">
        <v>18</v>
      </c>
      <c r="Q2623">
        <v>3</v>
      </c>
      <c r="R2623">
        <v>0</v>
      </c>
      <c r="S2623" t="s">
        <v>22</v>
      </c>
      <c r="T2623">
        <v>2</v>
      </c>
      <c r="U2623">
        <v>0</v>
      </c>
    </row>
    <row r="2624" spans="1:21" x14ac:dyDescent="0.25">
      <c r="A2624" t="str">
        <f>"10697018"</f>
        <v>10697018</v>
      </c>
      <c r="B2624" t="s">
        <v>15</v>
      </c>
      <c r="C2624" s="1">
        <v>44067</v>
      </c>
      <c r="D2624" s="2">
        <f>YEAR(C2624)</f>
        <v>2020</v>
      </c>
      <c r="E2624">
        <v>354500</v>
      </c>
      <c r="F2624" t="s">
        <v>85</v>
      </c>
      <c r="G2624">
        <v>2002</v>
      </c>
      <c r="H2624">
        <v>40334</v>
      </c>
      <c r="I2624" t="s">
        <v>457</v>
      </c>
      <c r="J2624" t="str">
        <f>"2"</f>
        <v>2</v>
      </c>
      <c r="K2624">
        <v>60002</v>
      </c>
      <c r="L2624">
        <v>2496</v>
      </c>
      <c r="M2624">
        <v>8</v>
      </c>
      <c r="N2624">
        <v>3</v>
      </c>
      <c r="O2624">
        <v>1</v>
      </c>
      <c r="P2624" t="s">
        <v>79</v>
      </c>
      <c r="Q2624">
        <v>4</v>
      </c>
      <c r="R2624">
        <v>0</v>
      </c>
      <c r="S2624" t="s">
        <v>21</v>
      </c>
      <c r="T2624">
        <v>3</v>
      </c>
      <c r="U2624">
        <v>0</v>
      </c>
    </row>
    <row r="2625" spans="1:21" x14ac:dyDescent="0.25">
      <c r="A2625" t="str">
        <f>"10700707"</f>
        <v>10700707</v>
      </c>
      <c r="B2625" t="s">
        <v>15</v>
      </c>
      <c r="C2625" s="1">
        <v>44014</v>
      </c>
      <c r="D2625" s="2">
        <f>YEAR(C2625)</f>
        <v>2020</v>
      </c>
      <c r="E2625">
        <v>284000</v>
      </c>
      <c r="F2625" t="s">
        <v>85</v>
      </c>
      <c r="G2625">
        <v>2018</v>
      </c>
      <c r="H2625">
        <v>1692</v>
      </c>
      <c r="I2625" t="s">
        <v>838</v>
      </c>
      <c r="J2625" t="str">
        <f>"2"</f>
        <v>2</v>
      </c>
      <c r="K2625">
        <v>60002</v>
      </c>
      <c r="L2625">
        <v>2500</v>
      </c>
      <c r="M2625">
        <v>8</v>
      </c>
      <c r="N2625">
        <v>2</v>
      </c>
      <c r="O2625">
        <v>1</v>
      </c>
      <c r="P2625" t="s">
        <v>18</v>
      </c>
      <c r="Q2625">
        <v>4</v>
      </c>
      <c r="R2625">
        <v>0</v>
      </c>
      <c r="S2625" t="s">
        <v>21</v>
      </c>
      <c r="T2625">
        <v>2.5</v>
      </c>
      <c r="U2625">
        <v>0</v>
      </c>
    </row>
    <row r="2626" spans="1:21" x14ac:dyDescent="0.25">
      <c r="A2626" t="str">
        <f>"10494135"</f>
        <v>10494135</v>
      </c>
      <c r="B2626" t="s">
        <v>15</v>
      </c>
      <c r="C2626" s="1">
        <v>43811</v>
      </c>
      <c r="D2626" s="2">
        <f>YEAR(C2626)</f>
        <v>2019</v>
      </c>
      <c r="E2626">
        <v>246000</v>
      </c>
      <c r="F2626" t="s">
        <v>85</v>
      </c>
      <c r="G2626">
        <v>1940</v>
      </c>
      <c r="H2626">
        <v>25120</v>
      </c>
      <c r="I2626" t="s">
        <v>568</v>
      </c>
      <c r="J2626" t="str">
        <f>"2"</f>
        <v>2</v>
      </c>
      <c r="K2626">
        <v>60002</v>
      </c>
      <c r="L2626">
        <v>2500</v>
      </c>
      <c r="M2626">
        <v>13</v>
      </c>
      <c r="N2626">
        <v>2</v>
      </c>
      <c r="O2626">
        <v>0</v>
      </c>
      <c r="P2626" t="s">
        <v>18</v>
      </c>
      <c r="Q2626">
        <v>5</v>
      </c>
      <c r="R2626">
        <v>0</v>
      </c>
      <c r="S2626" t="s">
        <v>22</v>
      </c>
      <c r="T2626">
        <v>6</v>
      </c>
      <c r="U2626">
        <v>0</v>
      </c>
    </row>
    <row r="2627" spans="1:21" x14ac:dyDescent="0.25">
      <c r="A2627" t="str">
        <f>"10520510"</f>
        <v>10520510</v>
      </c>
      <c r="B2627" t="s">
        <v>15</v>
      </c>
      <c r="C2627" s="1">
        <v>43815</v>
      </c>
      <c r="D2627" s="2">
        <f>YEAR(C2627)</f>
        <v>2019</v>
      </c>
      <c r="E2627">
        <v>282000</v>
      </c>
      <c r="F2627" t="s">
        <v>85</v>
      </c>
      <c r="G2627">
        <v>2005</v>
      </c>
      <c r="H2627">
        <v>1189</v>
      </c>
      <c r="I2627" t="s">
        <v>865</v>
      </c>
      <c r="J2627" t="str">
        <f>"2"</f>
        <v>2</v>
      </c>
      <c r="K2627">
        <v>60002</v>
      </c>
      <c r="L2627">
        <v>2507</v>
      </c>
      <c r="M2627">
        <v>10</v>
      </c>
      <c r="N2627">
        <v>2</v>
      </c>
      <c r="O2627">
        <v>1</v>
      </c>
      <c r="P2627" t="s">
        <v>18</v>
      </c>
      <c r="Q2627">
        <v>4</v>
      </c>
      <c r="R2627">
        <v>0</v>
      </c>
      <c r="S2627" t="s">
        <v>21</v>
      </c>
      <c r="T2627">
        <v>3</v>
      </c>
      <c r="U2627">
        <v>0</v>
      </c>
    </row>
    <row r="2628" spans="1:21" x14ac:dyDescent="0.25">
      <c r="A2628" t="str">
        <f>"10514156"</f>
        <v>10514156</v>
      </c>
      <c r="B2628" t="s">
        <v>15</v>
      </c>
      <c r="C2628" s="1">
        <v>43727</v>
      </c>
      <c r="D2628" s="2">
        <f>YEAR(C2628)</f>
        <v>2019</v>
      </c>
      <c r="E2628">
        <v>262000</v>
      </c>
      <c r="F2628" t="s">
        <v>85</v>
      </c>
      <c r="G2628">
        <v>2003</v>
      </c>
      <c r="H2628">
        <v>564</v>
      </c>
      <c r="I2628" t="s">
        <v>115</v>
      </c>
      <c r="J2628" t="str">
        <f>"2"</f>
        <v>2</v>
      </c>
      <c r="K2628">
        <v>60002</v>
      </c>
      <c r="L2628">
        <v>2511</v>
      </c>
      <c r="M2628">
        <v>9</v>
      </c>
      <c r="N2628">
        <v>2</v>
      </c>
      <c r="O2628">
        <v>1</v>
      </c>
      <c r="P2628" t="s">
        <v>18</v>
      </c>
      <c r="Q2628">
        <v>4</v>
      </c>
      <c r="R2628">
        <v>0</v>
      </c>
      <c r="S2628" t="s">
        <v>21</v>
      </c>
      <c r="T2628">
        <v>3</v>
      </c>
      <c r="U2628">
        <v>0</v>
      </c>
    </row>
    <row r="2629" spans="1:21" x14ac:dyDescent="0.25">
      <c r="A2629" t="str">
        <f>"10635973"</f>
        <v>10635973</v>
      </c>
      <c r="B2629" t="s">
        <v>15</v>
      </c>
      <c r="C2629" s="1">
        <v>44050</v>
      </c>
      <c r="D2629" s="2">
        <f>YEAR(C2629)</f>
        <v>2020</v>
      </c>
      <c r="E2629">
        <v>228000</v>
      </c>
      <c r="F2629" t="s">
        <v>85</v>
      </c>
      <c r="G2629">
        <v>2005</v>
      </c>
      <c r="H2629">
        <v>1650</v>
      </c>
      <c r="I2629" t="s">
        <v>838</v>
      </c>
      <c r="J2629" t="str">
        <f>"2"</f>
        <v>2</v>
      </c>
      <c r="K2629">
        <v>60002</v>
      </c>
      <c r="L2629">
        <v>2518</v>
      </c>
      <c r="M2629">
        <v>9</v>
      </c>
      <c r="N2629">
        <v>2</v>
      </c>
      <c r="O2629">
        <v>1</v>
      </c>
      <c r="P2629" t="s">
        <v>18</v>
      </c>
      <c r="Q2629">
        <v>4</v>
      </c>
      <c r="R2629">
        <v>0</v>
      </c>
      <c r="S2629" t="s">
        <v>21</v>
      </c>
      <c r="T2629">
        <v>2</v>
      </c>
      <c r="U2629">
        <v>0</v>
      </c>
    </row>
    <row r="2630" spans="1:21" x14ac:dyDescent="0.25">
      <c r="A2630" t="str">
        <f>"10060772"</f>
        <v>10060772</v>
      </c>
      <c r="B2630" t="s">
        <v>15</v>
      </c>
      <c r="C2630" s="1">
        <v>43565</v>
      </c>
      <c r="D2630" s="2">
        <f>YEAR(C2630)</f>
        <v>2019</v>
      </c>
      <c r="E2630">
        <v>245000</v>
      </c>
      <c r="F2630" t="s">
        <v>85</v>
      </c>
      <c r="G2630">
        <v>1977</v>
      </c>
      <c r="H2630">
        <v>26086</v>
      </c>
      <c r="I2630" t="s">
        <v>170</v>
      </c>
      <c r="J2630" t="str">
        <f>"2"</f>
        <v>2</v>
      </c>
      <c r="K2630">
        <v>60002</v>
      </c>
      <c r="L2630">
        <v>2520</v>
      </c>
      <c r="M2630">
        <v>7</v>
      </c>
      <c r="N2630">
        <v>3</v>
      </c>
      <c r="O2630">
        <v>1</v>
      </c>
      <c r="P2630" t="s">
        <v>79</v>
      </c>
      <c r="Q2630">
        <v>3</v>
      </c>
      <c r="R2630">
        <v>0</v>
      </c>
      <c r="S2630" t="s">
        <v>21</v>
      </c>
      <c r="T2630">
        <v>2</v>
      </c>
      <c r="U2630">
        <v>0</v>
      </c>
    </row>
    <row r="2631" spans="1:21" x14ac:dyDescent="0.25">
      <c r="A2631" t="str">
        <f>"10323015"</f>
        <v>10323015</v>
      </c>
      <c r="B2631" t="s">
        <v>15</v>
      </c>
      <c r="C2631" s="1">
        <v>43615</v>
      </c>
      <c r="D2631" s="2">
        <f>YEAR(C2631)</f>
        <v>2019</v>
      </c>
      <c r="E2631">
        <v>240000</v>
      </c>
      <c r="F2631" t="s">
        <v>85</v>
      </c>
      <c r="G2631">
        <v>1997</v>
      </c>
      <c r="H2631">
        <v>24011</v>
      </c>
      <c r="I2631" t="s">
        <v>597</v>
      </c>
      <c r="J2631" t="str">
        <f>"2"</f>
        <v>2</v>
      </c>
      <c r="K2631">
        <v>60002</v>
      </c>
      <c r="L2631">
        <v>2525</v>
      </c>
      <c r="M2631">
        <v>8</v>
      </c>
      <c r="N2631">
        <v>2</v>
      </c>
      <c r="O2631">
        <v>2</v>
      </c>
      <c r="P2631" t="s">
        <v>79</v>
      </c>
      <c r="Q2631">
        <v>4</v>
      </c>
      <c r="R2631">
        <v>0</v>
      </c>
      <c r="S2631" t="s">
        <v>21</v>
      </c>
      <c r="T2631">
        <v>2</v>
      </c>
      <c r="U2631">
        <v>0</v>
      </c>
    </row>
    <row r="2632" spans="1:21" x14ac:dyDescent="0.25">
      <c r="A2632" t="str">
        <f>"10692627"</f>
        <v>10692627</v>
      </c>
      <c r="B2632" t="s">
        <v>15</v>
      </c>
      <c r="C2632" s="1">
        <v>44007</v>
      </c>
      <c r="D2632" s="2">
        <f>YEAR(C2632)</f>
        <v>2020</v>
      </c>
      <c r="E2632">
        <v>227500</v>
      </c>
      <c r="F2632" t="s">
        <v>85</v>
      </c>
      <c r="G2632">
        <v>2002</v>
      </c>
      <c r="H2632">
        <v>635</v>
      </c>
      <c r="I2632" t="s">
        <v>712</v>
      </c>
      <c r="J2632" t="str">
        <f>"2"</f>
        <v>2</v>
      </c>
      <c r="K2632">
        <v>60002</v>
      </c>
      <c r="L2632">
        <v>2530</v>
      </c>
      <c r="M2632">
        <v>8</v>
      </c>
      <c r="N2632">
        <v>2</v>
      </c>
      <c r="O2632">
        <v>1</v>
      </c>
      <c r="P2632" t="s">
        <v>18</v>
      </c>
      <c r="Q2632">
        <v>3</v>
      </c>
      <c r="R2632">
        <v>0</v>
      </c>
      <c r="S2632" t="s">
        <v>21</v>
      </c>
      <c r="T2632">
        <v>2</v>
      </c>
      <c r="U2632">
        <v>0</v>
      </c>
    </row>
    <row r="2633" spans="1:21" x14ac:dyDescent="0.25">
      <c r="A2633" t="str">
        <f>"10593869"</f>
        <v>10593869</v>
      </c>
      <c r="B2633" t="s">
        <v>15</v>
      </c>
      <c r="C2633" s="1">
        <v>43934</v>
      </c>
      <c r="D2633" s="2">
        <f>YEAR(C2633)</f>
        <v>2020</v>
      </c>
      <c r="E2633">
        <v>230000</v>
      </c>
      <c r="F2633" t="s">
        <v>85</v>
      </c>
      <c r="G2633">
        <v>2004</v>
      </c>
      <c r="H2633">
        <v>1662</v>
      </c>
      <c r="I2633" t="s">
        <v>810</v>
      </c>
      <c r="J2633" t="str">
        <f>"2"</f>
        <v>2</v>
      </c>
      <c r="K2633">
        <v>60002</v>
      </c>
      <c r="L2633">
        <v>2532</v>
      </c>
      <c r="M2633">
        <v>10</v>
      </c>
      <c r="N2633">
        <v>2</v>
      </c>
      <c r="O2633">
        <v>1</v>
      </c>
      <c r="P2633" t="s">
        <v>18</v>
      </c>
      <c r="Q2633">
        <v>4</v>
      </c>
      <c r="R2633">
        <v>0</v>
      </c>
      <c r="S2633" t="s">
        <v>21</v>
      </c>
      <c r="T2633">
        <v>2</v>
      </c>
      <c r="U2633">
        <v>0</v>
      </c>
    </row>
    <row r="2634" spans="1:21" x14ac:dyDescent="0.25">
      <c r="A2634" t="str">
        <f>"10292550"</f>
        <v>10292550</v>
      </c>
      <c r="B2634" t="s">
        <v>15</v>
      </c>
      <c r="C2634" s="1">
        <v>43615</v>
      </c>
      <c r="D2634" s="2">
        <f>YEAR(C2634)</f>
        <v>2019</v>
      </c>
      <c r="E2634">
        <v>216000</v>
      </c>
      <c r="F2634" t="s">
        <v>85</v>
      </c>
      <c r="G2634">
        <v>1988</v>
      </c>
      <c r="H2634">
        <v>914</v>
      </c>
      <c r="I2634" t="s">
        <v>866</v>
      </c>
      <c r="J2634" t="str">
        <f>"2"</f>
        <v>2</v>
      </c>
      <c r="K2634">
        <v>60002</v>
      </c>
      <c r="L2634">
        <v>2536</v>
      </c>
      <c r="M2634">
        <v>8</v>
      </c>
      <c r="N2634">
        <v>2</v>
      </c>
      <c r="O2634">
        <v>1</v>
      </c>
      <c r="P2634" t="s">
        <v>18</v>
      </c>
      <c r="Q2634">
        <v>4</v>
      </c>
      <c r="R2634">
        <v>0</v>
      </c>
      <c r="S2634" t="s">
        <v>21</v>
      </c>
      <c r="T2634">
        <v>2</v>
      </c>
      <c r="U2634">
        <v>0</v>
      </c>
    </row>
    <row r="2635" spans="1:21" x14ac:dyDescent="0.25">
      <c r="A2635" t="str">
        <f>"10918023"</f>
        <v>10918023</v>
      </c>
      <c r="B2635" t="s">
        <v>15</v>
      </c>
      <c r="C2635" s="1">
        <v>44193</v>
      </c>
      <c r="D2635" s="2">
        <f>YEAR(C2635)</f>
        <v>2020</v>
      </c>
      <c r="E2635">
        <v>289000</v>
      </c>
      <c r="F2635" t="s">
        <v>85</v>
      </c>
      <c r="G2635">
        <v>1976</v>
      </c>
      <c r="H2635">
        <v>40985</v>
      </c>
      <c r="I2635" t="s">
        <v>762</v>
      </c>
      <c r="J2635" t="str">
        <f>"2"</f>
        <v>2</v>
      </c>
      <c r="K2635">
        <v>60002</v>
      </c>
      <c r="L2635">
        <v>2538</v>
      </c>
      <c r="M2635">
        <v>8</v>
      </c>
      <c r="N2635">
        <v>2</v>
      </c>
      <c r="O2635">
        <v>0</v>
      </c>
      <c r="P2635" t="s">
        <v>18</v>
      </c>
      <c r="Q2635">
        <v>4</v>
      </c>
      <c r="R2635">
        <v>0</v>
      </c>
      <c r="S2635" t="s">
        <v>21</v>
      </c>
      <c r="T2635">
        <v>2.5</v>
      </c>
      <c r="U2635">
        <v>0</v>
      </c>
    </row>
    <row r="2636" spans="1:21" x14ac:dyDescent="0.25">
      <c r="A2636" t="str">
        <f>"10857220"</f>
        <v>10857220</v>
      </c>
      <c r="B2636" t="s">
        <v>15</v>
      </c>
      <c r="C2636" s="1">
        <v>44138</v>
      </c>
      <c r="D2636" s="2">
        <f>YEAR(C2636)</f>
        <v>2020</v>
      </c>
      <c r="E2636">
        <v>252500</v>
      </c>
      <c r="F2636" t="s">
        <v>85</v>
      </c>
      <c r="G2636">
        <v>2002</v>
      </c>
      <c r="H2636">
        <v>661</v>
      </c>
      <c r="I2636" t="s">
        <v>754</v>
      </c>
      <c r="J2636" t="str">
        <f>"2"</f>
        <v>2</v>
      </c>
      <c r="K2636">
        <v>60002</v>
      </c>
      <c r="L2636">
        <v>2542</v>
      </c>
      <c r="M2636">
        <v>8</v>
      </c>
      <c r="N2636">
        <v>2</v>
      </c>
      <c r="O2636">
        <v>1</v>
      </c>
      <c r="P2636" t="s">
        <v>18</v>
      </c>
      <c r="Q2636">
        <v>4</v>
      </c>
      <c r="R2636">
        <v>0</v>
      </c>
      <c r="S2636" t="s">
        <v>21</v>
      </c>
      <c r="T2636">
        <v>2</v>
      </c>
      <c r="U2636">
        <v>0</v>
      </c>
    </row>
    <row r="2637" spans="1:21" x14ac:dyDescent="0.25">
      <c r="A2637" t="str">
        <f>"10627698"</f>
        <v>10627698</v>
      </c>
      <c r="B2637" t="s">
        <v>15</v>
      </c>
      <c r="C2637" s="1">
        <v>43917</v>
      </c>
      <c r="D2637" s="2">
        <f>YEAR(C2637)</f>
        <v>2020</v>
      </c>
      <c r="E2637">
        <v>314054</v>
      </c>
      <c r="F2637" t="s">
        <v>85</v>
      </c>
      <c r="G2637">
        <v>2005</v>
      </c>
      <c r="H2637">
        <v>1148</v>
      </c>
      <c r="I2637" t="s">
        <v>837</v>
      </c>
      <c r="J2637" t="str">
        <f>"2"</f>
        <v>2</v>
      </c>
      <c r="K2637">
        <v>60002</v>
      </c>
      <c r="L2637">
        <v>2546</v>
      </c>
      <c r="M2637">
        <v>11</v>
      </c>
      <c r="N2637">
        <v>3</v>
      </c>
      <c r="O2637">
        <v>1</v>
      </c>
      <c r="P2637" t="s">
        <v>79</v>
      </c>
      <c r="Q2637">
        <v>4</v>
      </c>
      <c r="R2637">
        <v>1</v>
      </c>
      <c r="S2637" t="s">
        <v>21</v>
      </c>
      <c r="T2637">
        <v>3</v>
      </c>
      <c r="U2637">
        <v>0</v>
      </c>
    </row>
    <row r="2638" spans="1:21" x14ac:dyDescent="0.25">
      <c r="A2638" t="str">
        <f>"10633273"</f>
        <v>10633273</v>
      </c>
      <c r="B2638" t="s">
        <v>15</v>
      </c>
      <c r="C2638" s="1">
        <v>43934</v>
      </c>
      <c r="D2638" s="2">
        <f>YEAR(C2638)</f>
        <v>2020</v>
      </c>
      <c r="E2638">
        <v>229900</v>
      </c>
      <c r="F2638" t="s">
        <v>85</v>
      </c>
      <c r="G2638">
        <v>1986</v>
      </c>
      <c r="H2638">
        <v>120</v>
      </c>
      <c r="I2638" t="s">
        <v>651</v>
      </c>
      <c r="J2638" t="str">
        <f>"2"</f>
        <v>2</v>
      </c>
      <c r="K2638">
        <v>60002</v>
      </c>
      <c r="L2638">
        <v>2548</v>
      </c>
      <c r="M2638">
        <v>11</v>
      </c>
      <c r="N2638">
        <v>2</v>
      </c>
      <c r="O2638">
        <v>1</v>
      </c>
      <c r="P2638" t="s">
        <v>79</v>
      </c>
      <c r="Q2638">
        <v>5</v>
      </c>
      <c r="R2638">
        <v>0</v>
      </c>
      <c r="S2638" t="s">
        <v>21</v>
      </c>
      <c r="T2638">
        <v>2</v>
      </c>
      <c r="U2638">
        <v>0</v>
      </c>
    </row>
    <row r="2639" spans="1:21" x14ac:dyDescent="0.25">
      <c r="A2639" t="str">
        <f>"10409731"</f>
        <v>10409731</v>
      </c>
      <c r="B2639" t="s">
        <v>15</v>
      </c>
      <c r="C2639" s="1">
        <v>43672</v>
      </c>
      <c r="D2639" s="2">
        <f>YEAR(C2639)</f>
        <v>2019</v>
      </c>
      <c r="E2639">
        <v>280000</v>
      </c>
      <c r="F2639" t="s">
        <v>85</v>
      </c>
      <c r="G2639">
        <v>2009</v>
      </c>
      <c r="H2639">
        <v>1055</v>
      </c>
      <c r="I2639" t="s">
        <v>830</v>
      </c>
      <c r="J2639" t="str">
        <f>"2"</f>
        <v>2</v>
      </c>
      <c r="K2639">
        <v>60002</v>
      </c>
      <c r="L2639">
        <v>2553</v>
      </c>
      <c r="M2639">
        <v>10</v>
      </c>
      <c r="N2639">
        <v>2</v>
      </c>
      <c r="O2639">
        <v>1</v>
      </c>
      <c r="P2639" t="s">
        <v>18</v>
      </c>
      <c r="Q2639">
        <v>4</v>
      </c>
      <c r="R2639">
        <v>0</v>
      </c>
      <c r="S2639" t="s">
        <v>21</v>
      </c>
      <c r="T2639">
        <v>2</v>
      </c>
      <c r="U2639">
        <v>0</v>
      </c>
    </row>
    <row r="2640" spans="1:21" x14ac:dyDescent="0.25">
      <c r="A2640" t="str">
        <f>"10274539"</f>
        <v>10274539</v>
      </c>
      <c r="B2640" t="s">
        <v>15</v>
      </c>
      <c r="C2640" s="1">
        <v>43578</v>
      </c>
      <c r="D2640" s="2">
        <f>YEAR(C2640)</f>
        <v>2019</v>
      </c>
      <c r="E2640">
        <v>270000</v>
      </c>
      <c r="F2640" t="s">
        <v>85</v>
      </c>
      <c r="G2640">
        <v>2005</v>
      </c>
      <c r="H2640">
        <v>1289</v>
      </c>
      <c r="I2640" t="s">
        <v>852</v>
      </c>
      <c r="J2640" t="str">
        <f>"2"</f>
        <v>2</v>
      </c>
      <c r="K2640">
        <v>60002</v>
      </c>
      <c r="L2640">
        <v>2554</v>
      </c>
      <c r="M2640">
        <v>13</v>
      </c>
      <c r="N2640">
        <v>2</v>
      </c>
      <c r="O2640">
        <v>1</v>
      </c>
      <c r="P2640" t="s">
        <v>18</v>
      </c>
      <c r="Q2640">
        <v>4</v>
      </c>
      <c r="R2640">
        <v>0</v>
      </c>
      <c r="S2640" t="s">
        <v>21</v>
      </c>
      <c r="T2640">
        <v>2</v>
      </c>
      <c r="U2640">
        <v>0</v>
      </c>
    </row>
    <row r="2641" spans="1:21" x14ac:dyDescent="0.25">
      <c r="A2641" t="str">
        <f>"10518027"</f>
        <v>10518027</v>
      </c>
      <c r="B2641" t="s">
        <v>15</v>
      </c>
      <c r="C2641" s="1">
        <v>43801</v>
      </c>
      <c r="D2641" s="2">
        <f>YEAR(C2641)</f>
        <v>2019</v>
      </c>
      <c r="E2641">
        <v>238750</v>
      </c>
      <c r="F2641" t="s">
        <v>85</v>
      </c>
      <c r="G2641">
        <v>1988</v>
      </c>
      <c r="H2641">
        <v>42611</v>
      </c>
      <c r="I2641" t="s">
        <v>624</v>
      </c>
      <c r="J2641" t="str">
        <f>"2"</f>
        <v>2</v>
      </c>
      <c r="K2641">
        <v>60002</v>
      </c>
      <c r="L2641">
        <v>2554</v>
      </c>
      <c r="M2641">
        <v>9</v>
      </c>
      <c r="N2641">
        <v>2</v>
      </c>
      <c r="O2641">
        <v>1</v>
      </c>
      <c r="P2641" t="s">
        <v>18</v>
      </c>
      <c r="Q2641">
        <v>4</v>
      </c>
      <c r="R2641">
        <v>0</v>
      </c>
      <c r="S2641" t="s">
        <v>21</v>
      </c>
      <c r="T2641">
        <v>4</v>
      </c>
      <c r="U2641">
        <v>0</v>
      </c>
    </row>
    <row r="2642" spans="1:21" x14ac:dyDescent="0.25">
      <c r="A2642" t="str">
        <f>"10786011"</f>
        <v>10786011</v>
      </c>
      <c r="B2642" t="s">
        <v>15</v>
      </c>
      <c r="C2642" s="1">
        <v>44076</v>
      </c>
      <c r="D2642" s="2">
        <f>YEAR(C2642)</f>
        <v>2020</v>
      </c>
      <c r="E2642">
        <v>270000</v>
      </c>
      <c r="F2642" t="s">
        <v>85</v>
      </c>
      <c r="G2642">
        <v>2006</v>
      </c>
      <c r="H2642">
        <v>628</v>
      </c>
      <c r="I2642" t="s">
        <v>844</v>
      </c>
      <c r="J2642" t="str">
        <f>"2"</f>
        <v>2</v>
      </c>
      <c r="K2642">
        <v>60002</v>
      </c>
      <c r="L2642">
        <v>2557</v>
      </c>
      <c r="M2642">
        <v>7</v>
      </c>
      <c r="N2642">
        <v>2</v>
      </c>
      <c r="O2642">
        <v>1</v>
      </c>
      <c r="P2642" t="s">
        <v>18</v>
      </c>
      <c r="Q2642">
        <v>4</v>
      </c>
      <c r="R2642">
        <v>0</v>
      </c>
      <c r="S2642" t="s">
        <v>21</v>
      </c>
      <c r="T2642">
        <v>2.5</v>
      </c>
      <c r="U2642">
        <v>0</v>
      </c>
    </row>
    <row r="2643" spans="1:21" x14ac:dyDescent="0.25">
      <c r="A2643" t="str">
        <f>"10063984"</f>
        <v>10063984</v>
      </c>
      <c r="B2643" t="s">
        <v>15</v>
      </c>
      <c r="C2643" s="1">
        <v>43602</v>
      </c>
      <c r="D2643" s="2">
        <f>YEAR(C2643)</f>
        <v>2019</v>
      </c>
      <c r="E2643">
        <v>280500</v>
      </c>
      <c r="F2643" t="s">
        <v>85</v>
      </c>
      <c r="G2643">
        <v>2002</v>
      </c>
      <c r="H2643">
        <v>865</v>
      </c>
      <c r="I2643" t="s">
        <v>783</v>
      </c>
      <c r="J2643" t="str">
        <f>"2"</f>
        <v>2</v>
      </c>
      <c r="K2643">
        <v>60002</v>
      </c>
      <c r="L2643">
        <v>2559</v>
      </c>
      <c r="M2643">
        <v>10</v>
      </c>
      <c r="N2643">
        <v>2</v>
      </c>
      <c r="O2643">
        <v>1</v>
      </c>
      <c r="P2643" t="s">
        <v>18</v>
      </c>
      <c r="Q2643">
        <v>4</v>
      </c>
      <c r="R2643">
        <v>1</v>
      </c>
      <c r="S2643" t="s">
        <v>21</v>
      </c>
      <c r="T2643">
        <v>3</v>
      </c>
      <c r="U2643">
        <v>0</v>
      </c>
    </row>
    <row r="2644" spans="1:21" x14ac:dyDescent="0.25">
      <c r="A2644" t="s">
        <v>868</v>
      </c>
      <c r="B2644" t="s">
        <v>15</v>
      </c>
      <c r="C2644" s="1">
        <v>43731</v>
      </c>
      <c r="D2644" s="2">
        <f>YEAR(C2644)</f>
        <v>2019</v>
      </c>
      <c r="E2644">
        <v>290000</v>
      </c>
      <c r="F2644" t="s">
        <v>548</v>
      </c>
      <c r="G2644">
        <v>1998</v>
      </c>
      <c r="H2644">
        <v>39854</v>
      </c>
      <c r="I2644" t="s">
        <v>104</v>
      </c>
      <c r="J2644" t="s">
        <v>600</v>
      </c>
      <c r="K2644">
        <v>60002</v>
      </c>
      <c r="L2644">
        <v>2560</v>
      </c>
      <c r="M2644">
        <v>7</v>
      </c>
      <c r="N2644">
        <v>3</v>
      </c>
      <c r="O2644">
        <v>0</v>
      </c>
      <c r="P2644" t="s">
        <v>18</v>
      </c>
      <c r="Q2644">
        <v>4</v>
      </c>
      <c r="R2644">
        <v>0</v>
      </c>
      <c r="S2644" t="s">
        <v>21</v>
      </c>
      <c r="T2644">
        <v>2</v>
      </c>
      <c r="U2644">
        <v>0</v>
      </c>
    </row>
    <row r="2645" spans="1:21" x14ac:dyDescent="0.25">
      <c r="A2645" t="str">
        <f>"10584308"</f>
        <v>10584308</v>
      </c>
      <c r="B2645" t="s">
        <v>15</v>
      </c>
      <c r="C2645" s="1">
        <v>43854</v>
      </c>
      <c r="D2645" s="2">
        <f>YEAR(C2645)</f>
        <v>2020</v>
      </c>
      <c r="E2645">
        <v>298000</v>
      </c>
      <c r="F2645" t="s">
        <v>85</v>
      </c>
      <c r="G2645">
        <v>2006</v>
      </c>
      <c r="H2645">
        <v>1822</v>
      </c>
      <c r="I2645" t="s">
        <v>858</v>
      </c>
      <c r="J2645" t="str">
        <f>"2"</f>
        <v>2</v>
      </c>
      <c r="K2645">
        <v>60002</v>
      </c>
      <c r="L2645">
        <v>2568</v>
      </c>
      <c r="M2645">
        <v>14</v>
      </c>
      <c r="N2645">
        <v>3</v>
      </c>
      <c r="O2645">
        <v>1</v>
      </c>
      <c r="P2645" t="s">
        <v>18</v>
      </c>
      <c r="Q2645">
        <v>4</v>
      </c>
      <c r="R2645">
        <v>2</v>
      </c>
      <c r="S2645" t="s">
        <v>21</v>
      </c>
      <c r="T2645">
        <v>2</v>
      </c>
      <c r="U2645">
        <v>0</v>
      </c>
    </row>
    <row r="2646" spans="1:21" x14ac:dyDescent="0.25">
      <c r="A2646" t="str">
        <f>"10446723"</f>
        <v>10446723</v>
      </c>
      <c r="B2646" t="s">
        <v>15</v>
      </c>
      <c r="C2646" s="1">
        <v>43705</v>
      </c>
      <c r="D2646" s="2">
        <f>YEAR(C2646)</f>
        <v>2019</v>
      </c>
      <c r="E2646">
        <v>240500</v>
      </c>
      <c r="F2646" t="s">
        <v>85</v>
      </c>
      <c r="G2646">
        <v>1945</v>
      </c>
      <c r="H2646">
        <v>25106</v>
      </c>
      <c r="I2646" t="s">
        <v>672</v>
      </c>
      <c r="J2646" t="str">
        <f>"2"</f>
        <v>2</v>
      </c>
      <c r="K2646">
        <v>60002</v>
      </c>
      <c r="L2646">
        <v>2569</v>
      </c>
      <c r="M2646">
        <v>8</v>
      </c>
      <c r="N2646">
        <v>2</v>
      </c>
      <c r="O2646">
        <v>1</v>
      </c>
      <c r="P2646" t="s">
        <v>18</v>
      </c>
      <c r="Q2646">
        <v>4</v>
      </c>
      <c r="R2646">
        <v>0</v>
      </c>
      <c r="S2646" t="s">
        <v>22</v>
      </c>
      <c r="T2646">
        <v>2</v>
      </c>
      <c r="U2646">
        <v>0</v>
      </c>
    </row>
    <row r="2647" spans="1:21" x14ac:dyDescent="0.25">
      <c r="A2647" t="str">
        <f>"10172192"</f>
        <v>10172192</v>
      </c>
      <c r="B2647" t="s">
        <v>15</v>
      </c>
      <c r="C2647" s="1">
        <v>43535</v>
      </c>
      <c r="D2647" s="2">
        <f>YEAR(C2647)</f>
        <v>2019</v>
      </c>
      <c r="E2647">
        <v>239900</v>
      </c>
      <c r="F2647" t="s">
        <v>85</v>
      </c>
      <c r="G2647">
        <v>2001</v>
      </c>
      <c r="H2647">
        <v>642</v>
      </c>
      <c r="I2647" t="s">
        <v>768</v>
      </c>
      <c r="J2647" t="str">
        <f>"2"</f>
        <v>2</v>
      </c>
      <c r="K2647">
        <v>60002</v>
      </c>
      <c r="L2647">
        <v>2571</v>
      </c>
      <c r="M2647">
        <v>10</v>
      </c>
      <c r="N2647">
        <v>2</v>
      </c>
      <c r="O2647">
        <v>1</v>
      </c>
      <c r="P2647" t="s">
        <v>18</v>
      </c>
      <c r="Q2647">
        <v>4</v>
      </c>
      <c r="R2647">
        <v>0</v>
      </c>
      <c r="S2647" t="s">
        <v>21</v>
      </c>
      <c r="T2647">
        <v>2</v>
      </c>
      <c r="U2647">
        <v>0</v>
      </c>
    </row>
    <row r="2648" spans="1:21" x14ac:dyDescent="0.25">
      <c r="A2648" t="str">
        <f>"10711415"</f>
        <v>10711415</v>
      </c>
      <c r="B2648" t="s">
        <v>15</v>
      </c>
      <c r="C2648" s="1">
        <v>44027</v>
      </c>
      <c r="D2648" s="2">
        <f>YEAR(C2648)</f>
        <v>2020</v>
      </c>
      <c r="E2648">
        <v>282000</v>
      </c>
      <c r="F2648" t="s">
        <v>85</v>
      </c>
      <c r="G2648">
        <v>2005</v>
      </c>
      <c r="H2648">
        <v>1014</v>
      </c>
      <c r="I2648" t="s">
        <v>869</v>
      </c>
      <c r="J2648" t="str">
        <f>"2"</f>
        <v>2</v>
      </c>
      <c r="K2648">
        <v>60002</v>
      </c>
      <c r="L2648">
        <v>2576</v>
      </c>
      <c r="M2648">
        <v>11</v>
      </c>
      <c r="N2648">
        <v>3</v>
      </c>
      <c r="O2648">
        <v>1</v>
      </c>
      <c r="P2648" t="s">
        <v>79</v>
      </c>
      <c r="Q2648">
        <v>4</v>
      </c>
      <c r="R2648">
        <v>1</v>
      </c>
      <c r="S2648" t="s">
        <v>21</v>
      </c>
      <c r="T2648">
        <v>2</v>
      </c>
      <c r="U2648">
        <v>0</v>
      </c>
    </row>
    <row r="2649" spans="1:21" x14ac:dyDescent="0.25">
      <c r="A2649" t="str">
        <f>"10166415"</f>
        <v>10166415</v>
      </c>
      <c r="B2649" t="s">
        <v>15</v>
      </c>
      <c r="C2649" s="1">
        <v>43586</v>
      </c>
      <c r="D2649" s="2">
        <f>YEAR(C2649)</f>
        <v>2019</v>
      </c>
      <c r="E2649">
        <v>272500</v>
      </c>
      <c r="F2649" t="s">
        <v>85</v>
      </c>
      <c r="G2649">
        <v>1998</v>
      </c>
      <c r="H2649">
        <v>659</v>
      </c>
      <c r="I2649" t="s">
        <v>110</v>
      </c>
      <c r="J2649" t="str">
        <f>"2"</f>
        <v>2</v>
      </c>
      <c r="K2649">
        <v>60002</v>
      </c>
      <c r="L2649">
        <v>2583</v>
      </c>
      <c r="M2649">
        <v>13</v>
      </c>
      <c r="N2649">
        <v>2</v>
      </c>
      <c r="O2649">
        <v>1</v>
      </c>
      <c r="P2649" t="s">
        <v>18</v>
      </c>
      <c r="Q2649">
        <v>5</v>
      </c>
      <c r="R2649">
        <v>0</v>
      </c>
      <c r="S2649" t="s">
        <v>21</v>
      </c>
      <c r="T2649">
        <v>3</v>
      </c>
      <c r="U2649">
        <v>0</v>
      </c>
    </row>
    <row r="2650" spans="1:21" x14ac:dyDescent="0.25">
      <c r="A2650" t="str">
        <f>"10265351"</f>
        <v>10265351</v>
      </c>
      <c r="B2650" t="s">
        <v>15</v>
      </c>
      <c r="C2650" s="1">
        <v>43588</v>
      </c>
      <c r="D2650" s="2">
        <f>YEAR(C2650)</f>
        <v>2019</v>
      </c>
      <c r="E2650">
        <v>247000</v>
      </c>
      <c r="F2650" t="s">
        <v>85</v>
      </c>
      <c r="G2650">
        <v>2005</v>
      </c>
      <c r="H2650">
        <v>1060</v>
      </c>
      <c r="I2650" t="s">
        <v>870</v>
      </c>
      <c r="J2650" t="str">
        <f>"2"</f>
        <v>2</v>
      </c>
      <c r="K2650">
        <v>60002</v>
      </c>
      <c r="L2650">
        <v>2585</v>
      </c>
      <c r="M2650">
        <v>11</v>
      </c>
      <c r="N2650">
        <v>2</v>
      </c>
      <c r="O2650">
        <v>1</v>
      </c>
      <c r="P2650" t="s">
        <v>18</v>
      </c>
      <c r="Q2650">
        <v>4</v>
      </c>
      <c r="R2650">
        <v>0</v>
      </c>
      <c r="S2650" t="s">
        <v>21</v>
      </c>
      <c r="T2650">
        <v>2</v>
      </c>
      <c r="U2650">
        <v>0</v>
      </c>
    </row>
    <row r="2651" spans="1:21" x14ac:dyDescent="0.25">
      <c r="A2651" t="str">
        <f>"10818141"</f>
        <v>10818141</v>
      </c>
      <c r="B2651" t="s">
        <v>15</v>
      </c>
      <c r="C2651" s="1">
        <v>44125</v>
      </c>
      <c r="D2651" s="2">
        <f>YEAR(C2651)</f>
        <v>2020</v>
      </c>
      <c r="E2651">
        <v>362500</v>
      </c>
      <c r="F2651" t="s">
        <v>85</v>
      </c>
      <c r="G2651">
        <v>1989</v>
      </c>
      <c r="H2651">
        <v>40289</v>
      </c>
      <c r="I2651" t="s">
        <v>871</v>
      </c>
      <c r="J2651" t="str">
        <f>"2"</f>
        <v>2</v>
      </c>
      <c r="K2651">
        <v>60002</v>
      </c>
      <c r="L2651">
        <v>2590</v>
      </c>
      <c r="M2651">
        <v>8</v>
      </c>
      <c r="N2651">
        <v>2</v>
      </c>
      <c r="O2651">
        <v>1</v>
      </c>
      <c r="P2651" t="s">
        <v>18</v>
      </c>
      <c r="Q2651">
        <v>4</v>
      </c>
      <c r="R2651">
        <v>0</v>
      </c>
      <c r="S2651" t="s">
        <v>21</v>
      </c>
      <c r="T2651">
        <v>3</v>
      </c>
      <c r="U2651">
        <v>0</v>
      </c>
    </row>
    <row r="2652" spans="1:21" x14ac:dyDescent="0.25">
      <c r="A2652" t="str">
        <f>"10368736"</f>
        <v>10368736</v>
      </c>
      <c r="B2652" t="s">
        <v>15</v>
      </c>
      <c r="C2652" s="1">
        <v>43678</v>
      </c>
      <c r="D2652" s="2">
        <f>YEAR(C2652)</f>
        <v>2019</v>
      </c>
      <c r="E2652">
        <v>252000</v>
      </c>
      <c r="F2652" t="s">
        <v>85</v>
      </c>
      <c r="G2652">
        <v>2004</v>
      </c>
      <c r="H2652">
        <v>1677</v>
      </c>
      <c r="I2652" t="s">
        <v>816</v>
      </c>
      <c r="J2652" t="str">
        <f>"2"</f>
        <v>2</v>
      </c>
      <c r="K2652">
        <v>60002</v>
      </c>
      <c r="L2652">
        <v>2593</v>
      </c>
      <c r="M2652">
        <v>9</v>
      </c>
      <c r="N2652">
        <v>2</v>
      </c>
      <c r="O2652">
        <v>1</v>
      </c>
      <c r="P2652" t="s">
        <v>18</v>
      </c>
      <c r="Q2652">
        <v>4</v>
      </c>
      <c r="R2652">
        <v>0</v>
      </c>
      <c r="S2652" t="s">
        <v>21</v>
      </c>
      <c r="T2652">
        <v>2</v>
      </c>
      <c r="U2652">
        <v>0</v>
      </c>
    </row>
    <row r="2653" spans="1:21" x14ac:dyDescent="0.25">
      <c r="A2653" t="str">
        <f>"10752762"</f>
        <v>10752762</v>
      </c>
      <c r="B2653" t="s">
        <v>15</v>
      </c>
      <c r="C2653" s="1">
        <v>44053</v>
      </c>
      <c r="D2653" s="2">
        <f>YEAR(C2653)</f>
        <v>2020</v>
      </c>
      <c r="E2653">
        <v>279000</v>
      </c>
      <c r="F2653" t="s">
        <v>85</v>
      </c>
      <c r="G2653">
        <v>1989</v>
      </c>
      <c r="H2653">
        <v>1121</v>
      </c>
      <c r="I2653" t="s">
        <v>207</v>
      </c>
      <c r="J2653" t="str">
        <f>"2"</f>
        <v>2</v>
      </c>
      <c r="K2653">
        <v>60002</v>
      </c>
      <c r="L2653">
        <v>2593</v>
      </c>
      <c r="M2653">
        <v>11</v>
      </c>
      <c r="N2653">
        <v>3</v>
      </c>
      <c r="O2653">
        <v>1</v>
      </c>
      <c r="P2653" t="s">
        <v>79</v>
      </c>
      <c r="Q2653">
        <v>4</v>
      </c>
      <c r="R2653">
        <v>0</v>
      </c>
      <c r="S2653" t="s">
        <v>21</v>
      </c>
      <c r="T2653">
        <v>3</v>
      </c>
      <c r="U2653">
        <v>0</v>
      </c>
    </row>
    <row r="2654" spans="1:21" x14ac:dyDescent="0.25">
      <c r="A2654" t="str">
        <f>"10760949"</f>
        <v>10760949</v>
      </c>
      <c r="B2654" t="s">
        <v>15</v>
      </c>
      <c r="C2654" s="1">
        <v>44060</v>
      </c>
      <c r="D2654" s="2">
        <f>YEAR(C2654)</f>
        <v>2020</v>
      </c>
      <c r="E2654">
        <v>274900</v>
      </c>
      <c r="F2654" t="s">
        <v>85</v>
      </c>
      <c r="G2654">
        <v>1996</v>
      </c>
      <c r="H2654">
        <v>564</v>
      </c>
      <c r="I2654" t="s">
        <v>792</v>
      </c>
      <c r="J2654" t="str">
        <f>"2"</f>
        <v>2</v>
      </c>
      <c r="K2654">
        <v>60002</v>
      </c>
      <c r="L2654">
        <v>2600</v>
      </c>
      <c r="M2654">
        <v>10</v>
      </c>
      <c r="N2654">
        <v>3</v>
      </c>
      <c r="O2654">
        <v>1</v>
      </c>
      <c r="P2654" t="s">
        <v>79</v>
      </c>
      <c r="Q2654">
        <v>3</v>
      </c>
      <c r="R2654">
        <v>0</v>
      </c>
      <c r="S2654" t="s">
        <v>21</v>
      </c>
      <c r="T2654">
        <v>2.5</v>
      </c>
      <c r="U2654">
        <v>0</v>
      </c>
    </row>
    <row r="2655" spans="1:21" x14ac:dyDescent="0.25">
      <c r="A2655" t="str">
        <f>"10530950"</f>
        <v>10530950</v>
      </c>
      <c r="B2655" t="s">
        <v>15</v>
      </c>
      <c r="C2655" s="1">
        <v>43868</v>
      </c>
      <c r="D2655" s="2">
        <f>YEAR(C2655)</f>
        <v>2020</v>
      </c>
      <c r="E2655">
        <v>213000</v>
      </c>
      <c r="F2655" t="s">
        <v>85</v>
      </c>
      <c r="G2655" t="s">
        <v>560</v>
      </c>
      <c r="H2655">
        <v>26582</v>
      </c>
      <c r="I2655" t="s">
        <v>687</v>
      </c>
      <c r="J2655" t="str">
        <f>"2"</f>
        <v>2</v>
      </c>
      <c r="K2655">
        <v>60002</v>
      </c>
      <c r="L2655">
        <v>2615</v>
      </c>
      <c r="M2655">
        <v>8</v>
      </c>
      <c r="N2655">
        <v>2</v>
      </c>
      <c r="O2655">
        <v>1</v>
      </c>
      <c r="P2655" t="s">
        <v>18</v>
      </c>
      <c r="Q2655">
        <v>3</v>
      </c>
      <c r="R2655">
        <v>0</v>
      </c>
      <c r="S2655" t="s">
        <v>22</v>
      </c>
      <c r="T2655">
        <v>2</v>
      </c>
      <c r="U2655">
        <v>0</v>
      </c>
    </row>
    <row r="2656" spans="1:21" x14ac:dyDescent="0.25">
      <c r="A2656" t="str">
        <f>"10170021"</f>
        <v>10170021</v>
      </c>
      <c r="B2656" t="s">
        <v>15</v>
      </c>
      <c r="C2656" s="1">
        <v>43532</v>
      </c>
      <c r="D2656" s="2">
        <f>YEAR(C2656)</f>
        <v>2019</v>
      </c>
      <c r="E2656">
        <v>320000</v>
      </c>
      <c r="F2656" t="s">
        <v>85</v>
      </c>
      <c r="G2656">
        <v>1989</v>
      </c>
      <c r="H2656">
        <v>41555</v>
      </c>
      <c r="I2656" t="s">
        <v>843</v>
      </c>
      <c r="J2656" t="str">
        <f>"2"</f>
        <v>2</v>
      </c>
      <c r="K2656">
        <v>60002</v>
      </c>
      <c r="L2656">
        <v>2617</v>
      </c>
      <c r="M2656">
        <v>8</v>
      </c>
      <c r="N2656">
        <v>2</v>
      </c>
      <c r="O2656">
        <v>0</v>
      </c>
      <c r="P2656" t="s">
        <v>18</v>
      </c>
      <c r="Q2656">
        <v>4</v>
      </c>
      <c r="R2656">
        <v>0</v>
      </c>
      <c r="S2656" t="s">
        <v>21</v>
      </c>
      <c r="T2656">
        <v>2</v>
      </c>
      <c r="U2656">
        <v>0</v>
      </c>
    </row>
    <row r="2657" spans="1:21" x14ac:dyDescent="0.25">
      <c r="A2657" t="s">
        <v>872</v>
      </c>
      <c r="B2657" t="s">
        <v>15</v>
      </c>
      <c r="C2657" s="1">
        <v>43922</v>
      </c>
      <c r="D2657" s="2">
        <f>YEAR(C2657)</f>
        <v>2020</v>
      </c>
      <c r="E2657">
        <v>191000</v>
      </c>
      <c r="F2657" t="s">
        <v>548</v>
      </c>
      <c r="G2657">
        <v>2006</v>
      </c>
      <c r="H2657">
        <v>1020</v>
      </c>
      <c r="I2657" t="s">
        <v>726</v>
      </c>
      <c r="J2657" t="s">
        <v>600</v>
      </c>
      <c r="K2657">
        <v>60002</v>
      </c>
      <c r="L2657">
        <v>2619</v>
      </c>
      <c r="M2657">
        <v>8</v>
      </c>
      <c r="N2657">
        <v>2</v>
      </c>
      <c r="O2657">
        <v>1</v>
      </c>
      <c r="P2657" t="s">
        <v>18</v>
      </c>
      <c r="Q2657">
        <v>3.5</v>
      </c>
      <c r="R2657">
        <v>1</v>
      </c>
      <c r="S2657" t="s">
        <v>21</v>
      </c>
      <c r="T2657">
        <v>2</v>
      </c>
      <c r="U2657">
        <v>0</v>
      </c>
    </row>
    <row r="2658" spans="1:21" x14ac:dyDescent="0.25">
      <c r="A2658" t="str">
        <f>"10153360"</f>
        <v>10153360</v>
      </c>
      <c r="B2658" t="s">
        <v>15</v>
      </c>
      <c r="C2658" s="1">
        <v>43510</v>
      </c>
      <c r="D2658" s="2">
        <f>YEAR(C2658)</f>
        <v>2019</v>
      </c>
      <c r="E2658">
        <v>175000</v>
      </c>
      <c r="F2658" t="s">
        <v>85</v>
      </c>
      <c r="G2658">
        <v>2004</v>
      </c>
      <c r="H2658">
        <v>324</v>
      </c>
      <c r="I2658" t="s">
        <v>848</v>
      </c>
      <c r="J2658" t="str">
        <f>"2"</f>
        <v>2</v>
      </c>
      <c r="K2658">
        <v>60002</v>
      </c>
      <c r="L2658">
        <v>2620</v>
      </c>
      <c r="M2658">
        <v>9</v>
      </c>
      <c r="N2658">
        <v>2</v>
      </c>
      <c r="O2658">
        <v>1</v>
      </c>
      <c r="P2658" t="s">
        <v>18</v>
      </c>
      <c r="Q2658">
        <v>4</v>
      </c>
      <c r="R2658">
        <v>0</v>
      </c>
      <c r="S2658" t="s">
        <v>21</v>
      </c>
      <c r="T2658">
        <v>2</v>
      </c>
      <c r="U2658">
        <v>0</v>
      </c>
    </row>
    <row r="2659" spans="1:21" x14ac:dyDescent="0.25">
      <c r="A2659" t="str">
        <f>"10848642"</f>
        <v>10848642</v>
      </c>
      <c r="B2659" t="s">
        <v>15</v>
      </c>
      <c r="C2659" s="1">
        <v>44127</v>
      </c>
      <c r="D2659" s="2">
        <f>YEAR(C2659)</f>
        <v>2020</v>
      </c>
      <c r="E2659">
        <v>253000</v>
      </c>
      <c r="F2659" t="s">
        <v>85</v>
      </c>
      <c r="G2659">
        <v>2004</v>
      </c>
      <c r="H2659">
        <v>324</v>
      </c>
      <c r="I2659" t="s">
        <v>848</v>
      </c>
      <c r="J2659" t="str">
        <f>"2"</f>
        <v>2</v>
      </c>
      <c r="K2659">
        <v>60002</v>
      </c>
      <c r="L2659">
        <v>2620</v>
      </c>
      <c r="M2659">
        <v>9</v>
      </c>
      <c r="N2659">
        <v>2</v>
      </c>
      <c r="O2659">
        <v>1</v>
      </c>
      <c r="P2659" t="s">
        <v>18</v>
      </c>
      <c r="Q2659">
        <v>4</v>
      </c>
      <c r="R2659">
        <v>0</v>
      </c>
      <c r="S2659" t="s">
        <v>21</v>
      </c>
      <c r="T2659">
        <v>2.7</v>
      </c>
      <c r="U2659">
        <v>0</v>
      </c>
    </row>
    <row r="2660" spans="1:21" x14ac:dyDescent="0.25">
      <c r="A2660" t="str">
        <f>"10388056"</f>
        <v>10388056</v>
      </c>
      <c r="B2660" t="s">
        <v>15</v>
      </c>
      <c r="C2660" s="1">
        <v>43678</v>
      </c>
      <c r="D2660" s="2">
        <f>YEAR(C2660)</f>
        <v>2019</v>
      </c>
      <c r="E2660">
        <v>365000</v>
      </c>
      <c r="F2660" t="s">
        <v>85</v>
      </c>
      <c r="G2660">
        <v>1992</v>
      </c>
      <c r="H2660">
        <v>42527</v>
      </c>
      <c r="I2660" t="s">
        <v>873</v>
      </c>
      <c r="J2660" t="str">
        <f>"2"</f>
        <v>2</v>
      </c>
      <c r="K2660">
        <v>60002</v>
      </c>
      <c r="L2660">
        <v>2626</v>
      </c>
      <c r="M2660">
        <v>8</v>
      </c>
      <c r="N2660">
        <v>3</v>
      </c>
      <c r="O2660">
        <v>0</v>
      </c>
      <c r="P2660" t="s">
        <v>18</v>
      </c>
      <c r="Q2660">
        <v>4</v>
      </c>
      <c r="R2660">
        <v>0</v>
      </c>
      <c r="S2660" t="s">
        <v>22</v>
      </c>
      <c r="T2660">
        <v>3</v>
      </c>
      <c r="U2660">
        <v>0</v>
      </c>
    </row>
    <row r="2661" spans="1:21" x14ac:dyDescent="0.25">
      <c r="A2661" t="str">
        <f>"10090440"</f>
        <v>10090440</v>
      </c>
      <c r="B2661" t="s">
        <v>15</v>
      </c>
      <c r="C2661" s="1">
        <v>43539</v>
      </c>
      <c r="D2661" s="2">
        <f>YEAR(C2661)</f>
        <v>2019</v>
      </c>
      <c r="E2661">
        <v>248000</v>
      </c>
      <c r="F2661" t="s">
        <v>85</v>
      </c>
      <c r="G2661">
        <v>1998</v>
      </c>
      <c r="H2661">
        <v>42138</v>
      </c>
      <c r="I2661" t="s">
        <v>661</v>
      </c>
      <c r="J2661" t="str">
        <f>"2"</f>
        <v>2</v>
      </c>
      <c r="K2661">
        <v>60002</v>
      </c>
      <c r="L2661">
        <v>2629</v>
      </c>
      <c r="M2661">
        <v>7</v>
      </c>
      <c r="N2661">
        <v>2</v>
      </c>
      <c r="O2661">
        <v>1</v>
      </c>
      <c r="P2661" t="s">
        <v>18</v>
      </c>
      <c r="Q2661">
        <v>4</v>
      </c>
      <c r="R2661">
        <v>0</v>
      </c>
      <c r="S2661" t="s">
        <v>21</v>
      </c>
      <c r="T2661">
        <v>2</v>
      </c>
      <c r="U2661">
        <v>0</v>
      </c>
    </row>
    <row r="2662" spans="1:21" x14ac:dyDescent="0.25">
      <c r="A2662" t="str">
        <f>"10668352"</f>
        <v>10668352</v>
      </c>
      <c r="B2662" t="s">
        <v>15</v>
      </c>
      <c r="C2662" s="1">
        <v>44057</v>
      </c>
      <c r="D2662" s="2">
        <f>YEAR(C2662)</f>
        <v>2020</v>
      </c>
      <c r="E2662">
        <v>380000</v>
      </c>
      <c r="F2662" t="s">
        <v>85</v>
      </c>
      <c r="G2662">
        <v>1998</v>
      </c>
      <c r="H2662">
        <v>42138</v>
      </c>
      <c r="I2662" t="s">
        <v>661</v>
      </c>
      <c r="J2662" t="str">
        <f>"2"</f>
        <v>2</v>
      </c>
      <c r="K2662">
        <v>60002</v>
      </c>
      <c r="L2662">
        <v>2629</v>
      </c>
      <c r="M2662">
        <v>7</v>
      </c>
      <c r="N2662">
        <v>2</v>
      </c>
      <c r="O2662">
        <v>1</v>
      </c>
      <c r="P2662" t="s">
        <v>18</v>
      </c>
      <c r="Q2662">
        <v>4</v>
      </c>
      <c r="R2662">
        <v>0</v>
      </c>
      <c r="S2662" t="s">
        <v>21</v>
      </c>
      <c r="T2662">
        <v>2</v>
      </c>
      <c r="U2662">
        <v>0</v>
      </c>
    </row>
    <row r="2663" spans="1:21" x14ac:dyDescent="0.25">
      <c r="A2663" t="str">
        <f>"10713152"</f>
        <v>10713152</v>
      </c>
      <c r="B2663" t="s">
        <v>15</v>
      </c>
      <c r="C2663" s="1">
        <v>44051</v>
      </c>
      <c r="D2663" s="2">
        <f>YEAR(C2663)</f>
        <v>2020</v>
      </c>
      <c r="E2663">
        <v>265000</v>
      </c>
      <c r="F2663" t="s">
        <v>85</v>
      </c>
      <c r="G2663">
        <v>1998</v>
      </c>
      <c r="H2663">
        <v>680</v>
      </c>
      <c r="I2663" t="s">
        <v>115</v>
      </c>
      <c r="J2663" t="str">
        <f>"2"</f>
        <v>2</v>
      </c>
      <c r="K2663">
        <v>60002</v>
      </c>
      <c r="L2663">
        <v>2630</v>
      </c>
      <c r="M2663">
        <v>12</v>
      </c>
      <c r="N2663">
        <v>3</v>
      </c>
      <c r="O2663">
        <v>1</v>
      </c>
      <c r="P2663" t="s">
        <v>79</v>
      </c>
      <c r="Q2663">
        <v>4</v>
      </c>
      <c r="R2663">
        <v>1</v>
      </c>
      <c r="S2663" t="s">
        <v>21</v>
      </c>
      <c r="T2663">
        <v>2</v>
      </c>
      <c r="U2663">
        <v>0</v>
      </c>
    </row>
    <row r="2664" spans="1:21" x14ac:dyDescent="0.25">
      <c r="A2664" t="str">
        <f>"10744299"</f>
        <v>10744299</v>
      </c>
      <c r="B2664" t="s">
        <v>15</v>
      </c>
      <c r="C2664" s="1">
        <v>44032</v>
      </c>
      <c r="D2664" s="2">
        <f>YEAR(C2664)</f>
        <v>2020</v>
      </c>
      <c r="E2664">
        <v>277500</v>
      </c>
      <c r="F2664" t="s">
        <v>85</v>
      </c>
      <c r="G2664">
        <v>2007</v>
      </c>
      <c r="H2664">
        <v>965</v>
      </c>
      <c r="I2664" t="s">
        <v>874</v>
      </c>
      <c r="J2664" t="str">
        <f>"2"</f>
        <v>2</v>
      </c>
      <c r="K2664">
        <v>60002</v>
      </c>
      <c r="L2664">
        <v>2632</v>
      </c>
      <c r="M2664">
        <v>11</v>
      </c>
      <c r="N2664">
        <v>2</v>
      </c>
      <c r="O2664">
        <v>1</v>
      </c>
      <c r="P2664" t="s">
        <v>18</v>
      </c>
      <c r="Q2664">
        <v>4</v>
      </c>
      <c r="R2664">
        <v>0</v>
      </c>
      <c r="S2664" t="s">
        <v>21</v>
      </c>
      <c r="T2664">
        <v>2</v>
      </c>
      <c r="U2664">
        <v>0</v>
      </c>
    </row>
    <row r="2665" spans="1:21" x14ac:dyDescent="0.25">
      <c r="A2665" t="str">
        <f>"10882333"</f>
        <v>10882333</v>
      </c>
      <c r="B2665" t="s">
        <v>15</v>
      </c>
      <c r="C2665" s="1">
        <v>44134</v>
      </c>
      <c r="D2665" s="2">
        <f>YEAR(C2665)</f>
        <v>2020</v>
      </c>
      <c r="E2665">
        <v>295000</v>
      </c>
      <c r="F2665" t="s">
        <v>85</v>
      </c>
      <c r="G2665">
        <v>1996</v>
      </c>
      <c r="H2665">
        <v>908</v>
      </c>
      <c r="I2665" t="s">
        <v>801</v>
      </c>
      <c r="J2665" t="str">
        <f>"2"</f>
        <v>2</v>
      </c>
      <c r="K2665">
        <v>60002</v>
      </c>
      <c r="L2665">
        <v>2640</v>
      </c>
      <c r="M2665">
        <v>8</v>
      </c>
      <c r="N2665">
        <v>3</v>
      </c>
      <c r="O2665">
        <v>1</v>
      </c>
      <c r="P2665" t="s">
        <v>79</v>
      </c>
      <c r="Q2665">
        <v>4</v>
      </c>
      <c r="R2665">
        <v>0</v>
      </c>
      <c r="S2665" t="s">
        <v>21</v>
      </c>
      <c r="T2665">
        <v>3</v>
      </c>
      <c r="U2665">
        <v>0</v>
      </c>
    </row>
    <row r="2666" spans="1:21" x14ac:dyDescent="0.25">
      <c r="A2666" t="str">
        <f>"10440999"</f>
        <v>10440999</v>
      </c>
      <c r="B2666" t="s">
        <v>15</v>
      </c>
      <c r="C2666" s="1">
        <v>43753</v>
      </c>
      <c r="D2666" s="2">
        <f>YEAR(C2666)</f>
        <v>2019</v>
      </c>
      <c r="E2666">
        <v>223900</v>
      </c>
      <c r="F2666" t="s">
        <v>85</v>
      </c>
      <c r="G2666">
        <v>2004</v>
      </c>
      <c r="H2666">
        <v>1265</v>
      </c>
      <c r="I2666" t="s">
        <v>875</v>
      </c>
      <c r="J2666" t="str">
        <f>"2"</f>
        <v>2</v>
      </c>
      <c r="K2666">
        <v>60002</v>
      </c>
      <c r="L2666">
        <v>2650</v>
      </c>
      <c r="M2666">
        <v>11</v>
      </c>
      <c r="N2666">
        <v>2</v>
      </c>
      <c r="O2666">
        <v>1</v>
      </c>
      <c r="P2666" t="s">
        <v>18</v>
      </c>
      <c r="Q2666">
        <v>4</v>
      </c>
      <c r="R2666">
        <v>0</v>
      </c>
      <c r="S2666" t="s">
        <v>21</v>
      </c>
      <c r="T2666">
        <v>2</v>
      </c>
      <c r="U2666">
        <v>0</v>
      </c>
    </row>
    <row r="2667" spans="1:21" x14ac:dyDescent="0.25">
      <c r="A2667" t="str">
        <f>"10622931"</f>
        <v>10622931</v>
      </c>
      <c r="B2667" t="s">
        <v>15</v>
      </c>
      <c r="C2667" s="1">
        <v>43936</v>
      </c>
      <c r="D2667" s="2">
        <f>YEAR(C2667)</f>
        <v>2020</v>
      </c>
      <c r="E2667">
        <v>229500</v>
      </c>
      <c r="F2667" t="s">
        <v>85</v>
      </c>
      <c r="G2667">
        <v>2002</v>
      </c>
      <c r="H2667">
        <v>71</v>
      </c>
      <c r="I2667" t="s">
        <v>682</v>
      </c>
      <c r="J2667" t="str">
        <f>"2"</f>
        <v>2</v>
      </c>
      <c r="K2667">
        <v>60002</v>
      </c>
      <c r="L2667">
        <v>2650</v>
      </c>
      <c r="M2667">
        <v>10</v>
      </c>
      <c r="N2667">
        <v>2</v>
      </c>
      <c r="O2667">
        <v>1</v>
      </c>
      <c r="P2667" t="s">
        <v>79</v>
      </c>
      <c r="Q2667">
        <v>3</v>
      </c>
      <c r="R2667">
        <v>0</v>
      </c>
      <c r="S2667" t="s">
        <v>21</v>
      </c>
      <c r="T2667">
        <v>2</v>
      </c>
      <c r="U2667">
        <v>0</v>
      </c>
    </row>
    <row r="2668" spans="1:21" x14ac:dyDescent="0.25">
      <c r="A2668" t="str">
        <f>"10574224"</f>
        <v>10574224</v>
      </c>
      <c r="B2668" t="s">
        <v>15</v>
      </c>
      <c r="C2668" s="1">
        <v>43882</v>
      </c>
      <c r="D2668" s="2">
        <f>YEAR(C2668)</f>
        <v>2020</v>
      </c>
      <c r="E2668">
        <v>275000</v>
      </c>
      <c r="F2668" t="s">
        <v>85</v>
      </c>
      <c r="G2668">
        <v>1988</v>
      </c>
      <c r="H2668">
        <v>40576</v>
      </c>
      <c r="I2668" t="s">
        <v>876</v>
      </c>
      <c r="J2668" t="str">
        <f>"2"</f>
        <v>2</v>
      </c>
      <c r="K2668">
        <v>60002</v>
      </c>
      <c r="L2668">
        <v>2650</v>
      </c>
      <c r="M2668">
        <v>9</v>
      </c>
      <c r="N2668">
        <v>3</v>
      </c>
      <c r="O2668">
        <v>0</v>
      </c>
      <c r="P2668" t="s">
        <v>79</v>
      </c>
      <c r="Q2668">
        <v>4</v>
      </c>
      <c r="R2668">
        <v>0</v>
      </c>
      <c r="S2668" t="s">
        <v>21</v>
      </c>
      <c r="T2668">
        <v>2</v>
      </c>
      <c r="U2668">
        <v>0</v>
      </c>
    </row>
    <row r="2669" spans="1:21" x14ac:dyDescent="0.25">
      <c r="A2669" t="str">
        <f>"10715523"</f>
        <v>10715523</v>
      </c>
      <c r="B2669" t="s">
        <v>15</v>
      </c>
      <c r="C2669" s="1">
        <v>44029</v>
      </c>
      <c r="D2669" s="2">
        <f>YEAR(C2669)</f>
        <v>2020</v>
      </c>
      <c r="E2669">
        <v>279900</v>
      </c>
      <c r="F2669" t="s">
        <v>85</v>
      </c>
      <c r="G2669">
        <v>2006</v>
      </c>
      <c r="H2669">
        <v>1181</v>
      </c>
      <c r="I2669" t="s">
        <v>877</v>
      </c>
      <c r="J2669" t="str">
        <f>"2"</f>
        <v>2</v>
      </c>
      <c r="K2669">
        <v>60002</v>
      </c>
      <c r="L2669">
        <v>2652</v>
      </c>
      <c r="M2669">
        <v>9</v>
      </c>
      <c r="N2669">
        <v>2</v>
      </c>
      <c r="O2669">
        <v>1</v>
      </c>
      <c r="P2669" t="s">
        <v>18</v>
      </c>
      <c r="Q2669">
        <v>4</v>
      </c>
      <c r="R2669">
        <v>0</v>
      </c>
      <c r="S2669" t="s">
        <v>21</v>
      </c>
      <c r="T2669">
        <v>2</v>
      </c>
      <c r="U2669">
        <v>0</v>
      </c>
    </row>
    <row r="2670" spans="1:21" x14ac:dyDescent="0.25">
      <c r="A2670" t="str">
        <f>"10603821"</f>
        <v>10603821</v>
      </c>
      <c r="B2670" t="s">
        <v>15</v>
      </c>
      <c r="C2670" s="1">
        <v>43971</v>
      </c>
      <c r="D2670" s="2">
        <f>YEAR(C2670)</f>
        <v>2020</v>
      </c>
      <c r="E2670">
        <v>268000</v>
      </c>
      <c r="F2670" t="s">
        <v>85</v>
      </c>
      <c r="G2670">
        <v>2005</v>
      </c>
      <c r="H2670">
        <v>1177</v>
      </c>
      <c r="I2670" t="s">
        <v>878</v>
      </c>
      <c r="J2670" t="str">
        <f>"2"</f>
        <v>2</v>
      </c>
      <c r="K2670">
        <v>60002</v>
      </c>
      <c r="L2670">
        <v>2658</v>
      </c>
      <c r="M2670">
        <v>9</v>
      </c>
      <c r="N2670">
        <v>2</v>
      </c>
      <c r="O2670">
        <v>1</v>
      </c>
      <c r="P2670" t="s">
        <v>18</v>
      </c>
      <c r="Q2670">
        <v>4</v>
      </c>
      <c r="R2670">
        <v>0</v>
      </c>
      <c r="S2670" t="s">
        <v>21</v>
      </c>
      <c r="T2670">
        <v>2</v>
      </c>
      <c r="U2670">
        <v>0</v>
      </c>
    </row>
    <row r="2671" spans="1:21" x14ac:dyDescent="0.25">
      <c r="A2671" t="str">
        <f>"10364899"</f>
        <v>10364899</v>
      </c>
      <c r="B2671" t="s">
        <v>15</v>
      </c>
      <c r="C2671" s="1">
        <v>43661</v>
      </c>
      <c r="D2671" s="2">
        <f>YEAR(C2671)</f>
        <v>2019</v>
      </c>
      <c r="E2671">
        <v>405000</v>
      </c>
      <c r="F2671" t="s">
        <v>85</v>
      </c>
      <c r="G2671">
        <v>2007</v>
      </c>
      <c r="H2671">
        <v>42460</v>
      </c>
      <c r="I2671" t="s">
        <v>843</v>
      </c>
      <c r="J2671" t="str">
        <f>"2"</f>
        <v>2</v>
      </c>
      <c r="K2671">
        <v>60002</v>
      </c>
      <c r="L2671">
        <v>2660</v>
      </c>
      <c r="M2671">
        <v>9</v>
      </c>
      <c r="N2671">
        <v>2</v>
      </c>
      <c r="O2671">
        <v>1</v>
      </c>
      <c r="P2671" t="s">
        <v>79</v>
      </c>
      <c r="Q2671">
        <v>4</v>
      </c>
      <c r="R2671">
        <v>0</v>
      </c>
      <c r="S2671" t="s">
        <v>19</v>
      </c>
      <c r="T2671">
        <v>0</v>
      </c>
      <c r="U2671">
        <v>0</v>
      </c>
    </row>
    <row r="2672" spans="1:21" x14ac:dyDescent="0.25">
      <c r="A2672" t="str">
        <f>"10101443"</f>
        <v>10101443</v>
      </c>
      <c r="B2672" t="s">
        <v>15</v>
      </c>
      <c r="C2672" s="1">
        <v>43502</v>
      </c>
      <c r="D2672" s="2">
        <f>YEAR(C2672)</f>
        <v>2019</v>
      </c>
      <c r="E2672">
        <v>450000</v>
      </c>
      <c r="F2672" t="s">
        <v>85</v>
      </c>
      <c r="G2672">
        <v>1991</v>
      </c>
      <c r="H2672">
        <v>26901</v>
      </c>
      <c r="I2672" t="s">
        <v>670</v>
      </c>
      <c r="J2672" t="str">
        <f>"2"</f>
        <v>2</v>
      </c>
      <c r="K2672">
        <v>60002</v>
      </c>
      <c r="L2672">
        <v>2670</v>
      </c>
      <c r="M2672">
        <v>7</v>
      </c>
      <c r="N2672">
        <v>2</v>
      </c>
      <c r="O2672">
        <v>0</v>
      </c>
      <c r="P2672" t="s">
        <v>18</v>
      </c>
      <c r="Q2672">
        <v>3</v>
      </c>
      <c r="R2672">
        <v>0</v>
      </c>
      <c r="S2672" t="s">
        <v>21</v>
      </c>
      <c r="T2672">
        <v>3</v>
      </c>
      <c r="U2672">
        <v>0</v>
      </c>
    </row>
    <row r="2673" spans="1:21" x14ac:dyDescent="0.25">
      <c r="A2673" t="str">
        <f>"10815914"</f>
        <v>10815914</v>
      </c>
      <c r="B2673" t="s">
        <v>15</v>
      </c>
      <c r="C2673" s="1">
        <v>44103</v>
      </c>
      <c r="D2673" s="2">
        <f>YEAR(C2673)</f>
        <v>2020</v>
      </c>
      <c r="E2673">
        <v>235000</v>
      </c>
      <c r="F2673" t="s">
        <v>85</v>
      </c>
      <c r="G2673">
        <v>1989</v>
      </c>
      <c r="H2673">
        <v>904</v>
      </c>
      <c r="I2673" t="s">
        <v>686</v>
      </c>
      <c r="J2673" t="str">
        <f>"2"</f>
        <v>2</v>
      </c>
      <c r="K2673">
        <v>60002</v>
      </c>
      <c r="L2673">
        <v>2672</v>
      </c>
      <c r="M2673">
        <v>8</v>
      </c>
      <c r="N2673">
        <v>2</v>
      </c>
      <c r="O2673">
        <v>1</v>
      </c>
      <c r="P2673" t="s">
        <v>18</v>
      </c>
      <c r="Q2673">
        <v>4</v>
      </c>
      <c r="R2673">
        <v>0</v>
      </c>
      <c r="S2673" t="s">
        <v>21</v>
      </c>
      <c r="T2673">
        <v>2</v>
      </c>
      <c r="U2673">
        <v>0</v>
      </c>
    </row>
    <row r="2674" spans="1:21" x14ac:dyDescent="0.25">
      <c r="A2674" t="str">
        <f>"10339379"</f>
        <v>10339379</v>
      </c>
      <c r="B2674" t="s">
        <v>15</v>
      </c>
      <c r="C2674" s="1">
        <v>43735</v>
      </c>
      <c r="D2674" s="2">
        <f>YEAR(C2674)</f>
        <v>2019</v>
      </c>
      <c r="E2674">
        <v>320000</v>
      </c>
      <c r="F2674" t="s">
        <v>85</v>
      </c>
      <c r="G2674">
        <v>1997</v>
      </c>
      <c r="H2674">
        <v>40783</v>
      </c>
      <c r="I2674" t="s">
        <v>842</v>
      </c>
      <c r="J2674" t="str">
        <f>"2"</f>
        <v>2</v>
      </c>
      <c r="K2674">
        <v>60002</v>
      </c>
      <c r="L2674">
        <v>2678</v>
      </c>
      <c r="M2674">
        <v>11</v>
      </c>
      <c r="N2674">
        <v>3</v>
      </c>
      <c r="O2674">
        <v>1</v>
      </c>
      <c r="P2674" t="s">
        <v>79</v>
      </c>
      <c r="Q2674">
        <v>4</v>
      </c>
      <c r="R2674">
        <v>0</v>
      </c>
      <c r="S2674" t="s">
        <v>21</v>
      </c>
      <c r="T2674">
        <v>3</v>
      </c>
      <c r="U2674">
        <v>0</v>
      </c>
    </row>
    <row r="2675" spans="1:21" x14ac:dyDescent="0.25">
      <c r="A2675" t="str">
        <f>"10555989"</f>
        <v>10555989</v>
      </c>
      <c r="B2675" t="s">
        <v>15</v>
      </c>
      <c r="C2675" s="1">
        <v>43936</v>
      </c>
      <c r="D2675" s="2">
        <f>YEAR(C2675)</f>
        <v>2020</v>
      </c>
      <c r="E2675">
        <v>220000</v>
      </c>
      <c r="F2675" t="s">
        <v>85</v>
      </c>
      <c r="G2675">
        <v>2004</v>
      </c>
      <c r="H2675">
        <v>662</v>
      </c>
      <c r="I2675" t="s">
        <v>847</v>
      </c>
      <c r="J2675" t="str">
        <f>"2"</f>
        <v>2</v>
      </c>
      <c r="K2675">
        <v>60002</v>
      </c>
      <c r="L2675">
        <v>2679</v>
      </c>
      <c r="M2675">
        <v>8</v>
      </c>
      <c r="N2675">
        <v>2</v>
      </c>
      <c r="O2675">
        <v>1</v>
      </c>
      <c r="P2675" t="s">
        <v>18</v>
      </c>
      <c r="Q2675">
        <v>3</v>
      </c>
      <c r="R2675">
        <v>0</v>
      </c>
      <c r="S2675" t="s">
        <v>21</v>
      </c>
      <c r="T2675">
        <v>2</v>
      </c>
      <c r="U2675">
        <v>0</v>
      </c>
    </row>
    <row r="2676" spans="1:21" x14ac:dyDescent="0.25">
      <c r="A2676" t="str">
        <f>"10686702"</f>
        <v>10686702</v>
      </c>
      <c r="B2676" t="s">
        <v>15</v>
      </c>
      <c r="C2676" s="1">
        <v>44053</v>
      </c>
      <c r="D2676" s="2">
        <f>YEAR(C2676)</f>
        <v>2020</v>
      </c>
      <c r="E2676">
        <v>184500</v>
      </c>
      <c r="F2676" t="s">
        <v>85</v>
      </c>
      <c r="G2676">
        <v>1978</v>
      </c>
      <c r="H2676">
        <v>183</v>
      </c>
      <c r="I2676" t="s">
        <v>158</v>
      </c>
      <c r="J2676" t="str">
        <f>"2"</f>
        <v>2</v>
      </c>
      <c r="K2676">
        <v>60002</v>
      </c>
      <c r="L2676">
        <v>2685</v>
      </c>
      <c r="M2676">
        <v>7</v>
      </c>
      <c r="N2676">
        <v>2</v>
      </c>
      <c r="O2676">
        <v>1</v>
      </c>
      <c r="P2676" t="s">
        <v>18</v>
      </c>
      <c r="Q2676">
        <v>3</v>
      </c>
      <c r="R2676">
        <v>0</v>
      </c>
      <c r="S2676" t="s">
        <v>21</v>
      </c>
      <c r="T2676">
        <v>2</v>
      </c>
      <c r="U2676">
        <v>0</v>
      </c>
    </row>
    <row r="2677" spans="1:21" x14ac:dyDescent="0.25">
      <c r="A2677" t="str">
        <f>"10723555"</f>
        <v>10723555</v>
      </c>
      <c r="B2677" t="s">
        <v>15</v>
      </c>
      <c r="C2677" s="1">
        <v>44034</v>
      </c>
      <c r="D2677" s="2">
        <f>YEAR(C2677)</f>
        <v>2020</v>
      </c>
      <c r="E2677">
        <v>290000</v>
      </c>
      <c r="F2677" t="s">
        <v>85</v>
      </c>
      <c r="G2677">
        <v>1950</v>
      </c>
      <c r="H2677">
        <v>26646</v>
      </c>
      <c r="I2677" t="s">
        <v>581</v>
      </c>
      <c r="J2677" t="str">
        <f>"2"</f>
        <v>2</v>
      </c>
      <c r="K2677">
        <v>60002</v>
      </c>
      <c r="L2677">
        <v>2693</v>
      </c>
      <c r="M2677">
        <v>8</v>
      </c>
      <c r="N2677">
        <v>2</v>
      </c>
      <c r="O2677">
        <v>0</v>
      </c>
      <c r="P2677" t="s">
        <v>18</v>
      </c>
      <c r="Q2677">
        <v>4</v>
      </c>
      <c r="R2677">
        <v>0</v>
      </c>
      <c r="S2677" t="s">
        <v>21</v>
      </c>
      <c r="T2677">
        <v>2</v>
      </c>
      <c r="U2677">
        <v>0</v>
      </c>
    </row>
    <row r="2678" spans="1:21" x14ac:dyDescent="0.25">
      <c r="A2678" t="str">
        <f>"10328560"</f>
        <v>10328560</v>
      </c>
      <c r="B2678" t="s">
        <v>15</v>
      </c>
      <c r="C2678" s="1">
        <v>43642</v>
      </c>
      <c r="D2678" s="2">
        <f>YEAR(C2678)</f>
        <v>2019</v>
      </c>
      <c r="E2678">
        <v>227500</v>
      </c>
      <c r="F2678" t="s">
        <v>85</v>
      </c>
      <c r="G2678">
        <v>1988</v>
      </c>
      <c r="H2678">
        <v>901</v>
      </c>
      <c r="I2678" t="s">
        <v>686</v>
      </c>
      <c r="J2678" t="str">
        <f>"2"</f>
        <v>2</v>
      </c>
      <c r="K2678">
        <v>60002</v>
      </c>
      <c r="L2678">
        <v>2694</v>
      </c>
      <c r="M2678">
        <v>10</v>
      </c>
      <c r="N2678">
        <v>2</v>
      </c>
      <c r="O2678">
        <v>1</v>
      </c>
      <c r="P2678" t="s">
        <v>18</v>
      </c>
      <c r="Q2678">
        <v>4</v>
      </c>
      <c r="R2678">
        <v>0</v>
      </c>
      <c r="S2678" t="s">
        <v>21</v>
      </c>
      <c r="T2678">
        <v>2</v>
      </c>
      <c r="U2678">
        <v>0</v>
      </c>
    </row>
    <row r="2679" spans="1:21" x14ac:dyDescent="0.25">
      <c r="A2679" t="str">
        <f>"10456819"</f>
        <v>10456819</v>
      </c>
      <c r="B2679" t="s">
        <v>15</v>
      </c>
      <c r="C2679" s="1">
        <v>43712</v>
      </c>
      <c r="D2679" s="2">
        <f>YEAR(C2679)</f>
        <v>2019</v>
      </c>
      <c r="E2679">
        <v>365000</v>
      </c>
      <c r="F2679" t="s">
        <v>85</v>
      </c>
      <c r="G2679">
        <v>1988</v>
      </c>
      <c r="H2679">
        <v>24580</v>
      </c>
      <c r="I2679" t="s">
        <v>879</v>
      </c>
      <c r="J2679" t="str">
        <f>"2"</f>
        <v>2</v>
      </c>
      <c r="K2679">
        <v>60002</v>
      </c>
      <c r="L2679">
        <v>2713</v>
      </c>
      <c r="M2679">
        <v>7</v>
      </c>
      <c r="N2679">
        <v>2</v>
      </c>
      <c r="O2679">
        <v>1</v>
      </c>
      <c r="P2679" t="s">
        <v>18</v>
      </c>
      <c r="Q2679">
        <v>3</v>
      </c>
      <c r="R2679">
        <v>0</v>
      </c>
      <c r="S2679" t="s">
        <v>21</v>
      </c>
      <c r="T2679">
        <v>2</v>
      </c>
      <c r="U2679">
        <v>0</v>
      </c>
    </row>
    <row r="2680" spans="1:21" x14ac:dyDescent="0.25">
      <c r="A2680" t="str">
        <f>"10601624"</f>
        <v>10601624</v>
      </c>
      <c r="B2680" t="s">
        <v>15</v>
      </c>
      <c r="C2680" s="1">
        <v>43931</v>
      </c>
      <c r="D2680" s="2">
        <f>YEAR(C2680)</f>
        <v>2020</v>
      </c>
      <c r="E2680">
        <v>250000</v>
      </c>
      <c r="F2680" t="s">
        <v>85</v>
      </c>
      <c r="G2680">
        <v>2005</v>
      </c>
      <c r="H2680">
        <v>1227</v>
      </c>
      <c r="I2680" t="s">
        <v>837</v>
      </c>
      <c r="J2680" t="str">
        <f>"2"</f>
        <v>2</v>
      </c>
      <c r="K2680">
        <v>60002</v>
      </c>
      <c r="L2680">
        <v>2714</v>
      </c>
      <c r="M2680">
        <v>9</v>
      </c>
      <c r="N2680">
        <v>2</v>
      </c>
      <c r="O2680">
        <v>1</v>
      </c>
      <c r="P2680" t="s">
        <v>18</v>
      </c>
      <c r="Q2680">
        <v>4</v>
      </c>
      <c r="R2680">
        <v>0</v>
      </c>
      <c r="S2680" t="s">
        <v>21</v>
      </c>
      <c r="T2680">
        <v>2</v>
      </c>
      <c r="U2680">
        <v>0</v>
      </c>
    </row>
    <row r="2681" spans="1:21" x14ac:dyDescent="0.25">
      <c r="A2681" t="str">
        <f>"10508973"</f>
        <v>10508973</v>
      </c>
      <c r="B2681" t="s">
        <v>15</v>
      </c>
      <c r="C2681" s="1">
        <v>43776</v>
      </c>
      <c r="D2681" s="2">
        <f>YEAR(C2681)</f>
        <v>2019</v>
      </c>
      <c r="E2681">
        <v>290000</v>
      </c>
      <c r="F2681" t="s">
        <v>85</v>
      </c>
      <c r="G2681">
        <v>1992</v>
      </c>
      <c r="H2681">
        <v>1228</v>
      </c>
      <c r="I2681" t="s">
        <v>809</v>
      </c>
      <c r="J2681" t="str">
        <f>"2"</f>
        <v>2</v>
      </c>
      <c r="K2681">
        <v>60002</v>
      </c>
      <c r="L2681">
        <v>2718</v>
      </c>
      <c r="M2681">
        <v>9</v>
      </c>
      <c r="N2681">
        <v>3</v>
      </c>
      <c r="O2681">
        <v>0</v>
      </c>
      <c r="P2681" t="s">
        <v>79</v>
      </c>
      <c r="Q2681">
        <v>4</v>
      </c>
      <c r="R2681">
        <v>0</v>
      </c>
      <c r="S2681" t="s">
        <v>21</v>
      </c>
      <c r="T2681">
        <v>2</v>
      </c>
      <c r="U2681">
        <v>0</v>
      </c>
    </row>
    <row r="2682" spans="1:21" x14ac:dyDescent="0.25">
      <c r="A2682" t="str">
        <f>"10572959"</f>
        <v>10572959</v>
      </c>
      <c r="B2682" t="s">
        <v>15</v>
      </c>
      <c r="C2682" s="1">
        <v>43930</v>
      </c>
      <c r="D2682" s="2">
        <f>YEAR(C2682)</f>
        <v>2020</v>
      </c>
      <c r="E2682">
        <v>365000</v>
      </c>
      <c r="F2682" t="s">
        <v>85</v>
      </c>
      <c r="G2682">
        <v>2002</v>
      </c>
      <c r="H2682">
        <v>1421</v>
      </c>
      <c r="I2682" t="s">
        <v>880</v>
      </c>
      <c r="J2682" t="str">
        <f>"2"</f>
        <v>2</v>
      </c>
      <c r="K2682">
        <v>60002</v>
      </c>
      <c r="L2682">
        <v>2725</v>
      </c>
      <c r="M2682">
        <v>8</v>
      </c>
      <c r="N2682">
        <v>3</v>
      </c>
      <c r="O2682">
        <v>1</v>
      </c>
      <c r="P2682" t="s">
        <v>18</v>
      </c>
      <c r="Q2682">
        <v>4</v>
      </c>
      <c r="R2682">
        <v>0</v>
      </c>
      <c r="S2682" t="s">
        <v>21</v>
      </c>
      <c r="T2682">
        <v>3</v>
      </c>
      <c r="U2682">
        <v>0</v>
      </c>
    </row>
    <row r="2683" spans="1:21" x14ac:dyDescent="0.25">
      <c r="A2683" t="str">
        <f>"10353506"</f>
        <v>10353506</v>
      </c>
      <c r="B2683" t="s">
        <v>15</v>
      </c>
      <c r="C2683" s="1">
        <v>43753</v>
      </c>
      <c r="D2683" s="2">
        <f>YEAR(C2683)</f>
        <v>2019</v>
      </c>
      <c r="E2683">
        <v>293000</v>
      </c>
      <c r="F2683" t="s">
        <v>85</v>
      </c>
      <c r="G2683">
        <v>2004</v>
      </c>
      <c r="H2683">
        <v>1655</v>
      </c>
      <c r="I2683" t="s">
        <v>362</v>
      </c>
      <c r="J2683" t="str">
        <f>"2"</f>
        <v>2</v>
      </c>
      <c r="K2683">
        <v>60002</v>
      </c>
      <c r="L2683">
        <v>2727</v>
      </c>
      <c r="M2683">
        <v>11</v>
      </c>
      <c r="N2683">
        <v>3</v>
      </c>
      <c r="O2683">
        <v>1</v>
      </c>
      <c r="P2683" t="s">
        <v>79</v>
      </c>
      <c r="Q2683">
        <v>4</v>
      </c>
      <c r="R2683">
        <v>0</v>
      </c>
      <c r="S2683" t="s">
        <v>21</v>
      </c>
      <c r="T2683">
        <v>2</v>
      </c>
      <c r="U2683">
        <v>0</v>
      </c>
    </row>
    <row r="2684" spans="1:21" x14ac:dyDescent="0.25">
      <c r="A2684" t="str">
        <f>"10436033"</f>
        <v>10436033</v>
      </c>
      <c r="B2684" t="s">
        <v>15</v>
      </c>
      <c r="C2684" s="1">
        <v>43692</v>
      </c>
      <c r="D2684" s="2">
        <f>YEAR(C2684)</f>
        <v>2019</v>
      </c>
      <c r="E2684">
        <v>400000</v>
      </c>
      <c r="F2684" t="s">
        <v>85</v>
      </c>
      <c r="G2684">
        <v>1971</v>
      </c>
      <c r="H2684">
        <v>40824</v>
      </c>
      <c r="I2684" t="s">
        <v>681</v>
      </c>
      <c r="J2684" t="str">
        <f>"2"</f>
        <v>2</v>
      </c>
      <c r="K2684">
        <v>60002</v>
      </c>
      <c r="L2684">
        <v>2729</v>
      </c>
      <c r="M2684">
        <v>9</v>
      </c>
      <c r="N2684">
        <v>3</v>
      </c>
      <c r="O2684">
        <v>0</v>
      </c>
      <c r="P2684" t="s">
        <v>79</v>
      </c>
      <c r="Q2684">
        <v>5</v>
      </c>
      <c r="R2684">
        <v>0</v>
      </c>
      <c r="S2684" t="s">
        <v>22</v>
      </c>
      <c r="T2684">
        <v>2</v>
      </c>
      <c r="U2684">
        <v>0</v>
      </c>
    </row>
    <row r="2685" spans="1:21" x14ac:dyDescent="0.25">
      <c r="A2685" t="str">
        <f>"10651981"</f>
        <v>10651981</v>
      </c>
      <c r="B2685" t="s">
        <v>15</v>
      </c>
      <c r="C2685" s="1">
        <v>43983</v>
      </c>
      <c r="D2685" s="2">
        <f>YEAR(C2685)</f>
        <v>2020</v>
      </c>
      <c r="E2685">
        <v>284000</v>
      </c>
      <c r="F2685" t="s">
        <v>85</v>
      </c>
      <c r="G2685">
        <v>2004</v>
      </c>
      <c r="H2685">
        <v>1046</v>
      </c>
      <c r="I2685" t="s">
        <v>881</v>
      </c>
      <c r="J2685" t="str">
        <f>"2"</f>
        <v>2</v>
      </c>
      <c r="K2685">
        <v>60002</v>
      </c>
      <c r="L2685">
        <v>2744</v>
      </c>
      <c r="M2685">
        <v>11</v>
      </c>
      <c r="N2685">
        <v>2</v>
      </c>
      <c r="O2685">
        <v>2</v>
      </c>
      <c r="P2685" t="s">
        <v>79</v>
      </c>
      <c r="Q2685">
        <v>4</v>
      </c>
      <c r="R2685">
        <v>0</v>
      </c>
      <c r="S2685" t="s">
        <v>21</v>
      </c>
      <c r="T2685">
        <v>2</v>
      </c>
      <c r="U2685">
        <v>0</v>
      </c>
    </row>
    <row r="2686" spans="1:21" x14ac:dyDescent="0.25">
      <c r="A2686" t="str">
        <f>"10307032"</f>
        <v>10307032</v>
      </c>
      <c r="B2686" t="s">
        <v>15</v>
      </c>
      <c r="C2686" s="1">
        <v>43600</v>
      </c>
      <c r="D2686" s="2">
        <f>YEAR(C2686)</f>
        <v>2019</v>
      </c>
      <c r="E2686">
        <v>480000</v>
      </c>
      <c r="F2686" t="s">
        <v>85</v>
      </c>
      <c r="G2686" t="s">
        <v>560</v>
      </c>
      <c r="H2686">
        <v>38423</v>
      </c>
      <c r="I2686" t="s">
        <v>593</v>
      </c>
      <c r="J2686" t="str">
        <f>"2"</f>
        <v>2</v>
      </c>
      <c r="K2686">
        <v>60002</v>
      </c>
      <c r="L2686">
        <v>2756</v>
      </c>
      <c r="M2686">
        <v>9</v>
      </c>
      <c r="N2686">
        <v>2</v>
      </c>
      <c r="O2686">
        <v>0</v>
      </c>
      <c r="P2686" t="s">
        <v>18</v>
      </c>
      <c r="Q2686">
        <v>3</v>
      </c>
      <c r="R2686">
        <v>1</v>
      </c>
      <c r="S2686" t="s">
        <v>21</v>
      </c>
      <c r="T2686">
        <v>5</v>
      </c>
      <c r="U2686">
        <v>0</v>
      </c>
    </row>
    <row r="2687" spans="1:21" x14ac:dyDescent="0.25">
      <c r="A2687" t="str">
        <f>"10752785"</f>
        <v>10752785</v>
      </c>
      <c r="B2687" t="s">
        <v>15</v>
      </c>
      <c r="C2687" s="1">
        <v>44040</v>
      </c>
      <c r="D2687" s="2">
        <f>YEAR(C2687)</f>
        <v>2020</v>
      </c>
      <c r="E2687">
        <v>232500</v>
      </c>
      <c r="F2687" t="s">
        <v>85</v>
      </c>
      <c r="G2687">
        <v>1970</v>
      </c>
      <c r="H2687">
        <v>38972</v>
      </c>
      <c r="I2687" t="s">
        <v>593</v>
      </c>
      <c r="J2687" t="str">
        <f>"2"</f>
        <v>2</v>
      </c>
      <c r="K2687">
        <v>60002</v>
      </c>
      <c r="L2687">
        <v>2758</v>
      </c>
      <c r="M2687">
        <v>7</v>
      </c>
      <c r="N2687">
        <v>2</v>
      </c>
      <c r="O2687">
        <v>0</v>
      </c>
      <c r="P2687" t="s">
        <v>18</v>
      </c>
      <c r="Q2687">
        <v>4</v>
      </c>
      <c r="R2687">
        <v>0</v>
      </c>
      <c r="S2687" t="s">
        <v>21</v>
      </c>
      <c r="T2687">
        <v>2.5</v>
      </c>
      <c r="U2687">
        <v>0</v>
      </c>
    </row>
    <row r="2688" spans="1:21" x14ac:dyDescent="0.25">
      <c r="A2688" t="str">
        <f>"10923889"</f>
        <v>10923889</v>
      </c>
      <c r="B2688" t="s">
        <v>15</v>
      </c>
      <c r="C2688" s="1">
        <v>44176</v>
      </c>
      <c r="D2688" s="2">
        <f>YEAR(C2688)</f>
        <v>2020</v>
      </c>
      <c r="E2688">
        <v>320000</v>
      </c>
      <c r="F2688" t="s">
        <v>85</v>
      </c>
      <c r="G2688">
        <v>2002</v>
      </c>
      <c r="H2688">
        <v>906</v>
      </c>
      <c r="I2688" t="s">
        <v>757</v>
      </c>
      <c r="J2688" t="str">
        <f>"2"</f>
        <v>2</v>
      </c>
      <c r="K2688">
        <v>60002</v>
      </c>
      <c r="L2688">
        <v>2760</v>
      </c>
      <c r="M2688">
        <v>8</v>
      </c>
      <c r="N2688">
        <v>2</v>
      </c>
      <c r="O2688">
        <v>1</v>
      </c>
      <c r="P2688" t="s">
        <v>18</v>
      </c>
      <c r="Q2688">
        <v>4</v>
      </c>
      <c r="R2688">
        <v>0</v>
      </c>
      <c r="S2688" t="s">
        <v>21</v>
      </c>
      <c r="T2688">
        <v>3.5</v>
      </c>
      <c r="U2688">
        <v>0</v>
      </c>
    </row>
    <row r="2689" spans="1:21" x14ac:dyDescent="0.25">
      <c r="A2689" t="str">
        <f>"10641021"</f>
        <v>10641021</v>
      </c>
      <c r="B2689" t="s">
        <v>15</v>
      </c>
      <c r="C2689" s="1">
        <v>43929</v>
      </c>
      <c r="D2689" s="2">
        <f>YEAR(C2689)</f>
        <v>2020</v>
      </c>
      <c r="E2689">
        <v>218500</v>
      </c>
      <c r="F2689" t="s">
        <v>85</v>
      </c>
      <c r="G2689">
        <v>1988</v>
      </c>
      <c r="H2689">
        <v>39883</v>
      </c>
      <c r="I2689" t="s">
        <v>882</v>
      </c>
      <c r="J2689" t="str">
        <f>"2"</f>
        <v>2</v>
      </c>
      <c r="K2689">
        <v>60002</v>
      </c>
      <c r="L2689">
        <v>2768</v>
      </c>
      <c r="M2689">
        <v>8</v>
      </c>
      <c r="N2689">
        <v>2</v>
      </c>
      <c r="O2689">
        <v>0</v>
      </c>
      <c r="P2689" t="s">
        <v>18</v>
      </c>
      <c r="Q2689">
        <v>3</v>
      </c>
      <c r="R2689">
        <v>0</v>
      </c>
      <c r="S2689" t="s">
        <v>21</v>
      </c>
      <c r="T2689">
        <v>2</v>
      </c>
      <c r="U2689">
        <v>0</v>
      </c>
    </row>
    <row r="2690" spans="1:21" x14ac:dyDescent="0.25">
      <c r="A2690" t="str">
        <f>"10497551"</f>
        <v>10497551</v>
      </c>
      <c r="B2690" t="s">
        <v>15</v>
      </c>
      <c r="C2690" s="1">
        <v>43754</v>
      </c>
      <c r="D2690" s="2">
        <f>YEAR(C2690)</f>
        <v>2019</v>
      </c>
      <c r="E2690">
        <v>287500</v>
      </c>
      <c r="F2690" t="s">
        <v>85</v>
      </c>
      <c r="G2690">
        <v>2006</v>
      </c>
      <c r="H2690">
        <v>1189</v>
      </c>
      <c r="I2690" t="s">
        <v>877</v>
      </c>
      <c r="J2690" t="str">
        <f>"2"</f>
        <v>2</v>
      </c>
      <c r="K2690">
        <v>60002</v>
      </c>
      <c r="L2690">
        <v>2777</v>
      </c>
      <c r="M2690">
        <v>10</v>
      </c>
      <c r="N2690">
        <v>2</v>
      </c>
      <c r="O2690">
        <v>1</v>
      </c>
      <c r="P2690" t="s">
        <v>18</v>
      </c>
      <c r="Q2690">
        <v>4</v>
      </c>
      <c r="R2690">
        <v>0</v>
      </c>
      <c r="S2690" t="s">
        <v>21</v>
      </c>
      <c r="T2690">
        <v>2</v>
      </c>
      <c r="U2690">
        <v>0</v>
      </c>
    </row>
    <row r="2691" spans="1:21" x14ac:dyDescent="0.25">
      <c r="A2691" t="str">
        <f>"10362547"</f>
        <v>10362547</v>
      </c>
      <c r="B2691" t="s">
        <v>15</v>
      </c>
      <c r="C2691" s="1">
        <v>43671</v>
      </c>
      <c r="D2691" s="2">
        <f>YEAR(C2691)</f>
        <v>2019</v>
      </c>
      <c r="E2691">
        <v>294000</v>
      </c>
      <c r="F2691" t="s">
        <v>85</v>
      </c>
      <c r="G2691">
        <v>2005</v>
      </c>
      <c r="H2691">
        <v>1291</v>
      </c>
      <c r="I2691" t="s">
        <v>877</v>
      </c>
      <c r="J2691" t="str">
        <f>"2"</f>
        <v>2</v>
      </c>
      <c r="K2691">
        <v>60002</v>
      </c>
      <c r="L2691">
        <v>2778</v>
      </c>
      <c r="M2691">
        <v>9</v>
      </c>
      <c r="N2691">
        <v>2</v>
      </c>
      <c r="O2691">
        <v>1</v>
      </c>
      <c r="P2691" t="s">
        <v>18</v>
      </c>
      <c r="Q2691">
        <v>4</v>
      </c>
      <c r="R2691">
        <v>0</v>
      </c>
      <c r="S2691" t="s">
        <v>21</v>
      </c>
      <c r="T2691">
        <v>3</v>
      </c>
      <c r="U2691">
        <v>0</v>
      </c>
    </row>
    <row r="2692" spans="1:21" x14ac:dyDescent="0.25">
      <c r="A2692" t="str">
        <f>"10274901"</f>
        <v>10274901</v>
      </c>
      <c r="B2692" t="s">
        <v>15</v>
      </c>
      <c r="C2692" s="1">
        <v>43542</v>
      </c>
      <c r="D2692" s="2">
        <f>YEAR(C2692)</f>
        <v>2019</v>
      </c>
      <c r="E2692">
        <v>277200</v>
      </c>
      <c r="F2692" t="s">
        <v>85</v>
      </c>
      <c r="G2692">
        <v>2004</v>
      </c>
      <c r="H2692">
        <v>40676</v>
      </c>
      <c r="I2692" t="s">
        <v>842</v>
      </c>
      <c r="J2692" t="str">
        <f>"2"</f>
        <v>2</v>
      </c>
      <c r="K2692">
        <v>60002</v>
      </c>
      <c r="L2692">
        <v>2782</v>
      </c>
      <c r="M2692">
        <v>7</v>
      </c>
      <c r="N2692">
        <v>2</v>
      </c>
      <c r="O2692">
        <v>1</v>
      </c>
      <c r="P2692" t="s">
        <v>18</v>
      </c>
      <c r="Q2692">
        <v>3</v>
      </c>
      <c r="R2692">
        <v>0</v>
      </c>
      <c r="S2692" t="s">
        <v>21</v>
      </c>
      <c r="T2692">
        <v>3</v>
      </c>
      <c r="U2692">
        <v>0</v>
      </c>
    </row>
    <row r="2693" spans="1:21" x14ac:dyDescent="0.25">
      <c r="A2693" t="str">
        <f>"10521221"</f>
        <v>10521221</v>
      </c>
      <c r="B2693" t="s">
        <v>15</v>
      </c>
      <c r="C2693" s="1">
        <v>43749</v>
      </c>
      <c r="D2693" s="2">
        <f>YEAR(C2693)</f>
        <v>2019</v>
      </c>
      <c r="E2693">
        <v>322000</v>
      </c>
      <c r="F2693" t="s">
        <v>85</v>
      </c>
      <c r="G2693">
        <v>2004</v>
      </c>
      <c r="H2693">
        <v>40676</v>
      </c>
      <c r="I2693" t="s">
        <v>842</v>
      </c>
      <c r="J2693" t="str">
        <f>"2"</f>
        <v>2</v>
      </c>
      <c r="K2693">
        <v>60002</v>
      </c>
      <c r="L2693">
        <v>2782</v>
      </c>
      <c r="M2693">
        <v>7</v>
      </c>
      <c r="N2693">
        <v>2</v>
      </c>
      <c r="O2693">
        <v>1</v>
      </c>
      <c r="P2693" t="s">
        <v>18</v>
      </c>
      <c r="Q2693">
        <v>3</v>
      </c>
      <c r="R2693">
        <v>0</v>
      </c>
      <c r="S2693" t="s">
        <v>21</v>
      </c>
      <c r="T2693">
        <v>3</v>
      </c>
      <c r="U2693">
        <v>0</v>
      </c>
    </row>
    <row r="2694" spans="1:21" x14ac:dyDescent="0.25">
      <c r="A2694" t="str">
        <f>"10358224"</f>
        <v>10358224</v>
      </c>
      <c r="B2694" t="s">
        <v>15</v>
      </c>
      <c r="C2694" s="1">
        <v>43636</v>
      </c>
      <c r="D2694" s="2">
        <f>YEAR(C2694)</f>
        <v>2019</v>
      </c>
      <c r="E2694">
        <v>294500</v>
      </c>
      <c r="F2694" t="s">
        <v>85</v>
      </c>
      <c r="G2694">
        <v>1994</v>
      </c>
      <c r="H2694">
        <v>642</v>
      </c>
      <c r="I2694" t="s">
        <v>851</v>
      </c>
      <c r="J2694" t="str">
        <f>"2"</f>
        <v>2</v>
      </c>
      <c r="K2694">
        <v>60002</v>
      </c>
      <c r="L2694">
        <v>2797</v>
      </c>
      <c r="M2694">
        <v>9</v>
      </c>
      <c r="N2694">
        <v>2</v>
      </c>
      <c r="O2694">
        <v>1</v>
      </c>
      <c r="P2694" t="s">
        <v>18</v>
      </c>
      <c r="Q2694">
        <v>3</v>
      </c>
      <c r="R2694">
        <v>0</v>
      </c>
      <c r="S2694" t="s">
        <v>21</v>
      </c>
      <c r="T2694">
        <v>3</v>
      </c>
      <c r="U2694">
        <v>0</v>
      </c>
    </row>
    <row r="2695" spans="1:21" x14ac:dyDescent="0.25">
      <c r="A2695" t="str">
        <f>"10757713"</f>
        <v>10757713</v>
      </c>
      <c r="B2695" t="s">
        <v>15</v>
      </c>
      <c r="C2695" s="1">
        <v>44078</v>
      </c>
      <c r="D2695" s="2">
        <f>YEAR(C2695)</f>
        <v>2020</v>
      </c>
      <c r="E2695">
        <v>275000</v>
      </c>
      <c r="F2695" t="s">
        <v>85</v>
      </c>
      <c r="G2695">
        <v>2005</v>
      </c>
      <c r="H2695">
        <v>966</v>
      </c>
      <c r="I2695" t="s">
        <v>236</v>
      </c>
      <c r="J2695" t="str">
        <f>"2"</f>
        <v>2</v>
      </c>
      <c r="K2695">
        <v>60002</v>
      </c>
      <c r="L2695">
        <v>2800</v>
      </c>
      <c r="M2695">
        <v>10</v>
      </c>
      <c r="N2695">
        <v>2</v>
      </c>
      <c r="O2695">
        <v>1</v>
      </c>
      <c r="P2695" t="s">
        <v>18</v>
      </c>
      <c r="Q2695">
        <v>4</v>
      </c>
      <c r="R2695">
        <v>0</v>
      </c>
      <c r="S2695" t="s">
        <v>21</v>
      </c>
      <c r="T2695">
        <v>3</v>
      </c>
      <c r="U2695">
        <v>0</v>
      </c>
    </row>
    <row r="2696" spans="1:21" x14ac:dyDescent="0.25">
      <c r="A2696" t="str">
        <f>"10107122"</f>
        <v>10107122</v>
      </c>
      <c r="B2696" t="s">
        <v>15</v>
      </c>
      <c r="C2696" s="1">
        <v>43510</v>
      </c>
      <c r="D2696" s="2">
        <f>YEAR(C2696)</f>
        <v>2019</v>
      </c>
      <c r="E2696">
        <v>364000</v>
      </c>
      <c r="F2696" t="s">
        <v>85</v>
      </c>
      <c r="G2696">
        <v>2015</v>
      </c>
      <c r="H2696">
        <v>39160</v>
      </c>
      <c r="I2696" t="s">
        <v>884</v>
      </c>
      <c r="J2696" t="str">
        <f>"2"</f>
        <v>2</v>
      </c>
      <c r="K2696">
        <v>60002</v>
      </c>
      <c r="L2696">
        <v>2800</v>
      </c>
      <c r="M2696">
        <v>9</v>
      </c>
      <c r="N2696">
        <v>3</v>
      </c>
      <c r="O2696">
        <v>1</v>
      </c>
      <c r="P2696" t="s">
        <v>18</v>
      </c>
      <c r="Q2696">
        <v>5</v>
      </c>
      <c r="R2696">
        <v>0</v>
      </c>
      <c r="S2696" t="s">
        <v>21</v>
      </c>
      <c r="T2696">
        <v>3</v>
      </c>
      <c r="U2696">
        <v>0</v>
      </c>
    </row>
    <row r="2697" spans="1:21" x14ac:dyDescent="0.25">
      <c r="A2697" t="str">
        <f>"10558633"</f>
        <v>10558633</v>
      </c>
      <c r="B2697" t="s">
        <v>15</v>
      </c>
      <c r="C2697" s="1">
        <v>44077</v>
      </c>
      <c r="D2697" s="2">
        <f>YEAR(C2697)</f>
        <v>2020</v>
      </c>
      <c r="E2697">
        <v>200000</v>
      </c>
      <c r="F2697" t="s">
        <v>85</v>
      </c>
      <c r="G2697">
        <v>2002</v>
      </c>
      <c r="H2697">
        <v>588</v>
      </c>
      <c r="I2697" t="s">
        <v>626</v>
      </c>
      <c r="J2697" t="str">
        <f>"2"</f>
        <v>2</v>
      </c>
      <c r="K2697">
        <v>60002</v>
      </c>
      <c r="L2697">
        <v>2801</v>
      </c>
      <c r="M2697">
        <v>10</v>
      </c>
      <c r="N2697">
        <v>2</v>
      </c>
      <c r="O2697">
        <v>1</v>
      </c>
      <c r="P2697" t="s">
        <v>18</v>
      </c>
      <c r="Q2697">
        <v>4</v>
      </c>
      <c r="R2697">
        <v>0</v>
      </c>
      <c r="S2697" t="s">
        <v>21</v>
      </c>
      <c r="T2697">
        <v>3</v>
      </c>
      <c r="U2697">
        <v>0</v>
      </c>
    </row>
    <row r="2698" spans="1:21" x14ac:dyDescent="0.25">
      <c r="A2698" t="str">
        <f>"10654564"</f>
        <v>10654564</v>
      </c>
      <c r="B2698" t="s">
        <v>15</v>
      </c>
      <c r="C2698" s="1">
        <v>44137</v>
      </c>
      <c r="D2698" s="2">
        <f>YEAR(C2698)</f>
        <v>2020</v>
      </c>
      <c r="E2698">
        <v>185000</v>
      </c>
      <c r="F2698" t="s">
        <v>85</v>
      </c>
      <c r="G2698">
        <v>1964</v>
      </c>
      <c r="H2698">
        <v>26649</v>
      </c>
      <c r="I2698" t="s">
        <v>885</v>
      </c>
      <c r="J2698" t="str">
        <f>"2"</f>
        <v>2</v>
      </c>
      <c r="K2698">
        <v>60002</v>
      </c>
      <c r="L2698">
        <v>2802</v>
      </c>
      <c r="M2698">
        <v>7</v>
      </c>
      <c r="N2698">
        <v>2</v>
      </c>
      <c r="O2698">
        <v>0</v>
      </c>
      <c r="P2698" t="s">
        <v>79</v>
      </c>
      <c r="Q2698">
        <v>2</v>
      </c>
      <c r="R2698">
        <v>1</v>
      </c>
      <c r="S2698" t="s">
        <v>22</v>
      </c>
      <c r="T2698">
        <v>2</v>
      </c>
      <c r="U2698">
        <v>0</v>
      </c>
    </row>
    <row r="2699" spans="1:21" x14ac:dyDescent="0.25">
      <c r="A2699" t="str">
        <f>"10643556"</f>
        <v>10643556</v>
      </c>
      <c r="B2699" t="s">
        <v>15</v>
      </c>
      <c r="C2699" s="1">
        <v>43969</v>
      </c>
      <c r="D2699" s="2">
        <f>YEAR(C2699)</f>
        <v>2020</v>
      </c>
      <c r="E2699">
        <v>289000</v>
      </c>
      <c r="F2699" t="s">
        <v>85</v>
      </c>
      <c r="G2699">
        <v>1997</v>
      </c>
      <c r="H2699">
        <v>933</v>
      </c>
      <c r="I2699" t="s">
        <v>808</v>
      </c>
      <c r="J2699" t="str">
        <f>"2"</f>
        <v>2</v>
      </c>
      <c r="K2699">
        <v>60002</v>
      </c>
      <c r="L2699">
        <v>2804</v>
      </c>
      <c r="M2699">
        <v>10</v>
      </c>
      <c r="N2699">
        <v>3</v>
      </c>
      <c r="O2699">
        <v>0</v>
      </c>
      <c r="P2699" t="s">
        <v>18</v>
      </c>
      <c r="Q2699">
        <v>4</v>
      </c>
      <c r="R2699">
        <v>0</v>
      </c>
      <c r="S2699" t="s">
        <v>21</v>
      </c>
      <c r="T2699">
        <v>2</v>
      </c>
      <c r="U2699">
        <v>0</v>
      </c>
    </row>
    <row r="2700" spans="1:21" x14ac:dyDescent="0.25">
      <c r="A2700" t="str">
        <f>"10648559"</f>
        <v>10648559</v>
      </c>
      <c r="B2700" t="s">
        <v>15</v>
      </c>
      <c r="C2700" s="1">
        <v>43983</v>
      </c>
      <c r="D2700" s="2">
        <f>YEAR(C2700)</f>
        <v>2020</v>
      </c>
      <c r="E2700">
        <v>243000</v>
      </c>
      <c r="F2700" t="s">
        <v>85</v>
      </c>
      <c r="G2700">
        <v>1992</v>
      </c>
      <c r="H2700">
        <v>596</v>
      </c>
      <c r="I2700" t="s">
        <v>773</v>
      </c>
      <c r="J2700" t="str">
        <f>"2"</f>
        <v>2</v>
      </c>
      <c r="K2700">
        <v>60002</v>
      </c>
      <c r="L2700">
        <v>2810</v>
      </c>
      <c r="M2700">
        <v>8</v>
      </c>
      <c r="N2700">
        <v>3</v>
      </c>
      <c r="O2700">
        <v>0</v>
      </c>
      <c r="P2700" t="s">
        <v>18</v>
      </c>
      <c r="Q2700">
        <v>3</v>
      </c>
      <c r="R2700">
        <v>1</v>
      </c>
      <c r="S2700" t="s">
        <v>21</v>
      </c>
      <c r="T2700">
        <v>2</v>
      </c>
      <c r="U2700">
        <v>0</v>
      </c>
    </row>
    <row r="2701" spans="1:21" x14ac:dyDescent="0.25">
      <c r="A2701" t="str">
        <f>"10170189"</f>
        <v>10170189</v>
      </c>
      <c r="B2701" t="s">
        <v>15</v>
      </c>
      <c r="C2701" s="1">
        <v>43642</v>
      </c>
      <c r="D2701" s="2">
        <f>YEAR(C2701)</f>
        <v>2019</v>
      </c>
      <c r="E2701">
        <v>279000</v>
      </c>
      <c r="F2701" t="s">
        <v>85</v>
      </c>
      <c r="G2701">
        <v>2007</v>
      </c>
      <c r="H2701">
        <v>1124</v>
      </c>
      <c r="I2701" t="s">
        <v>886</v>
      </c>
      <c r="J2701" t="str">
        <f>"2"</f>
        <v>2</v>
      </c>
      <c r="K2701">
        <v>60002</v>
      </c>
      <c r="L2701">
        <v>2815</v>
      </c>
      <c r="M2701">
        <v>8</v>
      </c>
      <c r="N2701">
        <v>2</v>
      </c>
      <c r="O2701">
        <v>1</v>
      </c>
      <c r="P2701" t="s">
        <v>18</v>
      </c>
      <c r="Q2701">
        <v>4</v>
      </c>
      <c r="R2701">
        <v>0</v>
      </c>
      <c r="S2701" t="s">
        <v>21</v>
      </c>
      <c r="T2701">
        <v>3</v>
      </c>
      <c r="U2701">
        <v>0</v>
      </c>
    </row>
    <row r="2702" spans="1:21" x14ac:dyDescent="0.25">
      <c r="A2702" t="str">
        <f>"10591310"</f>
        <v>10591310</v>
      </c>
      <c r="B2702" t="s">
        <v>15</v>
      </c>
      <c r="C2702" s="1">
        <v>43889</v>
      </c>
      <c r="D2702" s="2">
        <f>YEAR(C2702)</f>
        <v>2020</v>
      </c>
      <c r="E2702">
        <v>252000</v>
      </c>
      <c r="F2702" t="s">
        <v>85</v>
      </c>
      <c r="G2702">
        <v>2001</v>
      </c>
      <c r="H2702">
        <v>624</v>
      </c>
      <c r="I2702" t="s">
        <v>887</v>
      </c>
      <c r="J2702" t="str">
        <f>"2"</f>
        <v>2</v>
      </c>
      <c r="K2702">
        <v>60002</v>
      </c>
      <c r="L2702">
        <v>2816</v>
      </c>
      <c r="M2702">
        <v>9</v>
      </c>
      <c r="N2702">
        <v>2</v>
      </c>
      <c r="O2702">
        <v>1</v>
      </c>
      <c r="P2702" t="s">
        <v>18</v>
      </c>
      <c r="Q2702">
        <v>4</v>
      </c>
      <c r="R2702">
        <v>0</v>
      </c>
      <c r="S2702" t="s">
        <v>21</v>
      </c>
      <c r="T2702">
        <v>2</v>
      </c>
      <c r="U2702">
        <v>0</v>
      </c>
    </row>
    <row r="2703" spans="1:21" x14ac:dyDescent="0.25">
      <c r="A2703" t="str">
        <f>"10412622"</f>
        <v>10412622</v>
      </c>
      <c r="B2703" t="s">
        <v>15</v>
      </c>
      <c r="C2703" s="1">
        <v>43825</v>
      </c>
      <c r="D2703" s="2">
        <f>YEAR(C2703)</f>
        <v>2019</v>
      </c>
      <c r="E2703">
        <v>255000</v>
      </c>
      <c r="F2703" t="s">
        <v>85</v>
      </c>
      <c r="G2703">
        <v>2019</v>
      </c>
      <c r="H2703">
        <v>840</v>
      </c>
      <c r="I2703" t="s">
        <v>824</v>
      </c>
      <c r="J2703" t="str">
        <f>"2"</f>
        <v>2</v>
      </c>
      <c r="K2703">
        <v>60002</v>
      </c>
      <c r="L2703">
        <v>2825</v>
      </c>
      <c r="M2703">
        <v>10</v>
      </c>
      <c r="N2703">
        <v>2</v>
      </c>
      <c r="O2703">
        <v>1</v>
      </c>
      <c r="P2703" t="s">
        <v>18</v>
      </c>
      <c r="Q2703">
        <v>4</v>
      </c>
      <c r="R2703">
        <v>0</v>
      </c>
      <c r="S2703" t="s">
        <v>21</v>
      </c>
      <c r="T2703">
        <v>2</v>
      </c>
      <c r="U2703">
        <v>0</v>
      </c>
    </row>
    <row r="2704" spans="1:21" x14ac:dyDescent="0.25">
      <c r="A2704" t="str">
        <f>"10071130"</f>
        <v>10071130</v>
      </c>
      <c r="B2704" t="s">
        <v>15</v>
      </c>
      <c r="C2704" s="1">
        <v>43469</v>
      </c>
      <c r="D2704" s="2">
        <f>YEAR(C2704)</f>
        <v>2019</v>
      </c>
      <c r="E2704">
        <v>262340</v>
      </c>
      <c r="F2704" t="s">
        <v>85</v>
      </c>
      <c r="G2704">
        <v>2018</v>
      </c>
      <c r="H2704">
        <v>902</v>
      </c>
      <c r="I2704" t="s">
        <v>777</v>
      </c>
      <c r="J2704" t="str">
        <f>"2"</f>
        <v>2</v>
      </c>
      <c r="K2704">
        <v>60002</v>
      </c>
      <c r="L2704">
        <v>2825</v>
      </c>
      <c r="M2704">
        <v>10</v>
      </c>
      <c r="N2704">
        <v>2</v>
      </c>
      <c r="O2704">
        <v>1</v>
      </c>
      <c r="P2704" t="s">
        <v>18</v>
      </c>
      <c r="Q2704">
        <v>4</v>
      </c>
      <c r="R2704">
        <v>0</v>
      </c>
      <c r="S2704" t="s">
        <v>21</v>
      </c>
      <c r="T2704">
        <v>2</v>
      </c>
      <c r="U2704">
        <v>0</v>
      </c>
    </row>
    <row r="2705" spans="1:21" x14ac:dyDescent="0.25">
      <c r="A2705" t="str">
        <f>"10151882"</f>
        <v>10151882</v>
      </c>
      <c r="B2705" t="s">
        <v>15</v>
      </c>
      <c r="C2705" s="1">
        <v>43549</v>
      </c>
      <c r="D2705" s="2">
        <f>YEAR(C2705)</f>
        <v>2019</v>
      </c>
      <c r="E2705">
        <v>262990</v>
      </c>
      <c r="F2705" t="s">
        <v>85</v>
      </c>
      <c r="G2705">
        <v>2018</v>
      </c>
      <c r="H2705">
        <v>875</v>
      </c>
      <c r="I2705" t="s">
        <v>777</v>
      </c>
      <c r="J2705" t="str">
        <f>"2"</f>
        <v>2</v>
      </c>
      <c r="K2705">
        <v>60002</v>
      </c>
      <c r="L2705">
        <v>2825</v>
      </c>
      <c r="M2705">
        <v>10</v>
      </c>
      <c r="N2705">
        <v>2</v>
      </c>
      <c r="O2705">
        <v>1</v>
      </c>
      <c r="P2705" t="s">
        <v>18</v>
      </c>
      <c r="Q2705">
        <v>4</v>
      </c>
      <c r="R2705">
        <v>0</v>
      </c>
      <c r="S2705" t="s">
        <v>21</v>
      </c>
      <c r="T2705">
        <v>2</v>
      </c>
      <c r="U2705">
        <v>0</v>
      </c>
    </row>
    <row r="2706" spans="1:21" x14ac:dyDescent="0.25">
      <c r="A2706" t="str">
        <f>"10268253"</f>
        <v>10268253</v>
      </c>
      <c r="B2706" t="s">
        <v>15</v>
      </c>
      <c r="C2706" s="1">
        <v>43602</v>
      </c>
      <c r="D2706" s="2">
        <f>YEAR(C2706)</f>
        <v>2019</v>
      </c>
      <c r="E2706">
        <v>277500</v>
      </c>
      <c r="F2706" t="s">
        <v>85</v>
      </c>
      <c r="G2706">
        <v>2018</v>
      </c>
      <c r="H2706">
        <v>895</v>
      </c>
      <c r="I2706" t="s">
        <v>777</v>
      </c>
      <c r="J2706" t="str">
        <f>"2"</f>
        <v>2</v>
      </c>
      <c r="K2706">
        <v>60002</v>
      </c>
      <c r="L2706">
        <v>2825</v>
      </c>
      <c r="M2706">
        <v>10</v>
      </c>
      <c r="N2706">
        <v>2</v>
      </c>
      <c r="O2706">
        <v>1</v>
      </c>
      <c r="P2706" t="s">
        <v>18</v>
      </c>
      <c r="Q2706">
        <v>4</v>
      </c>
      <c r="R2706">
        <v>0</v>
      </c>
      <c r="S2706" t="s">
        <v>21</v>
      </c>
      <c r="T2706">
        <v>2</v>
      </c>
      <c r="U2706">
        <v>0</v>
      </c>
    </row>
    <row r="2707" spans="1:21" x14ac:dyDescent="0.25">
      <c r="A2707" t="str">
        <f>"10151943"</f>
        <v>10151943</v>
      </c>
      <c r="B2707" t="s">
        <v>15</v>
      </c>
      <c r="C2707" s="1">
        <v>43578</v>
      </c>
      <c r="D2707" s="2">
        <f>YEAR(C2707)</f>
        <v>2019</v>
      </c>
      <c r="E2707">
        <v>279500</v>
      </c>
      <c r="F2707" t="s">
        <v>85</v>
      </c>
      <c r="G2707">
        <v>2018</v>
      </c>
      <c r="H2707">
        <v>1683</v>
      </c>
      <c r="I2707" t="s">
        <v>236</v>
      </c>
      <c r="J2707" t="str">
        <f>"2"</f>
        <v>2</v>
      </c>
      <c r="K2707">
        <v>60002</v>
      </c>
      <c r="L2707">
        <v>2825</v>
      </c>
      <c r="M2707">
        <v>10</v>
      </c>
      <c r="N2707">
        <v>2</v>
      </c>
      <c r="O2707">
        <v>1</v>
      </c>
      <c r="P2707" t="s">
        <v>18</v>
      </c>
      <c r="Q2707">
        <v>4</v>
      </c>
      <c r="R2707">
        <v>0</v>
      </c>
      <c r="S2707" t="s">
        <v>21</v>
      </c>
      <c r="T2707">
        <v>2</v>
      </c>
      <c r="U2707">
        <v>0</v>
      </c>
    </row>
    <row r="2708" spans="1:21" x14ac:dyDescent="0.25">
      <c r="A2708" t="str">
        <f>"10332030"</f>
        <v>10332030</v>
      </c>
      <c r="B2708" t="s">
        <v>15</v>
      </c>
      <c r="C2708" s="1">
        <v>43635</v>
      </c>
      <c r="D2708" s="2">
        <f>YEAR(C2708)</f>
        <v>2019</v>
      </c>
      <c r="E2708">
        <v>279900</v>
      </c>
      <c r="F2708" t="s">
        <v>85</v>
      </c>
      <c r="G2708">
        <v>2018</v>
      </c>
      <c r="H2708">
        <v>1676</v>
      </c>
      <c r="I2708" t="s">
        <v>838</v>
      </c>
      <c r="J2708" t="str">
        <f>"2"</f>
        <v>2</v>
      </c>
      <c r="K2708">
        <v>60002</v>
      </c>
      <c r="L2708">
        <v>2825</v>
      </c>
      <c r="M2708">
        <v>9</v>
      </c>
      <c r="N2708">
        <v>2</v>
      </c>
      <c r="O2708">
        <v>1</v>
      </c>
      <c r="P2708" t="s">
        <v>18</v>
      </c>
      <c r="Q2708">
        <v>4</v>
      </c>
      <c r="R2708">
        <v>0</v>
      </c>
      <c r="S2708" t="s">
        <v>21</v>
      </c>
      <c r="T2708">
        <v>2</v>
      </c>
      <c r="U2708">
        <v>0</v>
      </c>
    </row>
    <row r="2709" spans="1:21" x14ac:dyDescent="0.25">
      <c r="A2709" t="str">
        <f>"10342531"</f>
        <v>10342531</v>
      </c>
      <c r="B2709" t="s">
        <v>15</v>
      </c>
      <c r="C2709" s="1">
        <v>43623</v>
      </c>
      <c r="D2709" s="2">
        <f>YEAR(C2709)</f>
        <v>2019</v>
      </c>
      <c r="E2709">
        <v>284273</v>
      </c>
      <c r="F2709" t="s">
        <v>85</v>
      </c>
      <c r="G2709">
        <v>2018</v>
      </c>
      <c r="H2709">
        <v>820</v>
      </c>
      <c r="I2709" t="s">
        <v>824</v>
      </c>
      <c r="J2709" t="str">
        <f>"2"</f>
        <v>2</v>
      </c>
      <c r="K2709">
        <v>60002</v>
      </c>
      <c r="L2709">
        <v>2825</v>
      </c>
      <c r="M2709">
        <v>10</v>
      </c>
      <c r="N2709">
        <v>2</v>
      </c>
      <c r="O2709">
        <v>1</v>
      </c>
      <c r="P2709" t="s">
        <v>18</v>
      </c>
      <c r="Q2709">
        <v>4</v>
      </c>
      <c r="R2709">
        <v>0</v>
      </c>
      <c r="S2709" t="s">
        <v>21</v>
      </c>
      <c r="T2709">
        <v>2</v>
      </c>
      <c r="U2709">
        <v>0</v>
      </c>
    </row>
    <row r="2710" spans="1:21" x14ac:dyDescent="0.25">
      <c r="A2710" t="str">
        <f>"10444432"</f>
        <v>10444432</v>
      </c>
      <c r="B2710" t="s">
        <v>15</v>
      </c>
      <c r="C2710" s="1">
        <v>43735</v>
      </c>
      <c r="D2710" s="2">
        <f>YEAR(C2710)</f>
        <v>2019</v>
      </c>
      <c r="E2710">
        <v>289990</v>
      </c>
      <c r="F2710" t="s">
        <v>85</v>
      </c>
      <c r="G2710">
        <v>2018</v>
      </c>
      <c r="H2710">
        <v>914</v>
      </c>
      <c r="I2710" t="s">
        <v>858</v>
      </c>
      <c r="J2710" t="str">
        <f>"2"</f>
        <v>2</v>
      </c>
      <c r="K2710">
        <v>60002</v>
      </c>
      <c r="L2710">
        <v>2825</v>
      </c>
      <c r="M2710">
        <v>9</v>
      </c>
      <c r="N2710">
        <v>2</v>
      </c>
      <c r="O2710">
        <v>1</v>
      </c>
      <c r="P2710" t="s">
        <v>18</v>
      </c>
      <c r="Q2710">
        <v>4</v>
      </c>
      <c r="R2710">
        <v>0</v>
      </c>
      <c r="S2710" t="s">
        <v>21</v>
      </c>
      <c r="T2710">
        <v>2</v>
      </c>
      <c r="U2710">
        <v>0</v>
      </c>
    </row>
    <row r="2711" spans="1:21" x14ac:dyDescent="0.25">
      <c r="A2711" t="str">
        <f>"10440586"</f>
        <v>10440586</v>
      </c>
      <c r="B2711" t="s">
        <v>15</v>
      </c>
      <c r="C2711" s="1">
        <v>43734</v>
      </c>
      <c r="D2711" s="2">
        <f>YEAR(C2711)</f>
        <v>2019</v>
      </c>
      <c r="E2711">
        <v>290000</v>
      </c>
      <c r="F2711" t="s">
        <v>85</v>
      </c>
      <c r="G2711">
        <v>2019</v>
      </c>
      <c r="H2711">
        <v>876</v>
      </c>
      <c r="I2711" t="s">
        <v>824</v>
      </c>
      <c r="J2711" t="str">
        <f>"2"</f>
        <v>2</v>
      </c>
      <c r="K2711">
        <v>60002</v>
      </c>
      <c r="L2711">
        <v>2825</v>
      </c>
      <c r="M2711">
        <v>10</v>
      </c>
      <c r="N2711">
        <v>2</v>
      </c>
      <c r="O2711">
        <v>1</v>
      </c>
      <c r="P2711" t="s">
        <v>18</v>
      </c>
      <c r="Q2711">
        <v>4</v>
      </c>
      <c r="R2711">
        <v>0</v>
      </c>
      <c r="S2711" t="s">
        <v>21</v>
      </c>
      <c r="T2711">
        <v>2</v>
      </c>
      <c r="U2711">
        <v>0</v>
      </c>
    </row>
    <row r="2712" spans="1:21" x14ac:dyDescent="0.25">
      <c r="A2712" t="str">
        <f>"10723720"</f>
        <v>10723720</v>
      </c>
      <c r="B2712" t="s">
        <v>15</v>
      </c>
      <c r="C2712" s="1">
        <v>44041</v>
      </c>
      <c r="D2712" s="2">
        <f>YEAR(C2712)</f>
        <v>2020</v>
      </c>
      <c r="E2712">
        <v>292000</v>
      </c>
      <c r="F2712" t="s">
        <v>85</v>
      </c>
      <c r="G2712">
        <v>2018</v>
      </c>
      <c r="H2712">
        <v>1189</v>
      </c>
      <c r="I2712" t="s">
        <v>888</v>
      </c>
      <c r="J2712" t="str">
        <f>"2"</f>
        <v>2</v>
      </c>
      <c r="K2712">
        <v>60002</v>
      </c>
      <c r="L2712">
        <v>2825</v>
      </c>
      <c r="M2712">
        <v>9</v>
      </c>
      <c r="N2712">
        <v>3</v>
      </c>
      <c r="O2712">
        <v>1</v>
      </c>
      <c r="P2712" t="s">
        <v>79</v>
      </c>
      <c r="Q2712">
        <v>4</v>
      </c>
      <c r="R2712">
        <v>0</v>
      </c>
      <c r="S2712" t="s">
        <v>21</v>
      </c>
      <c r="T2712">
        <v>2</v>
      </c>
      <c r="U2712">
        <v>0</v>
      </c>
    </row>
    <row r="2713" spans="1:21" x14ac:dyDescent="0.25">
      <c r="A2713" t="str">
        <f>"10872933"</f>
        <v>10872933</v>
      </c>
      <c r="B2713" t="s">
        <v>15</v>
      </c>
      <c r="C2713" s="1">
        <v>44148</v>
      </c>
      <c r="D2713" s="2">
        <f>YEAR(C2713)</f>
        <v>2020</v>
      </c>
      <c r="E2713">
        <v>258000</v>
      </c>
      <c r="F2713" t="s">
        <v>85</v>
      </c>
      <c r="G2713">
        <v>1985</v>
      </c>
      <c r="H2713">
        <v>667</v>
      </c>
      <c r="I2713" t="s">
        <v>787</v>
      </c>
      <c r="J2713" t="str">
        <f>"2"</f>
        <v>2</v>
      </c>
      <c r="K2713">
        <v>60002</v>
      </c>
      <c r="L2713">
        <v>2829</v>
      </c>
      <c r="M2713">
        <v>8</v>
      </c>
      <c r="N2713">
        <v>2</v>
      </c>
      <c r="O2713">
        <v>1</v>
      </c>
      <c r="P2713" t="s">
        <v>18</v>
      </c>
      <c r="Q2713">
        <v>3</v>
      </c>
      <c r="R2713">
        <v>0</v>
      </c>
      <c r="S2713" t="s">
        <v>21</v>
      </c>
      <c r="T2713">
        <v>2.5</v>
      </c>
      <c r="U2713">
        <v>0</v>
      </c>
    </row>
    <row r="2714" spans="1:21" x14ac:dyDescent="0.25">
      <c r="A2714" t="str">
        <f>"10457502"</f>
        <v>10457502</v>
      </c>
      <c r="B2714" t="s">
        <v>15</v>
      </c>
      <c r="C2714" s="1">
        <v>43836</v>
      </c>
      <c r="D2714" s="2">
        <f>YEAR(C2714)</f>
        <v>2020</v>
      </c>
      <c r="E2714">
        <v>199000</v>
      </c>
      <c r="F2714" t="s">
        <v>85</v>
      </c>
      <c r="G2714" t="s">
        <v>560</v>
      </c>
      <c r="H2714">
        <v>378</v>
      </c>
      <c r="I2714" t="s">
        <v>817</v>
      </c>
      <c r="J2714" t="str">
        <f>"2"</f>
        <v>2</v>
      </c>
      <c r="K2714">
        <v>60002</v>
      </c>
      <c r="L2714">
        <v>2839</v>
      </c>
      <c r="M2714">
        <v>12</v>
      </c>
      <c r="N2714">
        <v>2</v>
      </c>
      <c r="O2714">
        <v>0</v>
      </c>
      <c r="P2714" t="s">
        <v>79</v>
      </c>
      <c r="Q2714">
        <v>2</v>
      </c>
      <c r="R2714">
        <v>2</v>
      </c>
      <c r="S2714" t="s">
        <v>22</v>
      </c>
      <c r="T2714">
        <v>2</v>
      </c>
      <c r="U2714">
        <v>0</v>
      </c>
    </row>
    <row r="2715" spans="1:21" x14ac:dyDescent="0.25">
      <c r="A2715" t="str">
        <f>"10309021"</f>
        <v>10309021</v>
      </c>
      <c r="B2715" t="s">
        <v>15</v>
      </c>
      <c r="C2715" s="1">
        <v>43607</v>
      </c>
      <c r="D2715" s="2">
        <f>YEAR(C2715)</f>
        <v>2019</v>
      </c>
      <c r="E2715">
        <v>305000</v>
      </c>
      <c r="F2715" t="s">
        <v>85</v>
      </c>
      <c r="G2715">
        <v>1998</v>
      </c>
      <c r="H2715">
        <v>848</v>
      </c>
      <c r="I2715" t="s">
        <v>801</v>
      </c>
      <c r="J2715" t="str">
        <f>"2"</f>
        <v>2</v>
      </c>
      <c r="K2715">
        <v>60002</v>
      </c>
      <c r="L2715">
        <v>2844</v>
      </c>
      <c r="M2715">
        <v>9</v>
      </c>
      <c r="N2715">
        <v>2</v>
      </c>
      <c r="O2715">
        <v>1</v>
      </c>
      <c r="P2715" t="s">
        <v>18</v>
      </c>
      <c r="Q2715">
        <v>4</v>
      </c>
      <c r="R2715">
        <v>0</v>
      </c>
      <c r="S2715" t="s">
        <v>21</v>
      </c>
      <c r="T2715">
        <v>3</v>
      </c>
      <c r="U2715">
        <v>0</v>
      </c>
    </row>
    <row r="2716" spans="1:21" x14ac:dyDescent="0.25">
      <c r="A2716" t="str">
        <f>"10682703"</f>
        <v>10682703</v>
      </c>
      <c r="B2716" t="s">
        <v>15</v>
      </c>
      <c r="C2716" s="1">
        <v>44027</v>
      </c>
      <c r="D2716" s="2">
        <f>YEAR(C2716)</f>
        <v>2020</v>
      </c>
      <c r="E2716">
        <v>277000</v>
      </c>
      <c r="F2716" t="s">
        <v>85</v>
      </c>
      <c r="G2716">
        <v>2018</v>
      </c>
      <c r="H2716">
        <v>1687</v>
      </c>
      <c r="I2716" t="s">
        <v>838</v>
      </c>
      <c r="J2716" t="str">
        <f>"2"</f>
        <v>2</v>
      </c>
      <c r="K2716">
        <v>60002</v>
      </c>
      <c r="L2716">
        <v>2852</v>
      </c>
      <c r="M2716">
        <v>10</v>
      </c>
      <c r="N2716">
        <v>2</v>
      </c>
      <c r="O2716">
        <v>1</v>
      </c>
      <c r="P2716" t="s">
        <v>18</v>
      </c>
      <c r="Q2716">
        <v>4</v>
      </c>
      <c r="R2716">
        <v>0</v>
      </c>
      <c r="S2716" t="s">
        <v>21</v>
      </c>
      <c r="T2716">
        <v>2</v>
      </c>
      <c r="U2716">
        <v>0</v>
      </c>
    </row>
    <row r="2717" spans="1:21" x14ac:dyDescent="0.25">
      <c r="A2717" t="str">
        <f>"10624015"</f>
        <v>10624015</v>
      </c>
      <c r="B2717" t="s">
        <v>15</v>
      </c>
      <c r="C2717" s="1">
        <v>43972</v>
      </c>
      <c r="D2717" s="2">
        <f>YEAR(C2717)</f>
        <v>2020</v>
      </c>
      <c r="E2717">
        <v>275500</v>
      </c>
      <c r="F2717" t="s">
        <v>85</v>
      </c>
      <c r="G2717">
        <v>2006</v>
      </c>
      <c r="H2717">
        <v>949</v>
      </c>
      <c r="I2717" t="s">
        <v>890</v>
      </c>
      <c r="J2717" t="str">
        <f>"2"</f>
        <v>2</v>
      </c>
      <c r="K2717">
        <v>60002</v>
      </c>
      <c r="L2717">
        <v>2855</v>
      </c>
      <c r="M2717">
        <v>9</v>
      </c>
      <c r="N2717">
        <v>2</v>
      </c>
      <c r="O2717">
        <v>1</v>
      </c>
      <c r="P2717" t="s">
        <v>18</v>
      </c>
      <c r="Q2717">
        <v>4</v>
      </c>
      <c r="R2717">
        <v>0</v>
      </c>
      <c r="S2717" t="s">
        <v>21</v>
      </c>
      <c r="T2717">
        <v>2</v>
      </c>
      <c r="U2717">
        <v>0</v>
      </c>
    </row>
    <row r="2718" spans="1:21" x14ac:dyDescent="0.25">
      <c r="A2718" t="str">
        <f>"10641786"</f>
        <v>10641786</v>
      </c>
      <c r="B2718" t="s">
        <v>15</v>
      </c>
      <c r="C2718" s="1">
        <v>44008</v>
      </c>
      <c r="D2718" s="2">
        <f>YEAR(C2718)</f>
        <v>2020</v>
      </c>
      <c r="E2718">
        <v>188500</v>
      </c>
      <c r="F2718" t="s">
        <v>85</v>
      </c>
      <c r="G2718">
        <v>1989</v>
      </c>
      <c r="H2718">
        <v>320</v>
      </c>
      <c r="I2718" t="s">
        <v>891</v>
      </c>
      <c r="J2718" t="str">
        <f>"2"</f>
        <v>2</v>
      </c>
      <c r="K2718">
        <v>60002</v>
      </c>
      <c r="L2718">
        <v>2856</v>
      </c>
      <c r="M2718">
        <v>9</v>
      </c>
      <c r="N2718">
        <v>3</v>
      </c>
      <c r="O2718">
        <v>0</v>
      </c>
      <c r="P2718" t="s">
        <v>18</v>
      </c>
      <c r="Q2718">
        <v>4</v>
      </c>
      <c r="R2718">
        <v>0</v>
      </c>
      <c r="S2718" t="s">
        <v>21</v>
      </c>
      <c r="T2718">
        <v>2</v>
      </c>
      <c r="U2718">
        <v>0</v>
      </c>
    </row>
    <row r="2719" spans="1:21" x14ac:dyDescent="0.25">
      <c r="A2719" t="str">
        <f>"10618147"</f>
        <v>10618147</v>
      </c>
      <c r="B2719" t="s">
        <v>15</v>
      </c>
      <c r="C2719" s="1">
        <v>43958</v>
      </c>
      <c r="D2719" s="2">
        <f>YEAR(C2719)</f>
        <v>2020</v>
      </c>
      <c r="E2719">
        <v>287000</v>
      </c>
      <c r="F2719" t="s">
        <v>85</v>
      </c>
      <c r="G2719">
        <v>2006</v>
      </c>
      <c r="H2719">
        <v>803</v>
      </c>
      <c r="I2719" t="s">
        <v>824</v>
      </c>
      <c r="J2719" t="str">
        <f>"2"</f>
        <v>2</v>
      </c>
      <c r="K2719">
        <v>60002</v>
      </c>
      <c r="L2719">
        <v>2857</v>
      </c>
      <c r="M2719">
        <v>11</v>
      </c>
      <c r="N2719">
        <v>2</v>
      </c>
      <c r="O2719">
        <v>1</v>
      </c>
      <c r="P2719" t="s">
        <v>18</v>
      </c>
      <c r="Q2719">
        <v>4</v>
      </c>
      <c r="R2719">
        <v>0</v>
      </c>
      <c r="S2719" t="s">
        <v>21</v>
      </c>
      <c r="T2719">
        <v>3</v>
      </c>
      <c r="U2719">
        <v>0</v>
      </c>
    </row>
    <row r="2720" spans="1:21" x14ac:dyDescent="0.25">
      <c r="A2720" t="str">
        <f>"10310398"</f>
        <v>10310398</v>
      </c>
      <c r="B2720" t="s">
        <v>15</v>
      </c>
      <c r="C2720" s="1">
        <v>43585</v>
      </c>
      <c r="D2720" s="2">
        <f>YEAR(C2720)</f>
        <v>2019</v>
      </c>
      <c r="E2720">
        <v>261000</v>
      </c>
      <c r="F2720" t="s">
        <v>85</v>
      </c>
      <c r="G2720">
        <v>2005</v>
      </c>
      <c r="H2720">
        <v>1057</v>
      </c>
      <c r="I2720" t="s">
        <v>870</v>
      </c>
      <c r="J2720" t="str">
        <f>"2"</f>
        <v>2</v>
      </c>
      <c r="K2720">
        <v>60002</v>
      </c>
      <c r="L2720">
        <v>2867</v>
      </c>
      <c r="M2720">
        <v>11</v>
      </c>
      <c r="N2720">
        <v>2</v>
      </c>
      <c r="O2720">
        <v>1</v>
      </c>
      <c r="P2720" t="s">
        <v>18</v>
      </c>
      <c r="Q2720">
        <v>4</v>
      </c>
      <c r="R2720">
        <v>0</v>
      </c>
      <c r="S2720" t="s">
        <v>21</v>
      </c>
      <c r="T2720">
        <v>2</v>
      </c>
      <c r="U2720">
        <v>0</v>
      </c>
    </row>
    <row r="2721" spans="1:21" x14ac:dyDescent="0.25">
      <c r="A2721" t="str">
        <f>"10292869"</f>
        <v>10292869</v>
      </c>
      <c r="B2721" t="s">
        <v>15</v>
      </c>
      <c r="C2721" s="1">
        <v>43572</v>
      </c>
      <c r="D2721" s="2">
        <f>YEAR(C2721)</f>
        <v>2019</v>
      </c>
      <c r="E2721">
        <v>250000</v>
      </c>
      <c r="F2721" t="s">
        <v>85</v>
      </c>
      <c r="G2721">
        <v>2004</v>
      </c>
      <c r="H2721">
        <v>743</v>
      </c>
      <c r="I2721" t="s">
        <v>342</v>
      </c>
      <c r="J2721" t="str">
        <f>"2"</f>
        <v>2</v>
      </c>
      <c r="K2721">
        <v>60002</v>
      </c>
      <c r="L2721">
        <v>2892</v>
      </c>
      <c r="M2721">
        <v>9</v>
      </c>
      <c r="N2721">
        <v>2</v>
      </c>
      <c r="O2721">
        <v>1</v>
      </c>
      <c r="P2721" t="s">
        <v>18</v>
      </c>
      <c r="Q2721">
        <v>3</v>
      </c>
      <c r="R2721">
        <v>0</v>
      </c>
      <c r="S2721" t="s">
        <v>21</v>
      </c>
      <c r="T2721">
        <v>3</v>
      </c>
      <c r="U2721">
        <v>0</v>
      </c>
    </row>
    <row r="2722" spans="1:21" x14ac:dyDescent="0.25">
      <c r="A2722" t="str">
        <f>"10291253"</f>
        <v>10291253</v>
      </c>
      <c r="B2722" t="s">
        <v>15</v>
      </c>
      <c r="C2722" s="1">
        <v>43587</v>
      </c>
      <c r="D2722" s="2">
        <f>YEAR(C2722)</f>
        <v>2019</v>
      </c>
      <c r="E2722">
        <v>289000</v>
      </c>
      <c r="F2722" t="s">
        <v>85</v>
      </c>
      <c r="G2722">
        <v>2004</v>
      </c>
      <c r="H2722">
        <v>1285</v>
      </c>
      <c r="I2722" t="s">
        <v>877</v>
      </c>
      <c r="J2722" t="str">
        <f>"2"</f>
        <v>2</v>
      </c>
      <c r="K2722">
        <v>60002</v>
      </c>
      <c r="L2722">
        <v>2897</v>
      </c>
      <c r="M2722">
        <v>12</v>
      </c>
      <c r="N2722">
        <v>2</v>
      </c>
      <c r="O2722">
        <v>1</v>
      </c>
      <c r="P2722" t="s">
        <v>18</v>
      </c>
      <c r="Q2722">
        <v>4</v>
      </c>
      <c r="R2722">
        <v>0</v>
      </c>
      <c r="S2722" t="s">
        <v>21</v>
      </c>
      <c r="T2722">
        <v>3</v>
      </c>
      <c r="U2722">
        <v>0</v>
      </c>
    </row>
    <row r="2723" spans="1:21" x14ac:dyDescent="0.25">
      <c r="A2723" t="str">
        <f>"10752493"</f>
        <v>10752493</v>
      </c>
      <c r="B2723" t="s">
        <v>15</v>
      </c>
      <c r="C2723" s="1">
        <v>44092</v>
      </c>
      <c r="D2723" s="2">
        <f>YEAR(C2723)</f>
        <v>2020</v>
      </c>
      <c r="E2723">
        <v>252500</v>
      </c>
      <c r="F2723" t="s">
        <v>85</v>
      </c>
      <c r="G2723">
        <v>2003</v>
      </c>
      <c r="H2723">
        <v>612</v>
      </c>
      <c r="I2723" t="s">
        <v>723</v>
      </c>
      <c r="J2723" t="str">
        <f>"2"</f>
        <v>2</v>
      </c>
      <c r="K2723">
        <v>60002</v>
      </c>
      <c r="L2723">
        <v>2901</v>
      </c>
      <c r="M2723">
        <v>9</v>
      </c>
      <c r="N2723">
        <v>3</v>
      </c>
      <c r="O2723">
        <v>0</v>
      </c>
      <c r="P2723" t="s">
        <v>79</v>
      </c>
      <c r="Q2723">
        <v>3</v>
      </c>
      <c r="R2723">
        <v>1</v>
      </c>
      <c r="S2723" t="s">
        <v>21</v>
      </c>
      <c r="T2723">
        <v>2</v>
      </c>
      <c r="U2723">
        <v>0</v>
      </c>
    </row>
    <row r="2724" spans="1:21" x14ac:dyDescent="0.25">
      <c r="A2724" t="str">
        <f>"10333640"</f>
        <v>10333640</v>
      </c>
      <c r="B2724" t="s">
        <v>15</v>
      </c>
      <c r="C2724" s="1">
        <v>43587</v>
      </c>
      <c r="D2724" s="2">
        <f>YEAR(C2724)</f>
        <v>2019</v>
      </c>
      <c r="E2724">
        <v>203739</v>
      </c>
      <c r="F2724" t="s">
        <v>85</v>
      </c>
      <c r="G2724">
        <v>2008</v>
      </c>
      <c r="H2724">
        <v>989</v>
      </c>
      <c r="I2724" t="s">
        <v>874</v>
      </c>
      <c r="J2724" t="str">
        <f>"2"</f>
        <v>2</v>
      </c>
      <c r="K2724">
        <v>60002</v>
      </c>
      <c r="L2724">
        <v>2905</v>
      </c>
      <c r="M2724">
        <v>11</v>
      </c>
      <c r="N2724">
        <v>2</v>
      </c>
      <c r="O2724">
        <v>1</v>
      </c>
      <c r="P2724" t="s">
        <v>18</v>
      </c>
      <c r="Q2724">
        <v>4</v>
      </c>
      <c r="R2724">
        <v>0</v>
      </c>
      <c r="S2724" t="s">
        <v>21</v>
      </c>
      <c r="T2724">
        <v>2</v>
      </c>
      <c r="U2724">
        <v>0</v>
      </c>
    </row>
    <row r="2725" spans="1:21" x14ac:dyDescent="0.25">
      <c r="A2725" t="str">
        <f>"10748545"</f>
        <v>10748545</v>
      </c>
      <c r="B2725" t="s">
        <v>15</v>
      </c>
      <c r="C2725" s="1">
        <v>44120</v>
      </c>
      <c r="D2725" s="2">
        <f>YEAR(C2725)</f>
        <v>2020</v>
      </c>
      <c r="E2725">
        <v>320000</v>
      </c>
      <c r="F2725" t="s">
        <v>85</v>
      </c>
      <c r="G2725">
        <v>2005</v>
      </c>
      <c r="H2725">
        <v>1189</v>
      </c>
      <c r="I2725" t="s">
        <v>878</v>
      </c>
      <c r="J2725" t="str">
        <f>"2"</f>
        <v>2</v>
      </c>
      <c r="K2725">
        <v>60002</v>
      </c>
      <c r="L2725">
        <v>2906</v>
      </c>
      <c r="M2725">
        <v>9</v>
      </c>
      <c r="N2725">
        <v>3</v>
      </c>
      <c r="O2725">
        <v>1</v>
      </c>
      <c r="P2725" t="s">
        <v>79</v>
      </c>
      <c r="Q2725">
        <v>4</v>
      </c>
      <c r="R2725">
        <v>0</v>
      </c>
      <c r="S2725" t="s">
        <v>21</v>
      </c>
      <c r="T2725">
        <v>2</v>
      </c>
      <c r="U2725">
        <v>0</v>
      </c>
    </row>
    <row r="2726" spans="1:21" x14ac:dyDescent="0.25">
      <c r="A2726" t="str">
        <f>"10487135"</f>
        <v>10487135</v>
      </c>
      <c r="B2726" t="s">
        <v>15</v>
      </c>
      <c r="C2726" s="1">
        <v>43750</v>
      </c>
      <c r="D2726" s="2">
        <f>YEAR(C2726)</f>
        <v>2019</v>
      </c>
      <c r="E2726">
        <v>225000</v>
      </c>
      <c r="F2726" t="s">
        <v>85</v>
      </c>
      <c r="G2726">
        <v>2002</v>
      </c>
      <c r="H2726">
        <v>26158</v>
      </c>
      <c r="I2726" t="s">
        <v>892</v>
      </c>
      <c r="J2726" t="str">
        <f>"2"</f>
        <v>2</v>
      </c>
      <c r="K2726">
        <v>60002</v>
      </c>
      <c r="L2726">
        <v>2912</v>
      </c>
      <c r="M2726">
        <v>6</v>
      </c>
      <c r="N2726">
        <v>2</v>
      </c>
      <c r="O2726">
        <v>0</v>
      </c>
      <c r="P2726" t="s">
        <v>18</v>
      </c>
      <c r="Q2726">
        <v>3</v>
      </c>
      <c r="R2726">
        <v>0</v>
      </c>
      <c r="S2726" t="s">
        <v>22</v>
      </c>
      <c r="T2726">
        <v>2</v>
      </c>
      <c r="U2726">
        <v>0</v>
      </c>
    </row>
    <row r="2727" spans="1:21" x14ac:dyDescent="0.25">
      <c r="A2727" t="str">
        <f>"10451455"</f>
        <v>10451455</v>
      </c>
      <c r="B2727" t="s">
        <v>15</v>
      </c>
      <c r="C2727" s="1">
        <v>43703</v>
      </c>
      <c r="D2727" s="2">
        <f>YEAR(C2727)</f>
        <v>2019</v>
      </c>
      <c r="E2727">
        <v>425001</v>
      </c>
      <c r="F2727" t="s">
        <v>85</v>
      </c>
      <c r="G2727">
        <v>1925</v>
      </c>
      <c r="H2727">
        <v>41297</v>
      </c>
      <c r="I2727" t="s">
        <v>819</v>
      </c>
      <c r="J2727" t="str">
        <f>"2"</f>
        <v>2</v>
      </c>
      <c r="K2727">
        <v>60002</v>
      </c>
      <c r="L2727">
        <v>2912</v>
      </c>
      <c r="M2727">
        <v>8</v>
      </c>
      <c r="N2727">
        <v>2</v>
      </c>
      <c r="O2727">
        <v>1</v>
      </c>
      <c r="P2727" t="s">
        <v>18</v>
      </c>
      <c r="Q2727">
        <v>4</v>
      </c>
      <c r="R2727">
        <v>0</v>
      </c>
      <c r="S2727" t="s">
        <v>22</v>
      </c>
      <c r="T2727">
        <v>2</v>
      </c>
      <c r="U2727">
        <v>0</v>
      </c>
    </row>
    <row r="2728" spans="1:21" x14ac:dyDescent="0.25">
      <c r="A2728" t="str">
        <f>"10378493"</f>
        <v>10378493</v>
      </c>
      <c r="B2728" t="s">
        <v>15</v>
      </c>
      <c r="C2728" s="1">
        <v>43658</v>
      </c>
      <c r="D2728" s="2">
        <f>YEAR(C2728)</f>
        <v>2019</v>
      </c>
      <c r="E2728">
        <v>260000</v>
      </c>
      <c r="F2728" t="s">
        <v>85</v>
      </c>
      <c r="G2728">
        <v>2006</v>
      </c>
      <c r="H2728">
        <v>859</v>
      </c>
      <c r="I2728" t="s">
        <v>777</v>
      </c>
      <c r="J2728" t="str">
        <f>"2"</f>
        <v>2</v>
      </c>
      <c r="K2728">
        <v>60002</v>
      </c>
      <c r="L2728">
        <v>2913</v>
      </c>
      <c r="M2728">
        <v>11</v>
      </c>
      <c r="N2728">
        <v>2</v>
      </c>
      <c r="O2728">
        <v>1</v>
      </c>
      <c r="P2728" t="s">
        <v>18</v>
      </c>
      <c r="Q2728">
        <v>4</v>
      </c>
      <c r="R2728">
        <v>0</v>
      </c>
      <c r="S2728" t="s">
        <v>21</v>
      </c>
      <c r="T2728">
        <v>2</v>
      </c>
      <c r="U2728">
        <v>0</v>
      </c>
    </row>
    <row r="2729" spans="1:21" x14ac:dyDescent="0.25">
      <c r="A2729" t="str">
        <f>"10368124"</f>
        <v>10368124</v>
      </c>
      <c r="B2729" t="s">
        <v>15</v>
      </c>
      <c r="C2729" s="1">
        <v>43629</v>
      </c>
      <c r="D2729" s="2">
        <f>YEAR(C2729)</f>
        <v>2019</v>
      </c>
      <c r="E2729">
        <v>299000</v>
      </c>
      <c r="F2729" t="s">
        <v>85</v>
      </c>
      <c r="G2729">
        <v>2004</v>
      </c>
      <c r="H2729">
        <v>1674</v>
      </c>
      <c r="I2729" t="s">
        <v>236</v>
      </c>
      <c r="J2729" t="str">
        <f>"2"</f>
        <v>2</v>
      </c>
      <c r="K2729">
        <v>60002</v>
      </c>
      <c r="L2729">
        <v>2914</v>
      </c>
      <c r="M2729">
        <v>11</v>
      </c>
      <c r="N2729">
        <v>2</v>
      </c>
      <c r="O2729">
        <v>1</v>
      </c>
      <c r="P2729" t="s">
        <v>18</v>
      </c>
      <c r="Q2729">
        <v>4</v>
      </c>
      <c r="R2729">
        <v>0</v>
      </c>
      <c r="S2729" t="s">
        <v>21</v>
      </c>
      <c r="T2729">
        <v>2</v>
      </c>
      <c r="U2729">
        <v>0</v>
      </c>
    </row>
    <row r="2730" spans="1:21" x14ac:dyDescent="0.25">
      <c r="A2730" t="str">
        <f>"10679152"</f>
        <v>10679152</v>
      </c>
      <c r="B2730" t="s">
        <v>15</v>
      </c>
      <c r="C2730" s="1">
        <v>43987</v>
      </c>
      <c r="D2730" s="2">
        <f>YEAR(C2730)</f>
        <v>2020</v>
      </c>
      <c r="E2730">
        <v>350000</v>
      </c>
      <c r="F2730" t="s">
        <v>85</v>
      </c>
      <c r="G2730">
        <v>2006</v>
      </c>
      <c r="H2730">
        <v>995</v>
      </c>
      <c r="I2730" t="s">
        <v>893</v>
      </c>
      <c r="J2730" t="str">
        <f>"2"</f>
        <v>2</v>
      </c>
      <c r="K2730">
        <v>60002</v>
      </c>
      <c r="L2730">
        <v>2922</v>
      </c>
      <c r="M2730">
        <v>11</v>
      </c>
      <c r="N2730">
        <v>3</v>
      </c>
      <c r="O2730">
        <v>1</v>
      </c>
      <c r="P2730" t="s">
        <v>79</v>
      </c>
      <c r="Q2730">
        <v>4</v>
      </c>
      <c r="R2730">
        <v>1</v>
      </c>
      <c r="S2730" t="s">
        <v>21</v>
      </c>
      <c r="T2730">
        <v>3</v>
      </c>
      <c r="U2730">
        <v>0</v>
      </c>
    </row>
    <row r="2731" spans="1:21" x14ac:dyDescent="0.25">
      <c r="A2731" t="str">
        <f>"10823336"</f>
        <v>10823336</v>
      </c>
      <c r="B2731" t="s">
        <v>15</v>
      </c>
      <c r="C2731" s="1">
        <v>44133</v>
      </c>
      <c r="D2731" s="2">
        <f>YEAR(C2731)</f>
        <v>2020</v>
      </c>
      <c r="E2731">
        <v>250000</v>
      </c>
      <c r="F2731" t="s">
        <v>85</v>
      </c>
      <c r="G2731">
        <v>2003</v>
      </c>
      <c r="H2731">
        <v>682</v>
      </c>
      <c r="I2731" t="s">
        <v>768</v>
      </c>
      <c r="J2731" t="str">
        <f>"2"</f>
        <v>2</v>
      </c>
      <c r="K2731">
        <v>60002</v>
      </c>
      <c r="L2731">
        <v>2923</v>
      </c>
      <c r="M2731">
        <v>11</v>
      </c>
      <c r="N2731">
        <v>2</v>
      </c>
      <c r="O2731">
        <v>1</v>
      </c>
      <c r="P2731" t="s">
        <v>18</v>
      </c>
      <c r="Q2731">
        <v>4</v>
      </c>
      <c r="R2731">
        <v>0</v>
      </c>
      <c r="S2731" t="s">
        <v>21</v>
      </c>
      <c r="T2731">
        <v>3</v>
      </c>
      <c r="U2731">
        <v>0</v>
      </c>
    </row>
    <row r="2732" spans="1:21" x14ac:dyDescent="0.25">
      <c r="A2732" t="str">
        <f>"10340477"</f>
        <v>10340477</v>
      </c>
      <c r="B2732" t="s">
        <v>15</v>
      </c>
      <c r="C2732" s="1">
        <v>43671</v>
      </c>
      <c r="D2732" s="2">
        <f>YEAR(C2732)</f>
        <v>2019</v>
      </c>
      <c r="E2732">
        <v>249900</v>
      </c>
      <c r="F2732" t="s">
        <v>85</v>
      </c>
      <c r="G2732">
        <v>2006</v>
      </c>
      <c r="H2732">
        <v>995</v>
      </c>
      <c r="I2732" t="s">
        <v>780</v>
      </c>
      <c r="J2732" t="str">
        <f>"2"</f>
        <v>2</v>
      </c>
      <c r="K2732">
        <v>60002</v>
      </c>
      <c r="L2732">
        <v>2924</v>
      </c>
      <c r="M2732">
        <v>10</v>
      </c>
      <c r="N2732">
        <v>2</v>
      </c>
      <c r="O2732">
        <v>1</v>
      </c>
      <c r="P2732" t="s">
        <v>18</v>
      </c>
      <c r="Q2732">
        <v>5</v>
      </c>
      <c r="R2732">
        <v>0</v>
      </c>
      <c r="S2732" t="s">
        <v>21</v>
      </c>
      <c r="T2732">
        <v>2</v>
      </c>
      <c r="U2732">
        <v>0</v>
      </c>
    </row>
    <row r="2733" spans="1:21" x14ac:dyDescent="0.25">
      <c r="A2733" t="str">
        <f>"10654607"</f>
        <v>10654607</v>
      </c>
      <c r="B2733" t="s">
        <v>15</v>
      </c>
      <c r="C2733" s="1">
        <v>44008</v>
      </c>
      <c r="D2733" s="2">
        <f>YEAR(C2733)</f>
        <v>2020</v>
      </c>
      <c r="E2733">
        <v>310000</v>
      </c>
      <c r="F2733" t="s">
        <v>85</v>
      </c>
      <c r="G2733">
        <v>1998</v>
      </c>
      <c r="H2733">
        <v>1377</v>
      </c>
      <c r="I2733" t="s">
        <v>845</v>
      </c>
      <c r="J2733" t="str">
        <f>"2"</f>
        <v>2</v>
      </c>
      <c r="K2733">
        <v>60002</v>
      </c>
      <c r="L2733">
        <v>2924</v>
      </c>
      <c r="M2733">
        <v>14</v>
      </c>
      <c r="N2733">
        <v>2</v>
      </c>
      <c r="O2733">
        <v>1</v>
      </c>
      <c r="P2733" t="s">
        <v>18</v>
      </c>
      <c r="Q2733">
        <v>4</v>
      </c>
      <c r="R2733">
        <v>0</v>
      </c>
      <c r="S2733" t="s">
        <v>21</v>
      </c>
      <c r="T2733">
        <v>3</v>
      </c>
      <c r="U2733">
        <v>0</v>
      </c>
    </row>
    <row r="2734" spans="1:21" x14ac:dyDescent="0.25">
      <c r="A2734" t="str">
        <f>"10854779"</f>
        <v>10854779</v>
      </c>
      <c r="B2734" t="s">
        <v>15</v>
      </c>
      <c r="C2734" s="1">
        <v>44124</v>
      </c>
      <c r="D2734" s="2">
        <f>YEAR(C2734)</f>
        <v>2020</v>
      </c>
      <c r="E2734">
        <v>255000</v>
      </c>
      <c r="F2734" t="s">
        <v>85</v>
      </c>
      <c r="G2734">
        <v>2006</v>
      </c>
      <c r="H2734">
        <v>945</v>
      </c>
      <c r="I2734" t="s">
        <v>236</v>
      </c>
      <c r="J2734" t="str">
        <f>"2"</f>
        <v>2</v>
      </c>
      <c r="K2734">
        <v>60002</v>
      </c>
      <c r="L2734">
        <v>2926</v>
      </c>
      <c r="M2734">
        <v>11</v>
      </c>
      <c r="N2734">
        <v>2</v>
      </c>
      <c r="O2734">
        <v>1</v>
      </c>
      <c r="P2734" t="s">
        <v>18</v>
      </c>
      <c r="Q2734">
        <v>4</v>
      </c>
      <c r="R2734">
        <v>0</v>
      </c>
      <c r="S2734" t="s">
        <v>21</v>
      </c>
      <c r="T2734">
        <v>2</v>
      </c>
      <c r="U2734">
        <v>0</v>
      </c>
    </row>
    <row r="2735" spans="1:21" x14ac:dyDescent="0.25">
      <c r="A2735" t="str">
        <f>"10745962"</f>
        <v>10745962</v>
      </c>
      <c r="B2735" t="s">
        <v>15</v>
      </c>
      <c r="C2735" s="1">
        <v>44034</v>
      </c>
      <c r="D2735" s="2">
        <f>YEAR(C2735)</f>
        <v>2020</v>
      </c>
      <c r="E2735">
        <v>306900</v>
      </c>
      <c r="F2735" t="s">
        <v>85</v>
      </c>
      <c r="G2735">
        <v>2003</v>
      </c>
      <c r="H2735">
        <v>895</v>
      </c>
      <c r="I2735" t="s">
        <v>829</v>
      </c>
      <c r="J2735" t="str">
        <f>"2"</f>
        <v>2</v>
      </c>
      <c r="K2735">
        <v>60002</v>
      </c>
      <c r="L2735">
        <v>2930</v>
      </c>
      <c r="M2735">
        <v>10</v>
      </c>
      <c r="N2735">
        <v>2</v>
      </c>
      <c r="O2735">
        <v>1</v>
      </c>
      <c r="P2735" t="s">
        <v>18</v>
      </c>
      <c r="Q2735">
        <v>4</v>
      </c>
      <c r="R2735">
        <v>0</v>
      </c>
      <c r="S2735" t="s">
        <v>21</v>
      </c>
      <c r="T2735">
        <v>3</v>
      </c>
      <c r="U2735">
        <v>0</v>
      </c>
    </row>
    <row r="2736" spans="1:21" x14ac:dyDescent="0.25">
      <c r="A2736" t="str">
        <f>"10666102"</f>
        <v>10666102</v>
      </c>
      <c r="B2736" t="s">
        <v>15</v>
      </c>
      <c r="C2736" s="1">
        <v>44050</v>
      </c>
      <c r="D2736" s="2">
        <f>YEAR(C2736)</f>
        <v>2020</v>
      </c>
      <c r="E2736">
        <v>310000</v>
      </c>
      <c r="F2736" t="s">
        <v>85</v>
      </c>
      <c r="G2736">
        <v>1994</v>
      </c>
      <c r="H2736">
        <v>24968</v>
      </c>
      <c r="I2736" t="s">
        <v>894</v>
      </c>
      <c r="J2736" t="str">
        <f>"2"</f>
        <v>2</v>
      </c>
      <c r="K2736">
        <v>60002</v>
      </c>
      <c r="L2736">
        <v>2938</v>
      </c>
      <c r="M2736">
        <v>12</v>
      </c>
      <c r="N2736">
        <v>2</v>
      </c>
      <c r="O2736">
        <v>1</v>
      </c>
      <c r="P2736" t="s">
        <v>18</v>
      </c>
      <c r="Q2736">
        <v>4</v>
      </c>
      <c r="R2736">
        <v>0</v>
      </c>
      <c r="S2736" t="s">
        <v>21</v>
      </c>
      <c r="T2736">
        <v>2</v>
      </c>
      <c r="U2736">
        <v>0</v>
      </c>
    </row>
    <row r="2737" spans="1:21" x14ac:dyDescent="0.25">
      <c r="A2737" t="str">
        <f>"10656877"</f>
        <v>10656877</v>
      </c>
      <c r="B2737" t="s">
        <v>15</v>
      </c>
      <c r="C2737" s="1">
        <v>43990</v>
      </c>
      <c r="D2737" s="2">
        <f>YEAR(C2737)</f>
        <v>2020</v>
      </c>
      <c r="E2737">
        <v>305000</v>
      </c>
      <c r="F2737" t="s">
        <v>85</v>
      </c>
      <c r="G2737">
        <v>2006</v>
      </c>
      <c r="H2737">
        <v>1130</v>
      </c>
      <c r="I2737" t="s">
        <v>895</v>
      </c>
      <c r="J2737" t="str">
        <f>"2"</f>
        <v>2</v>
      </c>
      <c r="K2737">
        <v>60002</v>
      </c>
      <c r="L2737">
        <v>2942</v>
      </c>
      <c r="M2737">
        <v>8</v>
      </c>
      <c r="N2737">
        <v>2</v>
      </c>
      <c r="O2737">
        <v>1</v>
      </c>
      <c r="P2737" t="s">
        <v>18</v>
      </c>
      <c r="Q2737">
        <v>4</v>
      </c>
      <c r="R2737">
        <v>0</v>
      </c>
      <c r="S2737" t="s">
        <v>21</v>
      </c>
      <c r="T2737">
        <v>3</v>
      </c>
      <c r="U2737">
        <v>0</v>
      </c>
    </row>
    <row r="2738" spans="1:21" x14ac:dyDescent="0.25">
      <c r="A2738" t="s">
        <v>896</v>
      </c>
      <c r="B2738" t="s">
        <v>15</v>
      </c>
      <c r="C2738" s="1">
        <v>44048</v>
      </c>
      <c r="D2738" s="2">
        <f>YEAR(C2738)</f>
        <v>2020</v>
      </c>
      <c r="E2738">
        <v>275000</v>
      </c>
      <c r="F2738" t="s">
        <v>548</v>
      </c>
      <c r="G2738">
        <v>2003</v>
      </c>
      <c r="H2738">
        <v>1054</v>
      </c>
      <c r="I2738" t="s">
        <v>726</v>
      </c>
      <c r="J2738" t="s">
        <v>600</v>
      </c>
      <c r="K2738">
        <v>60002</v>
      </c>
      <c r="L2738">
        <v>2944</v>
      </c>
      <c r="M2738">
        <v>9</v>
      </c>
      <c r="N2738">
        <v>3</v>
      </c>
      <c r="O2738">
        <v>1</v>
      </c>
      <c r="P2738" t="s">
        <v>79</v>
      </c>
      <c r="Q2738">
        <v>3</v>
      </c>
      <c r="R2738">
        <v>0</v>
      </c>
      <c r="S2738" t="s">
        <v>21</v>
      </c>
      <c r="T2738">
        <v>2</v>
      </c>
      <c r="U2738">
        <v>0</v>
      </c>
    </row>
    <row r="2739" spans="1:21" x14ac:dyDescent="0.25">
      <c r="A2739" t="str">
        <f>"10518822"</f>
        <v>10518822</v>
      </c>
      <c r="B2739" t="s">
        <v>15</v>
      </c>
      <c r="C2739" s="1">
        <v>43871</v>
      </c>
      <c r="D2739" s="2">
        <f>YEAR(C2739)</f>
        <v>2020</v>
      </c>
      <c r="E2739">
        <v>287000</v>
      </c>
      <c r="F2739" t="s">
        <v>85</v>
      </c>
      <c r="G2739">
        <v>2005</v>
      </c>
      <c r="H2739">
        <v>1267</v>
      </c>
      <c r="I2739" t="s">
        <v>837</v>
      </c>
      <c r="J2739" t="str">
        <f>"2"</f>
        <v>2</v>
      </c>
      <c r="K2739">
        <v>60002</v>
      </c>
      <c r="L2739">
        <v>2947</v>
      </c>
      <c r="M2739">
        <v>9</v>
      </c>
      <c r="N2739">
        <v>2</v>
      </c>
      <c r="O2739">
        <v>1</v>
      </c>
      <c r="P2739" t="s">
        <v>18</v>
      </c>
      <c r="Q2739">
        <v>4</v>
      </c>
      <c r="R2739">
        <v>0</v>
      </c>
      <c r="S2739" t="s">
        <v>21</v>
      </c>
      <c r="T2739">
        <v>2</v>
      </c>
      <c r="U2739">
        <v>0</v>
      </c>
    </row>
    <row r="2740" spans="1:21" x14ac:dyDescent="0.25">
      <c r="A2740" t="str">
        <f>"10593641"</f>
        <v>10593641</v>
      </c>
      <c r="B2740" t="s">
        <v>15</v>
      </c>
      <c r="C2740" s="1">
        <v>43945</v>
      </c>
      <c r="D2740" s="2">
        <f>YEAR(C2740)</f>
        <v>2020</v>
      </c>
      <c r="E2740">
        <v>224900</v>
      </c>
      <c r="F2740" t="s">
        <v>85</v>
      </c>
      <c r="G2740">
        <v>2007</v>
      </c>
      <c r="H2740">
        <v>904</v>
      </c>
      <c r="I2740" t="s">
        <v>746</v>
      </c>
      <c r="J2740" t="str">
        <f>"2"</f>
        <v>2</v>
      </c>
      <c r="K2740">
        <v>60002</v>
      </c>
      <c r="L2740">
        <v>2947</v>
      </c>
      <c r="M2740">
        <v>10</v>
      </c>
      <c r="N2740">
        <v>2</v>
      </c>
      <c r="O2740">
        <v>1</v>
      </c>
      <c r="P2740" t="s">
        <v>18</v>
      </c>
      <c r="Q2740">
        <v>5</v>
      </c>
      <c r="R2740">
        <v>0</v>
      </c>
      <c r="S2740" t="s">
        <v>21</v>
      </c>
      <c r="T2740">
        <v>3</v>
      </c>
      <c r="U2740">
        <v>0</v>
      </c>
    </row>
    <row r="2741" spans="1:21" x14ac:dyDescent="0.25">
      <c r="A2741" t="str">
        <f>"10387866"</f>
        <v>10387866</v>
      </c>
      <c r="B2741" t="s">
        <v>15</v>
      </c>
      <c r="C2741" s="1">
        <v>43661</v>
      </c>
      <c r="D2741" s="2">
        <f>YEAR(C2741)</f>
        <v>2019</v>
      </c>
      <c r="E2741">
        <v>270000</v>
      </c>
      <c r="F2741" t="s">
        <v>85</v>
      </c>
      <c r="G2741">
        <v>2004</v>
      </c>
      <c r="H2741">
        <v>701</v>
      </c>
      <c r="I2741" t="s">
        <v>847</v>
      </c>
      <c r="J2741" t="str">
        <f>"2"</f>
        <v>2</v>
      </c>
      <c r="K2741">
        <v>60002</v>
      </c>
      <c r="L2741">
        <v>2949</v>
      </c>
      <c r="M2741">
        <v>7</v>
      </c>
      <c r="N2741">
        <v>4</v>
      </c>
      <c r="O2741">
        <v>0</v>
      </c>
      <c r="P2741" t="s">
        <v>18</v>
      </c>
      <c r="Q2741">
        <v>4</v>
      </c>
      <c r="R2741">
        <v>0</v>
      </c>
      <c r="S2741" t="s">
        <v>21</v>
      </c>
      <c r="T2741">
        <v>3</v>
      </c>
      <c r="U2741">
        <v>0</v>
      </c>
    </row>
    <row r="2742" spans="1:21" x14ac:dyDescent="0.25">
      <c r="A2742" t="s">
        <v>897</v>
      </c>
      <c r="B2742" t="s">
        <v>15</v>
      </c>
      <c r="C2742" s="1">
        <v>43818</v>
      </c>
      <c r="D2742" s="2">
        <f>YEAR(C2742)</f>
        <v>2019</v>
      </c>
      <c r="E2742">
        <v>265000</v>
      </c>
      <c r="F2742" t="s">
        <v>548</v>
      </c>
      <c r="G2742">
        <v>2006</v>
      </c>
      <c r="H2742">
        <v>1308</v>
      </c>
      <c r="I2742" t="s">
        <v>898</v>
      </c>
      <c r="J2742" t="s">
        <v>600</v>
      </c>
      <c r="K2742">
        <v>60002</v>
      </c>
      <c r="L2742">
        <v>2950</v>
      </c>
      <c r="M2742">
        <v>5</v>
      </c>
      <c r="N2742">
        <v>3</v>
      </c>
      <c r="O2742">
        <v>1</v>
      </c>
      <c r="P2742" t="s">
        <v>18</v>
      </c>
      <c r="Q2742">
        <v>2</v>
      </c>
      <c r="R2742">
        <v>0</v>
      </c>
      <c r="S2742" t="s">
        <v>21</v>
      </c>
      <c r="T2742">
        <v>2</v>
      </c>
      <c r="U2742">
        <v>0</v>
      </c>
    </row>
    <row r="2743" spans="1:21" x14ac:dyDescent="0.25">
      <c r="A2743" t="str">
        <f>"10501531"</f>
        <v>10501531</v>
      </c>
      <c r="B2743" t="s">
        <v>15</v>
      </c>
      <c r="C2743" s="1">
        <v>43770</v>
      </c>
      <c r="D2743" s="2">
        <f>YEAR(C2743)</f>
        <v>2019</v>
      </c>
      <c r="E2743">
        <v>334900</v>
      </c>
      <c r="F2743" t="s">
        <v>85</v>
      </c>
      <c r="G2743">
        <v>2001</v>
      </c>
      <c r="H2743">
        <v>821</v>
      </c>
      <c r="I2743" t="s">
        <v>757</v>
      </c>
      <c r="J2743" t="str">
        <f>"2"</f>
        <v>2</v>
      </c>
      <c r="K2743">
        <v>60002</v>
      </c>
      <c r="L2743">
        <v>2955</v>
      </c>
      <c r="M2743">
        <v>10</v>
      </c>
      <c r="N2743">
        <v>3</v>
      </c>
      <c r="O2743">
        <v>1</v>
      </c>
      <c r="P2743" t="s">
        <v>79</v>
      </c>
      <c r="Q2743">
        <v>3</v>
      </c>
      <c r="R2743">
        <v>1</v>
      </c>
      <c r="S2743" t="s">
        <v>21</v>
      </c>
      <c r="T2743">
        <v>2</v>
      </c>
      <c r="U2743">
        <v>0</v>
      </c>
    </row>
    <row r="2744" spans="1:21" x14ac:dyDescent="0.25">
      <c r="A2744" t="str">
        <f>"10719750"</f>
        <v>10719750</v>
      </c>
      <c r="B2744" t="s">
        <v>15</v>
      </c>
      <c r="C2744" s="1">
        <v>44036</v>
      </c>
      <c r="D2744" s="2">
        <f>YEAR(C2744)</f>
        <v>2020</v>
      </c>
      <c r="E2744">
        <v>284900</v>
      </c>
      <c r="F2744" t="s">
        <v>85</v>
      </c>
      <c r="G2744">
        <v>2007</v>
      </c>
      <c r="H2744">
        <v>907</v>
      </c>
      <c r="I2744" t="s">
        <v>874</v>
      </c>
      <c r="J2744" t="str">
        <f>"2"</f>
        <v>2</v>
      </c>
      <c r="K2744">
        <v>60002</v>
      </c>
      <c r="L2744">
        <v>2956</v>
      </c>
      <c r="M2744">
        <v>10</v>
      </c>
      <c r="N2744">
        <v>2</v>
      </c>
      <c r="O2744">
        <v>1</v>
      </c>
      <c r="P2744" t="s">
        <v>18</v>
      </c>
      <c r="Q2744">
        <v>4</v>
      </c>
      <c r="R2744">
        <v>1</v>
      </c>
      <c r="S2744" t="s">
        <v>21</v>
      </c>
      <c r="T2744">
        <v>2</v>
      </c>
      <c r="U2744">
        <v>0</v>
      </c>
    </row>
    <row r="2745" spans="1:21" x14ac:dyDescent="0.25">
      <c r="A2745" t="str">
        <f>"10744101"</f>
        <v>10744101</v>
      </c>
      <c r="B2745" t="s">
        <v>15</v>
      </c>
      <c r="C2745" s="1">
        <v>44041</v>
      </c>
      <c r="D2745" s="2">
        <f>YEAR(C2745)</f>
        <v>2020</v>
      </c>
      <c r="E2745">
        <v>289000</v>
      </c>
      <c r="F2745" t="s">
        <v>85</v>
      </c>
      <c r="G2745">
        <v>2007</v>
      </c>
      <c r="H2745">
        <v>1280</v>
      </c>
      <c r="I2745" t="s">
        <v>878</v>
      </c>
      <c r="J2745" t="str">
        <f>"2"</f>
        <v>2</v>
      </c>
      <c r="K2745">
        <v>60002</v>
      </c>
      <c r="L2745">
        <v>2960</v>
      </c>
      <c r="M2745">
        <v>8</v>
      </c>
      <c r="N2745">
        <v>2</v>
      </c>
      <c r="O2745">
        <v>1</v>
      </c>
      <c r="P2745" t="s">
        <v>18</v>
      </c>
      <c r="Q2745">
        <v>4</v>
      </c>
      <c r="R2745">
        <v>0</v>
      </c>
      <c r="S2745" t="s">
        <v>21</v>
      </c>
      <c r="T2745">
        <v>2</v>
      </c>
      <c r="U2745">
        <v>0</v>
      </c>
    </row>
    <row r="2746" spans="1:21" x14ac:dyDescent="0.25">
      <c r="A2746" t="str">
        <f>"10677976"</f>
        <v>10677976</v>
      </c>
      <c r="B2746" t="s">
        <v>15</v>
      </c>
      <c r="C2746" s="1">
        <v>43973</v>
      </c>
      <c r="D2746" s="2">
        <f>YEAR(C2746)</f>
        <v>2020</v>
      </c>
      <c r="E2746">
        <v>350000</v>
      </c>
      <c r="F2746" t="s">
        <v>85</v>
      </c>
      <c r="G2746">
        <v>1987</v>
      </c>
      <c r="H2746">
        <v>43415</v>
      </c>
      <c r="I2746" t="s">
        <v>899</v>
      </c>
      <c r="J2746" t="str">
        <f>"2"</f>
        <v>2</v>
      </c>
      <c r="K2746">
        <v>60002</v>
      </c>
      <c r="L2746">
        <v>2960</v>
      </c>
      <c r="M2746">
        <v>9</v>
      </c>
      <c r="N2746">
        <v>3</v>
      </c>
      <c r="O2746">
        <v>0</v>
      </c>
      <c r="P2746" t="s">
        <v>18</v>
      </c>
      <c r="Q2746">
        <v>5</v>
      </c>
      <c r="R2746">
        <v>0</v>
      </c>
      <c r="S2746" t="s">
        <v>21</v>
      </c>
      <c r="T2746">
        <v>2</v>
      </c>
      <c r="U2746">
        <v>0</v>
      </c>
    </row>
    <row r="2747" spans="1:21" x14ac:dyDescent="0.25">
      <c r="A2747" t="str">
        <f>"10335142"</f>
        <v>10335142</v>
      </c>
      <c r="B2747" t="s">
        <v>15</v>
      </c>
      <c r="C2747" s="1">
        <v>43773</v>
      </c>
      <c r="D2747" s="2">
        <f>YEAR(C2747)</f>
        <v>2019</v>
      </c>
      <c r="E2747">
        <v>349900</v>
      </c>
      <c r="F2747" t="s">
        <v>85</v>
      </c>
      <c r="G2747">
        <v>2001</v>
      </c>
      <c r="H2747">
        <v>767</v>
      </c>
      <c r="I2747" t="s">
        <v>757</v>
      </c>
      <c r="J2747" t="str">
        <f>"2"</f>
        <v>2</v>
      </c>
      <c r="K2747">
        <v>60002</v>
      </c>
      <c r="L2747">
        <v>2962</v>
      </c>
      <c r="M2747">
        <v>14</v>
      </c>
      <c r="N2747">
        <v>3</v>
      </c>
      <c r="O2747">
        <v>1</v>
      </c>
      <c r="P2747" t="s">
        <v>79</v>
      </c>
      <c r="Q2747">
        <v>5</v>
      </c>
      <c r="R2747">
        <v>0</v>
      </c>
      <c r="S2747" t="s">
        <v>21</v>
      </c>
      <c r="T2747">
        <v>3</v>
      </c>
      <c r="U2747">
        <v>0</v>
      </c>
    </row>
    <row r="2748" spans="1:21" x14ac:dyDescent="0.25">
      <c r="A2748" t="str">
        <f>"10002048"</f>
        <v>10002048</v>
      </c>
      <c r="B2748" t="s">
        <v>15</v>
      </c>
      <c r="C2748" s="1">
        <v>43574</v>
      </c>
      <c r="D2748" s="2">
        <f>YEAR(C2748)</f>
        <v>2019</v>
      </c>
      <c r="E2748">
        <v>233100</v>
      </c>
      <c r="F2748" t="s">
        <v>85</v>
      </c>
      <c r="G2748">
        <v>1998</v>
      </c>
      <c r="H2748">
        <v>626</v>
      </c>
      <c r="I2748" t="s">
        <v>844</v>
      </c>
      <c r="J2748" t="str">
        <f>"2"</f>
        <v>2</v>
      </c>
      <c r="K2748">
        <v>60002</v>
      </c>
      <c r="L2748">
        <v>2965</v>
      </c>
      <c r="M2748">
        <v>9</v>
      </c>
      <c r="N2748">
        <v>3</v>
      </c>
      <c r="O2748">
        <v>1</v>
      </c>
      <c r="P2748" t="s">
        <v>79</v>
      </c>
      <c r="Q2748">
        <v>3</v>
      </c>
      <c r="R2748">
        <v>1</v>
      </c>
      <c r="S2748" t="s">
        <v>21</v>
      </c>
      <c r="T2748">
        <v>3</v>
      </c>
      <c r="U2748">
        <v>0</v>
      </c>
    </row>
    <row r="2749" spans="1:21" x14ac:dyDescent="0.25">
      <c r="A2749" t="str">
        <f>"10130961"</f>
        <v>10130961</v>
      </c>
      <c r="B2749" t="s">
        <v>15</v>
      </c>
      <c r="C2749" s="1">
        <v>43504</v>
      </c>
      <c r="D2749" s="2">
        <f>YEAR(C2749)</f>
        <v>2019</v>
      </c>
      <c r="E2749">
        <v>279000</v>
      </c>
      <c r="F2749" t="s">
        <v>85</v>
      </c>
      <c r="G2749">
        <v>1987</v>
      </c>
      <c r="H2749">
        <v>24627</v>
      </c>
      <c r="I2749" t="s">
        <v>879</v>
      </c>
      <c r="J2749" t="str">
        <f>"2"</f>
        <v>2</v>
      </c>
      <c r="K2749">
        <v>60002</v>
      </c>
      <c r="L2749">
        <v>2976</v>
      </c>
      <c r="M2749">
        <v>8</v>
      </c>
      <c r="N2749">
        <v>2</v>
      </c>
      <c r="O2749">
        <v>1</v>
      </c>
      <c r="P2749" t="s">
        <v>18</v>
      </c>
      <c r="Q2749">
        <v>3</v>
      </c>
      <c r="R2749">
        <v>0</v>
      </c>
      <c r="S2749" t="s">
        <v>21</v>
      </c>
      <c r="T2749">
        <v>3</v>
      </c>
      <c r="U2749">
        <v>0</v>
      </c>
    </row>
    <row r="2750" spans="1:21" x14ac:dyDescent="0.25">
      <c r="A2750" t="str">
        <f>"10573720"</f>
        <v>10573720</v>
      </c>
      <c r="B2750" t="s">
        <v>15</v>
      </c>
      <c r="C2750" s="1">
        <v>43833</v>
      </c>
      <c r="D2750" s="2">
        <f>YEAR(C2750)</f>
        <v>2020</v>
      </c>
      <c r="E2750">
        <v>240000</v>
      </c>
      <c r="F2750" t="s">
        <v>85</v>
      </c>
      <c r="G2750">
        <v>1970</v>
      </c>
      <c r="H2750">
        <v>617</v>
      </c>
      <c r="I2750" t="s">
        <v>900</v>
      </c>
      <c r="J2750" t="str">
        <f>"2"</f>
        <v>2</v>
      </c>
      <c r="K2750">
        <v>60002</v>
      </c>
      <c r="L2750">
        <v>2976</v>
      </c>
      <c r="M2750">
        <v>9</v>
      </c>
      <c r="N2750">
        <v>3</v>
      </c>
      <c r="O2750">
        <v>1</v>
      </c>
      <c r="P2750" t="s">
        <v>79</v>
      </c>
      <c r="Q2750">
        <v>4</v>
      </c>
      <c r="R2750">
        <v>0</v>
      </c>
      <c r="S2750" t="s">
        <v>21</v>
      </c>
      <c r="T2750">
        <v>2</v>
      </c>
      <c r="U2750">
        <v>0</v>
      </c>
    </row>
    <row r="2751" spans="1:21" x14ac:dyDescent="0.25">
      <c r="A2751" t="str">
        <f>"10797652"</f>
        <v>10797652</v>
      </c>
      <c r="B2751" t="s">
        <v>15</v>
      </c>
      <c r="C2751" s="1">
        <v>44071</v>
      </c>
      <c r="D2751" s="2">
        <f>YEAR(C2751)</f>
        <v>2020</v>
      </c>
      <c r="E2751">
        <v>285000</v>
      </c>
      <c r="F2751" t="s">
        <v>85</v>
      </c>
      <c r="G2751">
        <v>1986</v>
      </c>
      <c r="H2751">
        <v>161</v>
      </c>
      <c r="I2751" t="s">
        <v>604</v>
      </c>
      <c r="J2751" t="str">
        <f>"2"</f>
        <v>2</v>
      </c>
      <c r="K2751">
        <v>60002</v>
      </c>
      <c r="L2751">
        <v>2976</v>
      </c>
      <c r="M2751">
        <v>8</v>
      </c>
      <c r="N2751">
        <v>3</v>
      </c>
      <c r="O2751">
        <v>0</v>
      </c>
      <c r="P2751" t="s">
        <v>79</v>
      </c>
      <c r="Q2751">
        <v>3</v>
      </c>
      <c r="R2751">
        <v>0</v>
      </c>
      <c r="S2751" t="s">
        <v>21</v>
      </c>
      <c r="T2751">
        <v>2.5</v>
      </c>
      <c r="U2751">
        <v>0</v>
      </c>
    </row>
    <row r="2752" spans="1:21" x14ac:dyDescent="0.25">
      <c r="A2752" t="str">
        <f>"10502211"</f>
        <v>10502211</v>
      </c>
      <c r="B2752" t="s">
        <v>15</v>
      </c>
      <c r="C2752" s="1">
        <v>43840</v>
      </c>
      <c r="D2752" s="2">
        <f>YEAR(C2752)</f>
        <v>2020</v>
      </c>
      <c r="E2752">
        <v>230000</v>
      </c>
      <c r="F2752" t="s">
        <v>85</v>
      </c>
      <c r="G2752">
        <v>2006</v>
      </c>
      <c r="H2752">
        <v>1298</v>
      </c>
      <c r="I2752" t="s">
        <v>878</v>
      </c>
      <c r="J2752" t="str">
        <f>"2"</f>
        <v>2</v>
      </c>
      <c r="K2752">
        <v>60002</v>
      </c>
      <c r="L2752">
        <v>2979</v>
      </c>
      <c r="M2752">
        <v>9</v>
      </c>
      <c r="N2752">
        <v>2</v>
      </c>
      <c r="O2752">
        <v>1</v>
      </c>
      <c r="P2752" t="s">
        <v>18</v>
      </c>
      <c r="Q2752">
        <v>4</v>
      </c>
      <c r="R2752">
        <v>0</v>
      </c>
      <c r="S2752" t="s">
        <v>21</v>
      </c>
      <c r="T2752">
        <v>2</v>
      </c>
      <c r="U2752">
        <v>0</v>
      </c>
    </row>
    <row r="2753" spans="1:21" x14ac:dyDescent="0.25">
      <c r="A2753" t="str">
        <f>"10464323"</f>
        <v>10464323</v>
      </c>
      <c r="B2753" t="s">
        <v>15</v>
      </c>
      <c r="C2753" s="1">
        <v>43825</v>
      </c>
      <c r="D2753" s="2">
        <f>YEAR(C2753)</f>
        <v>2019</v>
      </c>
      <c r="E2753">
        <v>224639</v>
      </c>
      <c r="F2753" t="s">
        <v>85</v>
      </c>
      <c r="G2753">
        <v>2004</v>
      </c>
      <c r="H2753">
        <v>1689</v>
      </c>
      <c r="I2753" t="s">
        <v>236</v>
      </c>
      <c r="J2753" t="str">
        <f>"2"</f>
        <v>2</v>
      </c>
      <c r="K2753">
        <v>60002</v>
      </c>
      <c r="L2753">
        <v>2986</v>
      </c>
      <c r="M2753">
        <v>8</v>
      </c>
      <c r="N2753">
        <v>2</v>
      </c>
      <c r="O2753">
        <v>1</v>
      </c>
      <c r="P2753" t="s">
        <v>18</v>
      </c>
      <c r="Q2753">
        <v>4</v>
      </c>
      <c r="R2753">
        <v>0</v>
      </c>
      <c r="S2753" t="s">
        <v>21</v>
      </c>
      <c r="T2753">
        <v>3</v>
      </c>
      <c r="U2753">
        <v>0</v>
      </c>
    </row>
    <row r="2754" spans="1:21" x14ac:dyDescent="0.25">
      <c r="A2754" t="str">
        <f>"10707098"</f>
        <v>10707098</v>
      </c>
      <c r="B2754" t="s">
        <v>15</v>
      </c>
      <c r="C2754" s="1">
        <v>43994</v>
      </c>
      <c r="D2754" s="2">
        <f>YEAR(C2754)</f>
        <v>2020</v>
      </c>
      <c r="E2754">
        <v>367500</v>
      </c>
      <c r="F2754" t="s">
        <v>85</v>
      </c>
      <c r="G2754">
        <v>2001</v>
      </c>
      <c r="H2754">
        <v>40698</v>
      </c>
      <c r="I2754" t="s">
        <v>842</v>
      </c>
      <c r="J2754" t="str">
        <f>"2"</f>
        <v>2</v>
      </c>
      <c r="K2754">
        <v>60002</v>
      </c>
      <c r="L2754">
        <v>2992</v>
      </c>
      <c r="M2754">
        <v>11</v>
      </c>
      <c r="N2754">
        <v>2</v>
      </c>
      <c r="O2754">
        <v>1</v>
      </c>
      <c r="P2754" t="s">
        <v>18</v>
      </c>
      <c r="Q2754">
        <v>4</v>
      </c>
      <c r="R2754">
        <v>0</v>
      </c>
      <c r="S2754" t="s">
        <v>21</v>
      </c>
      <c r="T2754">
        <v>3</v>
      </c>
      <c r="U2754">
        <v>0</v>
      </c>
    </row>
    <row r="2755" spans="1:21" x14ac:dyDescent="0.25">
      <c r="A2755" t="str">
        <f>"10677987"</f>
        <v>10677987</v>
      </c>
      <c r="B2755" t="s">
        <v>15</v>
      </c>
      <c r="C2755" s="1">
        <v>44133</v>
      </c>
      <c r="D2755" s="2">
        <f>YEAR(C2755)</f>
        <v>2020</v>
      </c>
      <c r="E2755">
        <v>256000</v>
      </c>
      <c r="F2755" t="s">
        <v>85</v>
      </c>
      <c r="G2755">
        <v>2004</v>
      </c>
      <c r="H2755">
        <v>704</v>
      </c>
      <c r="I2755" t="s">
        <v>848</v>
      </c>
      <c r="J2755" t="str">
        <f>"2"</f>
        <v>2</v>
      </c>
      <c r="K2755">
        <v>60002</v>
      </c>
      <c r="L2755">
        <v>2994</v>
      </c>
      <c r="M2755">
        <v>10</v>
      </c>
      <c r="N2755">
        <v>2</v>
      </c>
      <c r="O2755">
        <v>1</v>
      </c>
      <c r="P2755" t="s">
        <v>18</v>
      </c>
      <c r="Q2755">
        <v>4</v>
      </c>
      <c r="R2755">
        <v>0</v>
      </c>
      <c r="S2755" t="s">
        <v>21</v>
      </c>
      <c r="T2755">
        <v>3</v>
      </c>
      <c r="U2755">
        <v>0</v>
      </c>
    </row>
    <row r="2756" spans="1:21" x14ac:dyDescent="0.25">
      <c r="A2756" t="str">
        <f>"10630152"</f>
        <v>10630152</v>
      </c>
      <c r="B2756" t="s">
        <v>15</v>
      </c>
      <c r="C2756" s="1">
        <v>43930</v>
      </c>
      <c r="D2756" s="2">
        <f>YEAR(C2756)</f>
        <v>2020</v>
      </c>
      <c r="E2756">
        <v>285000</v>
      </c>
      <c r="F2756" t="s">
        <v>85</v>
      </c>
      <c r="G2756">
        <v>2005</v>
      </c>
      <c r="H2756">
        <v>1870</v>
      </c>
      <c r="I2756" t="s">
        <v>824</v>
      </c>
      <c r="J2756" t="str">
        <f>"2"</f>
        <v>2</v>
      </c>
      <c r="K2756">
        <v>60002</v>
      </c>
      <c r="L2756">
        <v>2994</v>
      </c>
      <c r="M2756">
        <v>10</v>
      </c>
      <c r="N2756">
        <v>3</v>
      </c>
      <c r="O2756">
        <v>1</v>
      </c>
      <c r="P2756" t="s">
        <v>79</v>
      </c>
      <c r="Q2756">
        <v>4</v>
      </c>
      <c r="R2756">
        <v>1</v>
      </c>
      <c r="S2756" t="s">
        <v>21</v>
      </c>
      <c r="T2756">
        <v>2</v>
      </c>
      <c r="U2756">
        <v>0</v>
      </c>
    </row>
    <row r="2757" spans="1:21" x14ac:dyDescent="0.25">
      <c r="A2757" t="str">
        <f>"10827168"</f>
        <v>10827168</v>
      </c>
      <c r="B2757" t="s">
        <v>15</v>
      </c>
      <c r="C2757" s="1">
        <v>44155</v>
      </c>
      <c r="D2757" s="2">
        <f>YEAR(C2757)</f>
        <v>2020</v>
      </c>
      <c r="E2757">
        <v>257000</v>
      </c>
      <c r="F2757" t="s">
        <v>85</v>
      </c>
      <c r="G2757">
        <v>2004</v>
      </c>
      <c r="H2757">
        <v>1197</v>
      </c>
      <c r="I2757" t="s">
        <v>761</v>
      </c>
      <c r="J2757" t="str">
        <f>"2"</f>
        <v>2</v>
      </c>
      <c r="K2757">
        <v>60002</v>
      </c>
      <c r="L2757">
        <v>3000</v>
      </c>
      <c r="M2757">
        <v>11</v>
      </c>
      <c r="N2757">
        <v>2</v>
      </c>
      <c r="O2757">
        <v>1</v>
      </c>
      <c r="P2757" t="s">
        <v>18</v>
      </c>
      <c r="Q2757">
        <v>4</v>
      </c>
      <c r="R2757">
        <v>0</v>
      </c>
      <c r="S2757" t="s">
        <v>21</v>
      </c>
      <c r="T2757">
        <v>2</v>
      </c>
      <c r="U2757">
        <v>0</v>
      </c>
    </row>
    <row r="2758" spans="1:21" x14ac:dyDescent="0.25">
      <c r="A2758" t="str">
        <f>"10890001"</f>
        <v>10890001</v>
      </c>
      <c r="B2758" t="s">
        <v>15</v>
      </c>
      <c r="C2758" s="1">
        <v>44148</v>
      </c>
      <c r="D2758" s="2">
        <f>YEAR(C2758)</f>
        <v>2020</v>
      </c>
      <c r="E2758">
        <v>315000</v>
      </c>
      <c r="F2758" t="s">
        <v>85</v>
      </c>
      <c r="G2758">
        <v>1991</v>
      </c>
      <c r="H2758">
        <v>610</v>
      </c>
      <c r="I2758" t="s">
        <v>851</v>
      </c>
      <c r="J2758" t="str">
        <f>"2"</f>
        <v>2</v>
      </c>
      <c r="K2758">
        <v>60002</v>
      </c>
      <c r="L2758">
        <v>3000</v>
      </c>
      <c r="M2758">
        <v>10</v>
      </c>
      <c r="N2758">
        <v>3</v>
      </c>
      <c r="O2758">
        <v>1</v>
      </c>
      <c r="P2758" t="s">
        <v>79</v>
      </c>
      <c r="Q2758">
        <v>5</v>
      </c>
      <c r="R2758">
        <v>0</v>
      </c>
      <c r="S2758" t="s">
        <v>21</v>
      </c>
      <c r="T2758">
        <v>3</v>
      </c>
      <c r="U2758">
        <v>0</v>
      </c>
    </row>
    <row r="2759" spans="1:21" x14ac:dyDescent="0.25">
      <c r="A2759" t="str">
        <f>"10629823"</f>
        <v>10629823</v>
      </c>
      <c r="B2759" t="s">
        <v>15</v>
      </c>
      <c r="C2759" s="1">
        <v>43965</v>
      </c>
      <c r="D2759" s="2">
        <f>YEAR(C2759)</f>
        <v>2020</v>
      </c>
      <c r="E2759">
        <v>290000</v>
      </c>
      <c r="F2759" t="s">
        <v>85</v>
      </c>
      <c r="G2759">
        <v>1996</v>
      </c>
      <c r="H2759">
        <v>668</v>
      </c>
      <c r="I2759" t="s">
        <v>115</v>
      </c>
      <c r="J2759" t="str">
        <f>"2"</f>
        <v>2</v>
      </c>
      <c r="K2759">
        <v>60002</v>
      </c>
      <c r="L2759">
        <v>3005</v>
      </c>
      <c r="M2759">
        <v>10</v>
      </c>
      <c r="N2759">
        <v>2</v>
      </c>
      <c r="O2759">
        <v>1</v>
      </c>
      <c r="P2759" t="s">
        <v>18</v>
      </c>
      <c r="Q2759">
        <v>5</v>
      </c>
      <c r="R2759">
        <v>0</v>
      </c>
      <c r="S2759" t="s">
        <v>21</v>
      </c>
      <c r="T2759">
        <v>3</v>
      </c>
      <c r="U2759">
        <v>0</v>
      </c>
    </row>
    <row r="2760" spans="1:21" x14ac:dyDescent="0.25">
      <c r="A2760" t="str">
        <f>"10782510"</f>
        <v>10782510</v>
      </c>
      <c r="B2760" t="s">
        <v>15</v>
      </c>
      <c r="C2760" s="1">
        <v>44085</v>
      </c>
      <c r="D2760" s="2">
        <f>YEAR(C2760)</f>
        <v>2020</v>
      </c>
      <c r="E2760">
        <v>290000</v>
      </c>
      <c r="F2760" t="s">
        <v>85</v>
      </c>
      <c r="G2760">
        <v>2005</v>
      </c>
      <c r="H2760">
        <v>972</v>
      </c>
      <c r="I2760" t="s">
        <v>777</v>
      </c>
      <c r="J2760" t="str">
        <f>"2"</f>
        <v>2</v>
      </c>
      <c r="K2760">
        <v>60002</v>
      </c>
      <c r="L2760">
        <v>3011</v>
      </c>
      <c r="M2760">
        <v>10</v>
      </c>
      <c r="N2760">
        <v>2</v>
      </c>
      <c r="O2760">
        <v>1</v>
      </c>
      <c r="P2760" t="s">
        <v>18</v>
      </c>
      <c r="Q2760">
        <v>4</v>
      </c>
      <c r="R2760">
        <v>0</v>
      </c>
      <c r="S2760" t="s">
        <v>21</v>
      </c>
      <c r="T2760">
        <v>2</v>
      </c>
      <c r="U2760">
        <v>0</v>
      </c>
    </row>
    <row r="2761" spans="1:21" x14ac:dyDescent="0.25">
      <c r="A2761" t="str">
        <f>"10295568"</f>
        <v>10295568</v>
      </c>
      <c r="B2761" t="s">
        <v>15</v>
      </c>
      <c r="C2761" s="1">
        <v>43633</v>
      </c>
      <c r="D2761" s="2">
        <f>YEAR(C2761)</f>
        <v>2019</v>
      </c>
      <c r="E2761">
        <v>309900</v>
      </c>
      <c r="F2761" t="s">
        <v>85</v>
      </c>
      <c r="G2761">
        <v>1998</v>
      </c>
      <c r="H2761">
        <v>645</v>
      </c>
      <c r="I2761" t="s">
        <v>901</v>
      </c>
      <c r="J2761" t="str">
        <f>"2"</f>
        <v>2</v>
      </c>
      <c r="K2761">
        <v>60002</v>
      </c>
      <c r="L2761">
        <v>3012</v>
      </c>
      <c r="M2761">
        <v>11</v>
      </c>
      <c r="N2761">
        <v>3</v>
      </c>
      <c r="O2761">
        <v>1</v>
      </c>
      <c r="P2761" t="s">
        <v>79</v>
      </c>
      <c r="Q2761">
        <v>4</v>
      </c>
      <c r="R2761">
        <v>1</v>
      </c>
      <c r="S2761" t="s">
        <v>21</v>
      </c>
      <c r="T2761">
        <v>2</v>
      </c>
      <c r="U2761">
        <v>0</v>
      </c>
    </row>
    <row r="2762" spans="1:21" x14ac:dyDescent="0.25">
      <c r="A2762" t="str">
        <f>"10629235"</f>
        <v>10629235</v>
      </c>
      <c r="B2762" t="s">
        <v>15</v>
      </c>
      <c r="C2762" s="1">
        <v>43920</v>
      </c>
      <c r="D2762" s="2">
        <f>YEAR(C2762)</f>
        <v>2020</v>
      </c>
      <c r="E2762">
        <v>350000</v>
      </c>
      <c r="F2762" t="s">
        <v>85</v>
      </c>
      <c r="G2762">
        <v>1986</v>
      </c>
      <c r="H2762">
        <v>24126</v>
      </c>
      <c r="I2762" t="s">
        <v>818</v>
      </c>
      <c r="J2762" t="str">
        <f>"2"</f>
        <v>2</v>
      </c>
      <c r="K2762">
        <v>60002</v>
      </c>
      <c r="L2762">
        <v>3012</v>
      </c>
      <c r="M2762">
        <v>7</v>
      </c>
      <c r="N2762">
        <v>3</v>
      </c>
      <c r="O2762">
        <v>1</v>
      </c>
      <c r="P2762" t="s">
        <v>79</v>
      </c>
      <c r="Q2762">
        <v>3</v>
      </c>
      <c r="R2762">
        <v>0</v>
      </c>
      <c r="S2762" t="s">
        <v>22</v>
      </c>
      <c r="T2762">
        <v>2.5</v>
      </c>
      <c r="U2762">
        <v>0</v>
      </c>
    </row>
    <row r="2763" spans="1:21" x14ac:dyDescent="0.25">
      <c r="A2763" t="str">
        <f>"10293519"</f>
        <v>10293519</v>
      </c>
      <c r="B2763" t="s">
        <v>15</v>
      </c>
      <c r="C2763" s="1">
        <v>43570</v>
      </c>
      <c r="D2763" s="2">
        <f>YEAR(C2763)</f>
        <v>2019</v>
      </c>
      <c r="E2763">
        <v>315000</v>
      </c>
      <c r="F2763" t="s">
        <v>85</v>
      </c>
      <c r="G2763">
        <v>1998</v>
      </c>
      <c r="H2763">
        <v>856</v>
      </c>
      <c r="I2763" t="s">
        <v>801</v>
      </c>
      <c r="J2763" t="str">
        <f>"2"</f>
        <v>2</v>
      </c>
      <c r="K2763">
        <v>60002</v>
      </c>
      <c r="L2763">
        <v>3020</v>
      </c>
      <c r="M2763">
        <v>10</v>
      </c>
      <c r="N2763">
        <v>2</v>
      </c>
      <c r="O2763">
        <v>1</v>
      </c>
      <c r="P2763" t="s">
        <v>18</v>
      </c>
      <c r="Q2763">
        <v>4</v>
      </c>
      <c r="R2763">
        <v>0</v>
      </c>
      <c r="S2763" t="s">
        <v>21</v>
      </c>
      <c r="T2763">
        <v>3</v>
      </c>
      <c r="U2763">
        <v>0</v>
      </c>
    </row>
    <row r="2764" spans="1:21" x14ac:dyDescent="0.25">
      <c r="A2764" t="str">
        <f>"10298758"</f>
        <v>10298758</v>
      </c>
      <c r="B2764" t="s">
        <v>15</v>
      </c>
      <c r="C2764" s="1">
        <v>43629</v>
      </c>
      <c r="D2764" s="2">
        <f>YEAR(C2764)</f>
        <v>2019</v>
      </c>
      <c r="E2764">
        <v>285000</v>
      </c>
      <c r="F2764" t="s">
        <v>85</v>
      </c>
      <c r="G2764">
        <v>2006</v>
      </c>
      <c r="H2764">
        <v>1290</v>
      </c>
      <c r="I2764" t="s">
        <v>837</v>
      </c>
      <c r="J2764" t="str">
        <f>"2"</f>
        <v>2</v>
      </c>
      <c r="K2764">
        <v>60002</v>
      </c>
      <c r="L2764">
        <v>3031</v>
      </c>
      <c r="M2764">
        <v>10</v>
      </c>
      <c r="N2764">
        <v>2</v>
      </c>
      <c r="O2764">
        <v>1</v>
      </c>
      <c r="P2764" t="s">
        <v>18</v>
      </c>
      <c r="Q2764">
        <v>5</v>
      </c>
      <c r="R2764">
        <v>0</v>
      </c>
      <c r="S2764" t="s">
        <v>21</v>
      </c>
      <c r="T2764">
        <v>2</v>
      </c>
      <c r="U2764">
        <v>0</v>
      </c>
    </row>
    <row r="2765" spans="1:21" x14ac:dyDescent="0.25">
      <c r="A2765" t="str">
        <f>"10112840"</f>
        <v>10112840</v>
      </c>
      <c r="B2765" t="s">
        <v>15</v>
      </c>
      <c r="C2765" s="1">
        <v>43494</v>
      </c>
      <c r="D2765" s="2">
        <f>YEAR(C2765)</f>
        <v>2019</v>
      </c>
      <c r="E2765">
        <v>214900</v>
      </c>
      <c r="F2765" t="s">
        <v>85</v>
      </c>
      <c r="G2765">
        <v>2005</v>
      </c>
      <c r="H2765">
        <v>336</v>
      </c>
      <c r="I2765" t="s">
        <v>847</v>
      </c>
      <c r="J2765" t="str">
        <f>"2"</f>
        <v>2</v>
      </c>
      <c r="K2765">
        <v>60002</v>
      </c>
      <c r="L2765">
        <v>3042</v>
      </c>
      <c r="M2765">
        <v>8</v>
      </c>
      <c r="N2765">
        <v>2</v>
      </c>
      <c r="O2765">
        <v>1</v>
      </c>
      <c r="P2765" t="s">
        <v>18</v>
      </c>
      <c r="Q2765">
        <v>3</v>
      </c>
      <c r="R2765">
        <v>0</v>
      </c>
      <c r="S2765" t="s">
        <v>21</v>
      </c>
      <c r="T2765">
        <v>2</v>
      </c>
      <c r="U2765">
        <v>0</v>
      </c>
    </row>
    <row r="2766" spans="1:21" x14ac:dyDescent="0.25">
      <c r="A2766" t="str">
        <f>"10129928"</f>
        <v>10129928</v>
      </c>
      <c r="B2766" t="s">
        <v>15</v>
      </c>
      <c r="C2766" s="1">
        <v>43593</v>
      </c>
      <c r="D2766" s="2">
        <f>YEAR(C2766)</f>
        <v>2019</v>
      </c>
      <c r="E2766">
        <v>250000</v>
      </c>
      <c r="F2766" t="s">
        <v>85</v>
      </c>
      <c r="G2766">
        <v>1997</v>
      </c>
      <c r="H2766">
        <v>665</v>
      </c>
      <c r="I2766" t="s">
        <v>851</v>
      </c>
      <c r="J2766" t="str">
        <f>"2"</f>
        <v>2</v>
      </c>
      <c r="K2766">
        <v>60002</v>
      </c>
      <c r="L2766">
        <v>3053</v>
      </c>
      <c r="M2766">
        <v>10</v>
      </c>
      <c r="N2766">
        <v>3</v>
      </c>
      <c r="O2766">
        <v>1</v>
      </c>
      <c r="P2766" t="s">
        <v>79</v>
      </c>
      <c r="Q2766">
        <v>3</v>
      </c>
      <c r="R2766">
        <v>1</v>
      </c>
      <c r="S2766" t="s">
        <v>21</v>
      </c>
      <c r="T2766">
        <v>2.5</v>
      </c>
      <c r="U2766">
        <v>0</v>
      </c>
    </row>
    <row r="2767" spans="1:21" x14ac:dyDescent="0.25">
      <c r="A2767" t="str">
        <f>"10169408"</f>
        <v>10169408</v>
      </c>
      <c r="B2767" t="s">
        <v>15</v>
      </c>
      <c r="C2767" s="1">
        <v>43549</v>
      </c>
      <c r="D2767" s="2">
        <f>YEAR(C2767)</f>
        <v>2019</v>
      </c>
      <c r="E2767">
        <v>259000</v>
      </c>
      <c r="F2767" t="s">
        <v>85</v>
      </c>
      <c r="G2767">
        <v>1996</v>
      </c>
      <c r="H2767">
        <v>615</v>
      </c>
      <c r="I2767" t="s">
        <v>903</v>
      </c>
      <c r="J2767" t="str">
        <f>"2"</f>
        <v>2</v>
      </c>
      <c r="K2767">
        <v>60002</v>
      </c>
      <c r="L2767">
        <v>3062</v>
      </c>
      <c r="M2767">
        <v>11</v>
      </c>
      <c r="N2767">
        <v>2</v>
      </c>
      <c r="O2767">
        <v>1</v>
      </c>
      <c r="P2767" t="s">
        <v>18</v>
      </c>
      <c r="Q2767">
        <v>4</v>
      </c>
      <c r="R2767">
        <v>0</v>
      </c>
      <c r="S2767" t="s">
        <v>21</v>
      </c>
      <c r="T2767">
        <v>2</v>
      </c>
      <c r="U2767">
        <v>0</v>
      </c>
    </row>
    <row r="2768" spans="1:21" x14ac:dyDescent="0.25">
      <c r="A2768" t="str">
        <f>"10523311"</f>
        <v>10523311</v>
      </c>
      <c r="B2768" t="s">
        <v>15</v>
      </c>
      <c r="C2768" s="1">
        <v>43775</v>
      </c>
      <c r="D2768" s="2">
        <f>YEAR(C2768)</f>
        <v>2019</v>
      </c>
      <c r="E2768">
        <v>195000</v>
      </c>
      <c r="F2768" t="s">
        <v>85</v>
      </c>
      <c r="G2768">
        <v>1950</v>
      </c>
      <c r="H2768">
        <v>22030</v>
      </c>
      <c r="I2768" t="s">
        <v>663</v>
      </c>
      <c r="J2768" t="str">
        <f>"2"</f>
        <v>2</v>
      </c>
      <c r="K2768">
        <v>60002</v>
      </c>
      <c r="L2768">
        <v>3065</v>
      </c>
      <c r="M2768">
        <v>10</v>
      </c>
      <c r="N2768">
        <v>2</v>
      </c>
      <c r="O2768">
        <v>1</v>
      </c>
      <c r="P2768" t="s">
        <v>18</v>
      </c>
      <c r="Q2768">
        <v>4</v>
      </c>
      <c r="R2768">
        <v>0</v>
      </c>
      <c r="S2768" t="s">
        <v>22</v>
      </c>
      <c r="T2768">
        <v>3</v>
      </c>
      <c r="U2768">
        <v>0</v>
      </c>
    </row>
    <row r="2769" spans="1:21" x14ac:dyDescent="0.25">
      <c r="A2769" t="str">
        <f>"10886755"</f>
        <v>10886755</v>
      </c>
      <c r="B2769" t="s">
        <v>15</v>
      </c>
      <c r="C2769" s="1">
        <v>44141</v>
      </c>
      <c r="D2769" s="2">
        <f>YEAR(C2769)</f>
        <v>2020</v>
      </c>
      <c r="E2769">
        <v>177500</v>
      </c>
      <c r="F2769" t="s">
        <v>85</v>
      </c>
      <c r="G2769">
        <v>2000</v>
      </c>
      <c r="H2769">
        <v>92</v>
      </c>
      <c r="I2769" t="s">
        <v>694</v>
      </c>
      <c r="J2769" t="str">
        <f>"2"</f>
        <v>2</v>
      </c>
      <c r="K2769">
        <v>60002</v>
      </c>
      <c r="L2769">
        <v>3071</v>
      </c>
      <c r="M2769">
        <v>9</v>
      </c>
      <c r="N2769">
        <v>3</v>
      </c>
      <c r="O2769">
        <v>1</v>
      </c>
      <c r="P2769" t="s">
        <v>79</v>
      </c>
      <c r="Q2769">
        <v>4</v>
      </c>
      <c r="R2769">
        <v>0</v>
      </c>
      <c r="S2769" t="s">
        <v>21</v>
      </c>
      <c r="T2769">
        <v>2</v>
      </c>
      <c r="U2769">
        <v>0</v>
      </c>
    </row>
    <row r="2770" spans="1:21" x14ac:dyDescent="0.25">
      <c r="A2770" t="str">
        <f>"10798415"</f>
        <v>10798415</v>
      </c>
      <c r="B2770" t="s">
        <v>15</v>
      </c>
      <c r="C2770" s="1">
        <v>44085</v>
      </c>
      <c r="D2770" s="2">
        <f>YEAR(C2770)</f>
        <v>2020</v>
      </c>
      <c r="E2770">
        <v>262000</v>
      </c>
      <c r="F2770" t="s">
        <v>85</v>
      </c>
      <c r="G2770">
        <v>1988</v>
      </c>
      <c r="H2770">
        <v>625</v>
      </c>
      <c r="I2770" t="s">
        <v>787</v>
      </c>
      <c r="J2770" t="str">
        <f>"2"</f>
        <v>2</v>
      </c>
      <c r="K2770">
        <v>60002</v>
      </c>
      <c r="L2770">
        <v>3084</v>
      </c>
      <c r="M2770">
        <v>9</v>
      </c>
      <c r="N2770">
        <v>2</v>
      </c>
      <c r="O2770">
        <v>1</v>
      </c>
      <c r="P2770" t="s">
        <v>18</v>
      </c>
      <c r="Q2770">
        <v>4</v>
      </c>
      <c r="R2770">
        <v>0</v>
      </c>
      <c r="S2770" t="s">
        <v>21</v>
      </c>
      <c r="T2770">
        <v>2</v>
      </c>
      <c r="U2770">
        <v>0</v>
      </c>
    </row>
    <row r="2771" spans="1:21" x14ac:dyDescent="0.25">
      <c r="A2771" t="str">
        <f>"10710698"</f>
        <v>10710698</v>
      </c>
      <c r="B2771" t="s">
        <v>15</v>
      </c>
      <c r="C2771" s="1">
        <v>44014</v>
      </c>
      <c r="D2771" s="2">
        <f>YEAR(C2771)</f>
        <v>2020</v>
      </c>
      <c r="E2771">
        <v>320000</v>
      </c>
      <c r="F2771" t="s">
        <v>85</v>
      </c>
      <c r="G2771">
        <v>2003</v>
      </c>
      <c r="H2771">
        <v>28</v>
      </c>
      <c r="I2771" t="s">
        <v>904</v>
      </c>
      <c r="J2771" t="str">
        <f>"2"</f>
        <v>2</v>
      </c>
      <c r="K2771">
        <v>60002</v>
      </c>
      <c r="L2771">
        <v>3092</v>
      </c>
      <c r="M2771">
        <v>9</v>
      </c>
      <c r="N2771">
        <v>3</v>
      </c>
      <c r="O2771">
        <v>1</v>
      </c>
      <c r="P2771" t="s">
        <v>79</v>
      </c>
      <c r="Q2771">
        <v>4</v>
      </c>
      <c r="R2771">
        <v>0</v>
      </c>
      <c r="S2771" t="s">
        <v>21</v>
      </c>
      <c r="T2771">
        <v>4</v>
      </c>
      <c r="U2771">
        <v>0</v>
      </c>
    </row>
    <row r="2772" spans="1:21" x14ac:dyDescent="0.25">
      <c r="A2772" t="str">
        <f>"10773140"</f>
        <v>10773140</v>
      </c>
      <c r="B2772" t="s">
        <v>15</v>
      </c>
      <c r="C2772" s="1">
        <v>44089</v>
      </c>
      <c r="D2772" s="2">
        <f>YEAR(C2772)</f>
        <v>2020</v>
      </c>
      <c r="E2772">
        <v>280000</v>
      </c>
      <c r="F2772" t="s">
        <v>85</v>
      </c>
      <c r="G2772">
        <v>2005</v>
      </c>
      <c r="H2772">
        <v>1194</v>
      </c>
      <c r="I2772" t="s">
        <v>905</v>
      </c>
      <c r="J2772" t="str">
        <f>"2"</f>
        <v>2</v>
      </c>
      <c r="K2772">
        <v>60002</v>
      </c>
      <c r="L2772">
        <v>3100</v>
      </c>
      <c r="M2772">
        <v>9</v>
      </c>
      <c r="N2772">
        <v>2</v>
      </c>
      <c r="O2772">
        <v>1</v>
      </c>
      <c r="P2772" t="s">
        <v>18</v>
      </c>
      <c r="Q2772">
        <v>3</v>
      </c>
      <c r="R2772">
        <v>0</v>
      </c>
      <c r="S2772" t="s">
        <v>21</v>
      </c>
      <c r="T2772">
        <v>2</v>
      </c>
      <c r="U2772">
        <v>0</v>
      </c>
    </row>
    <row r="2773" spans="1:21" x14ac:dyDescent="0.25">
      <c r="A2773" t="str">
        <f>"10742771"</f>
        <v>10742771</v>
      </c>
      <c r="B2773" t="s">
        <v>15</v>
      </c>
      <c r="C2773" s="1">
        <v>44092</v>
      </c>
      <c r="D2773" s="2">
        <f>YEAR(C2773)</f>
        <v>2020</v>
      </c>
      <c r="E2773">
        <v>309000</v>
      </c>
      <c r="F2773" t="s">
        <v>85</v>
      </c>
      <c r="G2773">
        <v>1994</v>
      </c>
      <c r="H2773">
        <v>39942</v>
      </c>
      <c r="I2773" t="s">
        <v>882</v>
      </c>
      <c r="J2773" t="str">
        <f>"2"</f>
        <v>2</v>
      </c>
      <c r="K2773">
        <v>60002</v>
      </c>
      <c r="L2773">
        <v>3100</v>
      </c>
      <c r="M2773">
        <v>7</v>
      </c>
      <c r="N2773">
        <v>2</v>
      </c>
      <c r="O2773">
        <v>1</v>
      </c>
      <c r="P2773" t="s">
        <v>18</v>
      </c>
      <c r="Q2773">
        <v>3</v>
      </c>
      <c r="R2773">
        <v>0</v>
      </c>
      <c r="S2773" t="s">
        <v>21</v>
      </c>
      <c r="T2773">
        <v>2.5</v>
      </c>
      <c r="U2773">
        <v>0</v>
      </c>
    </row>
    <row r="2774" spans="1:21" x14ac:dyDescent="0.25">
      <c r="A2774" t="str">
        <f>"10416216"</f>
        <v>10416216</v>
      </c>
      <c r="B2774" t="s">
        <v>15</v>
      </c>
      <c r="C2774" s="1">
        <v>43691</v>
      </c>
      <c r="D2774" s="2">
        <f>YEAR(C2774)</f>
        <v>2019</v>
      </c>
      <c r="E2774">
        <v>387500</v>
      </c>
      <c r="F2774" t="s">
        <v>85</v>
      </c>
      <c r="G2774">
        <v>1922</v>
      </c>
      <c r="H2774">
        <v>38661</v>
      </c>
      <c r="I2774" t="s">
        <v>902</v>
      </c>
      <c r="J2774" t="str">
        <f>"2"</f>
        <v>2</v>
      </c>
      <c r="K2774">
        <v>60002</v>
      </c>
      <c r="L2774">
        <v>3100</v>
      </c>
      <c r="M2774">
        <v>13</v>
      </c>
      <c r="N2774">
        <v>3</v>
      </c>
      <c r="O2774">
        <v>1</v>
      </c>
      <c r="P2774" t="s">
        <v>79</v>
      </c>
      <c r="Q2774">
        <v>4</v>
      </c>
      <c r="R2774">
        <v>0</v>
      </c>
      <c r="S2774" t="s">
        <v>22</v>
      </c>
      <c r="T2774">
        <v>2.5</v>
      </c>
      <c r="U2774">
        <v>0</v>
      </c>
    </row>
    <row r="2775" spans="1:21" x14ac:dyDescent="0.25">
      <c r="A2775" t="str">
        <f>"10465192"</f>
        <v>10465192</v>
      </c>
      <c r="B2775" t="s">
        <v>15</v>
      </c>
      <c r="C2775" s="1">
        <v>43938</v>
      </c>
      <c r="D2775" s="2">
        <f>YEAR(C2775)</f>
        <v>2020</v>
      </c>
      <c r="E2775">
        <v>180000</v>
      </c>
      <c r="F2775" t="s">
        <v>85</v>
      </c>
      <c r="G2775">
        <v>2004</v>
      </c>
      <c r="H2775">
        <v>1154</v>
      </c>
      <c r="I2775" t="s">
        <v>864</v>
      </c>
      <c r="J2775" t="str">
        <f>"2"</f>
        <v>2</v>
      </c>
      <c r="K2775">
        <v>60002</v>
      </c>
      <c r="L2775">
        <v>3102</v>
      </c>
      <c r="M2775">
        <v>10</v>
      </c>
      <c r="N2775">
        <v>2</v>
      </c>
      <c r="O2775">
        <v>1</v>
      </c>
      <c r="P2775" t="s">
        <v>18</v>
      </c>
      <c r="Q2775">
        <v>4</v>
      </c>
      <c r="R2775">
        <v>0</v>
      </c>
      <c r="S2775" t="s">
        <v>21</v>
      </c>
      <c r="T2775">
        <v>3</v>
      </c>
      <c r="U2775">
        <v>0</v>
      </c>
    </row>
    <row r="2776" spans="1:21" x14ac:dyDescent="0.25">
      <c r="A2776" t="str">
        <f>"10840023"</f>
        <v>10840023</v>
      </c>
      <c r="B2776" t="s">
        <v>15</v>
      </c>
      <c r="C2776" s="1">
        <v>44109</v>
      </c>
      <c r="D2776" s="2">
        <f>YEAR(C2776)</f>
        <v>2020</v>
      </c>
      <c r="E2776">
        <v>291500</v>
      </c>
      <c r="F2776" t="s">
        <v>85</v>
      </c>
      <c r="G2776">
        <v>2018</v>
      </c>
      <c r="H2776">
        <v>887</v>
      </c>
      <c r="I2776" t="s">
        <v>777</v>
      </c>
      <c r="J2776" t="str">
        <f>"2"</f>
        <v>2</v>
      </c>
      <c r="K2776">
        <v>60002</v>
      </c>
      <c r="L2776">
        <v>3108</v>
      </c>
      <c r="M2776">
        <v>10</v>
      </c>
      <c r="N2776">
        <v>2</v>
      </c>
      <c r="O2776">
        <v>1</v>
      </c>
      <c r="P2776" t="s">
        <v>18</v>
      </c>
      <c r="Q2776">
        <v>4</v>
      </c>
      <c r="R2776">
        <v>0</v>
      </c>
      <c r="S2776" t="s">
        <v>21</v>
      </c>
      <c r="T2776">
        <v>2</v>
      </c>
      <c r="U2776">
        <v>0</v>
      </c>
    </row>
    <row r="2777" spans="1:21" x14ac:dyDescent="0.25">
      <c r="A2777" t="str">
        <f>"10332889"</f>
        <v>10332889</v>
      </c>
      <c r="B2777" t="s">
        <v>15</v>
      </c>
      <c r="C2777" s="1">
        <v>43640</v>
      </c>
      <c r="D2777" s="2">
        <f>YEAR(C2777)</f>
        <v>2019</v>
      </c>
      <c r="E2777">
        <v>276311</v>
      </c>
      <c r="F2777" t="s">
        <v>85</v>
      </c>
      <c r="G2777">
        <v>2008</v>
      </c>
      <c r="H2777">
        <v>810</v>
      </c>
      <c r="I2777" t="s">
        <v>777</v>
      </c>
      <c r="J2777" t="str">
        <f>"2"</f>
        <v>2</v>
      </c>
      <c r="K2777">
        <v>60002</v>
      </c>
      <c r="L2777">
        <v>3108</v>
      </c>
      <c r="M2777">
        <v>9</v>
      </c>
      <c r="N2777">
        <v>2</v>
      </c>
      <c r="O2777">
        <v>1</v>
      </c>
      <c r="P2777" t="s">
        <v>18</v>
      </c>
      <c r="Q2777">
        <v>4</v>
      </c>
      <c r="R2777">
        <v>0</v>
      </c>
      <c r="S2777" t="s">
        <v>21</v>
      </c>
      <c r="T2777">
        <v>3</v>
      </c>
      <c r="U2777">
        <v>0</v>
      </c>
    </row>
    <row r="2778" spans="1:21" x14ac:dyDescent="0.25">
      <c r="A2778" t="str">
        <f>"10690001"</f>
        <v>10690001</v>
      </c>
      <c r="B2778" t="s">
        <v>15</v>
      </c>
      <c r="C2778" s="1">
        <v>44035</v>
      </c>
      <c r="D2778" s="2">
        <f>YEAR(C2778)</f>
        <v>2020</v>
      </c>
      <c r="E2778">
        <v>347000</v>
      </c>
      <c r="F2778" t="s">
        <v>85</v>
      </c>
      <c r="G2778">
        <v>2005</v>
      </c>
      <c r="H2778">
        <v>1191</v>
      </c>
      <c r="I2778" t="s">
        <v>878</v>
      </c>
      <c r="J2778" t="str">
        <f>"2"</f>
        <v>2</v>
      </c>
      <c r="K2778">
        <v>60002</v>
      </c>
      <c r="L2778">
        <v>3126</v>
      </c>
      <c r="M2778">
        <v>10</v>
      </c>
      <c r="N2778">
        <v>3</v>
      </c>
      <c r="O2778">
        <v>1</v>
      </c>
      <c r="P2778" t="s">
        <v>79</v>
      </c>
      <c r="Q2778">
        <v>4</v>
      </c>
      <c r="R2778">
        <v>0</v>
      </c>
      <c r="S2778" t="s">
        <v>21</v>
      </c>
      <c r="T2778">
        <v>3</v>
      </c>
      <c r="U2778">
        <v>0</v>
      </c>
    </row>
    <row r="2779" spans="1:21" x14ac:dyDescent="0.25">
      <c r="A2779" t="str">
        <f>"10687106"</f>
        <v>10687106</v>
      </c>
      <c r="B2779" t="s">
        <v>15</v>
      </c>
      <c r="C2779" s="1">
        <v>43987</v>
      </c>
      <c r="D2779" s="2">
        <f>YEAR(C2779)</f>
        <v>2020</v>
      </c>
      <c r="E2779">
        <v>278000</v>
      </c>
      <c r="F2779" t="s">
        <v>85</v>
      </c>
      <c r="G2779">
        <v>2002</v>
      </c>
      <c r="H2779">
        <v>675</v>
      </c>
      <c r="I2779" t="s">
        <v>626</v>
      </c>
      <c r="J2779" t="str">
        <f>"2"</f>
        <v>2</v>
      </c>
      <c r="K2779">
        <v>60002</v>
      </c>
      <c r="L2779">
        <v>3136</v>
      </c>
      <c r="M2779">
        <v>10</v>
      </c>
      <c r="N2779">
        <v>2</v>
      </c>
      <c r="O2779">
        <v>2</v>
      </c>
      <c r="P2779" t="s">
        <v>79</v>
      </c>
      <c r="Q2779">
        <v>4</v>
      </c>
      <c r="R2779">
        <v>0</v>
      </c>
      <c r="S2779" t="s">
        <v>21</v>
      </c>
      <c r="T2779">
        <v>2</v>
      </c>
      <c r="U2779">
        <v>0</v>
      </c>
    </row>
    <row r="2780" spans="1:21" x14ac:dyDescent="0.25">
      <c r="A2780" t="str">
        <f>"10449632"</f>
        <v>10449632</v>
      </c>
      <c r="B2780" t="s">
        <v>15</v>
      </c>
      <c r="C2780" s="1">
        <v>43714</v>
      </c>
      <c r="D2780" s="2">
        <f>YEAR(C2780)</f>
        <v>2019</v>
      </c>
      <c r="E2780">
        <v>295000</v>
      </c>
      <c r="F2780" t="s">
        <v>85</v>
      </c>
      <c r="G2780">
        <v>2001</v>
      </c>
      <c r="H2780">
        <v>502</v>
      </c>
      <c r="I2780" t="s">
        <v>115</v>
      </c>
      <c r="J2780" t="str">
        <f>"2"</f>
        <v>2</v>
      </c>
      <c r="K2780">
        <v>60002</v>
      </c>
      <c r="L2780">
        <v>3141</v>
      </c>
      <c r="M2780">
        <v>12</v>
      </c>
      <c r="N2780">
        <v>2</v>
      </c>
      <c r="O2780">
        <v>2</v>
      </c>
      <c r="P2780" t="s">
        <v>79</v>
      </c>
      <c r="Q2780">
        <v>5</v>
      </c>
      <c r="R2780">
        <v>0</v>
      </c>
      <c r="S2780" t="s">
        <v>21</v>
      </c>
      <c r="T2780">
        <v>3.5</v>
      </c>
      <c r="U2780">
        <v>0</v>
      </c>
    </row>
    <row r="2781" spans="1:21" x14ac:dyDescent="0.25">
      <c r="A2781" t="str">
        <f>"10498217"</f>
        <v>10498217</v>
      </c>
      <c r="B2781" t="s">
        <v>15</v>
      </c>
      <c r="C2781" s="1">
        <v>43871</v>
      </c>
      <c r="D2781" s="2">
        <f>YEAR(C2781)</f>
        <v>2020</v>
      </c>
      <c r="E2781">
        <v>270000</v>
      </c>
      <c r="F2781" t="s">
        <v>85</v>
      </c>
      <c r="G2781">
        <v>2006</v>
      </c>
      <c r="H2781">
        <v>1002</v>
      </c>
      <c r="I2781" t="s">
        <v>893</v>
      </c>
      <c r="J2781" t="str">
        <f>"2"</f>
        <v>2</v>
      </c>
      <c r="K2781">
        <v>60002</v>
      </c>
      <c r="L2781">
        <v>3145</v>
      </c>
      <c r="M2781">
        <v>9</v>
      </c>
      <c r="N2781">
        <v>3</v>
      </c>
      <c r="O2781">
        <v>1</v>
      </c>
      <c r="P2781" t="s">
        <v>18</v>
      </c>
      <c r="Q2781">
        <v>4</v>
      </c>
      <c r="R2781">
        <v>0</v>
      </c>
      <c r="S2781" t="s">
        <v>21</v>
      </c>
      <c r="T2781">
        <v>3</v>
      </c>
      <c r="U2781">
        <v>0</v>
      </c>
    </row>
    <row r="2782" spans="1:21" x14ac:dyDescent="0.25">
      <c r="A2782" t="str">
        <f>"10171805"</f>
        <v>10171805</v>
      </c>
      <c r="B2782" t="s">
        <v>15</v>
      </c>
      <c r="C2782" s="1">
        <v>43551</v>
      </c>
      <c r="D2782" s="2">
        <f>YEAR(C2782)</f>
        <v>2019</v>
      </c>
      <c r="E2782">
        <v>240000</v>
      </c>
      <c r="F2782" t="s">
        <v>85</v>
      </c>
      <c r="G2782">
        <v>2004</v>
      </c>
      <c r="H2782">
        <v>1261</v>
      </c>
      <c r="I2782" t="s">
        <v>147</v>
      </c>
      <c r="J2782" t="str">
        <f>"2"</f>
        <v>2</v>
      </c>
      <c r="K2782">
        <v>60002</v>
      </c>
      <c r="L2782">
        <v>3150</v>
      </c>
      <c r="M2782">
        <v>10</v>
      </c>
      <c r="N2782">
        <v>2</v>
      </c>
      <c r="O2782">
        <v>1</v>
      </c>
      <c r="P2782" t="s">
        <v>18</v>
      </c>
      <c r="Q2782">
        <v>5</v>
      </c>
      <c r="R2782">
        <v>0</v>
      </c>
      <c r="S2782" t="s">
        <v>21</v>
      </c>
      <c r="T2782">
        <v>2</v>
      </c>
      <c r="U2782">
        <v>0</v>
      </c>
    </row>
    <row r="2783" spans="1:21" x14ac:dyDescent="0.25">
      <c r="A2783" t="str">
        <f>"10804316"</f>
        <v>10804316</v>
      </c>
      <c r="B2783" t="s">
        <v>15</v>
      </c>
      <c r="C2783" s="1">
        <v>44176</v>
      </c>
      <c r="D2783" s="2">
        <f>YEAR(C2783)</f>
        <v>2020</v>
      </c>
      <c r="E2783">
        <v>425000</v>
      </c>
      <c r="F2783" t="s">
        <v>85</v>
      </c>
      <c r="G2783">
        <v>1977</v>
      </c>
      <c r="H2783">
        <v>26100</v>
      </c>
      <c r="I2783" t="s">
        <v>907</v>
      </c>
      <c r="J2783" t="str">
        <f>"2"</f>
        <v>2</v>
      </c>
      <c r="K2783">
        <v>60002</v>
      </c>
      <c r="L2783">
        <v>3150</v>
      </c>
      <c r="M2783">
        <v>10</v>
      </c>
      <c r="N2783">
        <v>3</v>
      </c>
      <c r="O2783">
        <v>0</v>
      </c>
      <c r="P2783" t="s">
        <v>79</v>
      </c>
      <c r="Q2783">
        <v>4</v>
      </c>
      <c r="R2783">
        <v>0</v>
      </c>
      <c r="S2783" t="s">
        <v>21</v>
      </c>
      <c r="T2783">
        <v>5</v>
      </c>
      <c r="U2783">
        <v>0</v>
      </c>
    </row>
    <row r="2784" spans="1:21" x14ac:dyDescent="0.25">
      <c r="A2784" t="str">
        <f>"10718271"</f>
        <v>10718271</v>
      </c>
      <c r="B2784" t="s">
        <v>15</v>
      </c>
      <c r="C2784" s="1">
        <v>44061</v>
      </c>
      <c r="D2784" s="2">
        <f>YEAR(C2784)</f>
        <v>2020</v>
      </c>
      <c r="E2784">
        <v>246000</v>
      </c>
      <c r="F2784" t="s">
        <v>85</v>
      </c>
      <c r="G2784">
        <v>2004</v>
      </c>
      <c r="H2784">
        <v>353</v>
      </c>
      <c r="I2784" t="s">
        <v>342</v>
      </c>
      <c r="J2784" t="str">
        <f>"2"</f>
        <v>2</v>
      </c>
      <c r="K2784">
        <v>60002</v>
      </c>
      <c r="L2784">
        <v>3160</v>
      </c>
      <c r="M2784">
        <v>8</v>
      </c>
      <c r="N2784">
        <v>2</v>
      </c>
      <c r="O2784">
        <v>1</v>
      </c>
      <c r="P2784" t="s">
        <v>18</v>
      </c>
      <c r="Q2784">
        <v>4</v>
      </c>
      <c r="R2784">
        <v>0</v>
      </c>
      <c r="S2784" t="s">
        <v>21</v>
      </c>
      <c r="T2784">
        <v>2</v>
      </c>
      <c r="U2784">
        <v>0</v>
      </c>
    </row>
    <row r="2785" spans="1:21" x14ac:dyDescent="0.25">
      <c r="A2785" t="str">
        <f>"10447009"</f>
        <v>10447009</v>
      </c>
      <c r="B2785" t="s">
        <v>15</v>
      </c>
      <c r="C2785" s="1">
        <v>43759</v>
      </c>
      <c r="D2785" s="2">
        <f>YEAR(C2785)</f>
        <v>2019</v>
      </c>
      <c r="E2785">
        <v>305500</v>
      </c>
      <c r="F2785" t="s">
        <v>85</v>
      </c>
      <c r="G2785">
        <v>2006</v>
      </c>
      <c r="H2785">
        <v>958</v>
      </c>
      <c r="I2785" t="s">
        <v>362</v>
      </c>
      <c r="J2785" t="str">
        <f>"2"</f>
        <v>2</v>
      </c>
      <c r="K2785">
        <v>60002</v>
      </c>
      <c r="L2785">
        <v>3163</v>
      </c>
      <c r="M2785">
        <v>13</v>
      </c>
      <c r="N2785">
        <v>3</v>
      </c>
      <c r="O2785">
        <v>2</v>
      </c>
      <c r="P2785" t="s">
        <v>79</v>
      </c>
      <c r="Q2785">
        <v>4</v>
      </c>
      <c r="R2785">
        <v>0</v>
      </c>
      <c r="S2785" t="s">
        <v>21</v>
      </c>
      <c r="T2785">
        <v>3</v>
      </c>
      <c r="U2785">
        <v>0</v>
      </c>
    </row>
    <row r="2786" spans="1:21" x14ac:dyDescent="0.25">
      <c r="A2786" t="str">
        <f>"10403342"</f>
        <v>10403342</v>
      </c>
      <c r="B2786" t="s">
        <v>15</v>
      </c>
      <c r="C2786" s="1">
        <v>43643</v>
      </c>
      <c r="D2786" s="2">
        <f>YEAR(C2786)</f>
        <v>2019</v>
      </c>
      <c r="E2786">
        <v>180000</v>
      </c>
      <c r="F2786" t="s">
        <v>85</v>
      </c>
      <c r="G2786">
        <v>1977</v>
      </c>
      <c r="H2786">
        <v>554</v>
      </c>
      <c r="I2786" t="s">
        <v>787</v>
      </c>
      <c r="J2786" t="str">
        <f>"2"</f>
        <v>2</v>
      </c>
      <c r="K2786">
        <v>60002</v>
      </c>
      <c r="L2786">
        <v>3168</v>
      </c>
      <c r="M2786">
        <v>8</v>
      </c>
      <c r="N2786">
        <v>2</v>
      </c>
      <c r="O2786">
        <v>0</v>
      </c>
      <c r="P2786" t="s">
        <v>18</v>
      </c>
      <c r="Q2786">
        <v>3</v>
      </c>
      <c r="R2786">
        <v>0</v>
      </c>
      <c r="S2786" t="s">
        <v>21</v>
      </c>
      <c r="T2786">
        <v>2</v>
      </c>
      <c r="U2786">
        <v>0</v>
      </c>
    </row>
    <row r="2787" spans="1:21" x14ac:dyDescent="0.25">
      <c r="A2787" t="str">
        <f>"10157253"</f>
        <v>10157253</v>
      </c>
      <c r="B2787" t="s">
        <v>15</v>
      </c>
      <c r="C2787" s="1">
        <v>43545</v>
      </c>
      <c r="D2787" s="2">
        <f>YEAR(C2787)</f>
        <v>2019</v>
      </c>
      <c r="E2787">
        <v>337000</v>
      </c>
      <c r="F2787" t="s">
        <v>85</v>
      </c>
      <c r="G2787">
        <v>2005</v>
      </c>
      <c r="H2787">
        <v>1119</v>
      </c>
      <c r="I2787" t="s">
        <v>908</v>
      </c>
      <c r="J2787" t="str">
        <f>"2"</f>
        <v>2</v>
      </c>
      <c r="K2787">
        <v>60002</v>
      </c>
      <c r="L2787">
        <v>3171</v>
      </c>
      <c r="M2787">
        <v>12</v>
      </c>
      <c r="N2787">
        <v>3</v>
      </c>
      <c r="O2787">
        <v>1</v>
      </c>
      <c r="P2787" t="s">
        <v>79</v>
      </c>
      <c r="Q2787">
        <v>4</v>
      </c>
      <c r="R2787">
        <v>1</v>
      </c>
      <c r="S2787" t="s">
        <v>21</v>
      </c>
      <c r="T2787">
        <v>3</v>
      </c>
      <c r="U2787">
        <v>0</v>
      </c>
    </row>
    <row r="2788" spans="1:21" x14ac:dyDescent="0.25">
      <c r="A2788" t="str">
        <f>"10843588"</f>
        <v>10843588</v>
      </c>
      <c r="B2788" t="s">
        <v>15</v>
      </c>
      <c r="C2788" s="1">
        <v>44140</v>
      </c>
      <c r="D2788" s="2">
        <f>YEAR(C2788)</f>
        <v>2020</v>
      </c>
      <c r="E2788">
        <v>249900</v>
      </c>
      <c r="F2788" t="s">
        <v>85</v>
      </c>
      <c r="G2788">
        <v>2005</v>
      </c>
      <c r="H2788">
        <v>1134</v>
      </c>
      <c r="I2788" t="s">
        <v>742</v>
      </c>
      <c r="J2788" t="str">
        <f>"2"</f>
        <v>2</v>
      </c>
      <c r="K2788">
        <v>60002</v>
      </c>
      <c r="L2788">
        <v>3180</v>
      </c>
      <c r="M2788">
        <v>10</v>
      </c>
      <c r="N2788">
        <v>3</v>
      </c>
      <c r="O2788">
        <v>1</v>
      </c>
      <c r="P2788" t="s">
        <v>18</v>
      </c>
      <c r="Q2788">
        <v>5</v>
      </c>
      <c r="R2788">
        <v>0</v>
      </c>
      <c r="S2788" t="s">
        <v>21</v>
      </c>
      <c r="T2788">
        <v>3</v>
      </c>
      <c r="U2788">
        <v>0</v>
      </c>
    </row>
    <row r="2789" spans="1:21" x14ac:dyDescent="0.25">
      <c r="A2789" t="str">
        <f>"10646457"</f>
        <v>10646457</v>
      </c>
      <c r="B2789" t="s">
        <v>15</v>
      </c>
      <c r="C2789" s="1">
        <v>43959</v>
      </c>
      <c r="D2789" s="2">
        <f>YEAR(C2789)</f>
        <v>2020</v>
      </c>
      <c r="E2789">
        <v>280000</v>
      </c>
      <c r="F2789" t="s">
        <v>85</v>
      </c>
      <c r="G2789">
        <v>2004</v>
      </c>
      <c r="H2789">
        <v>340</v>
      </c>
      <c r="I2789" t="s">
        <v>848</v>
      </c>
      <c r="J2789" t="str">
        <f>"2"</f>
        <v>2</v>
      </c>
      <c r="K2789">
        <v>60002</v>
      </c>
      <c r="L2789">
        <v>3188</v>
      </c>
      <c r="M2789">
        <v>11</v>
      </c>
      <c r="N2789">
        <v>3</v>
      </c>
      <c r="O2789">
        <v>1</v>
      </c>
      <c r="P2789" t="s">
        <v>79</v>
      </c>
      <c r="Q2789">
        <v>4</v>
      </c>
      <c r="R2789">
        <v>1</v>
      </c>
      <c r="S2789" t="s">
        <v>21</v>
      </c>
      <c r="T2789">
        <v>3</v>
      </c>
      <c r="U2789">
        <v>0</v>
      </c>
    </row>
    <row r="2790" spans="1:21" x14ac:dyDescent="0.25">
      <c r="A2790" t="str">
        <f>"10326723"</f>
        <v>10326723</v>
      </c>
      <c r="B2790" t="s">
        <v>15</v>
      </c>
      <c r="C2790" s="1">
        <v>43614</v>
      </c>
      <c r="D2790" s="2">
        <f>YEAR(C2790)</f>
        <v>2019</v>
      </c>
      <c r="E2790">
        <v>265000</v>
      </c>
      <c r="F2790" t="s">
        <v>85</v>
      </c>
      <c r="G2790">
        <v>2005</v>
      </c>
      <c r="H2790">
        <v>686</v>
      </c>
      <c r="I2790" t="s">
        <v>848</v>
      </c>
      <c r="J2790" t="str">
        <f>"2"</f>
        <v>2</v>
      </c>
      <c r="K2790">
        <v>60002</v>
      </c>
      <c r="L2790">
        <v>3220</v>
      </c>
      <c r="M2790">
        <v>9</v>
      </c>
      <c r="N2790">
        <v>2</v>
      </c>
      <c r="O2790">
        <v>1</v>
      </c>
      <c r="P2790" t="s">
        <v>18</v>
      </c>
      <c r="Q2790">
        <v>4</v>
      </c>
      <c r="R2790">
        <v>0</v>
      </c>
      <c r="S2790" t="s">
        <v>21</v>
      </c>
      <c r="T2790">
        <v>3</v>
      </c>
      <c r="U2790">
        <v>0</v>
      </c>
    </row>
    <row r="2791" spans="1:21" x14ac:dyDescent="0.25">
      <c r="A2791" t="str">
        <f>"10409521"</f>
        <v>10409521</v>
      </c>
      <c r="B2791" t="s">
        <v>15</v>
      </c>
      <c r="C2791" s="1">
        <v>43700</v>
      </c>
      <c r="D2791" s="2">
        <f>YEAR(C2791)</f>
        <v>2019</v>
      </c>
      <c r="E2791">
        <v>270000</v>
      </c>
      <c r="F2791" t="s">
        <v>85</v>
      </c>
      <c r="G2791">
        <v>1989</v>
      </c>
      <c r="H2791">
        <v>1049</v>
      </c>
      <c r="I2791" t="s">
        <v>746</v>
      </c>
      <c r="J2791" t="str">
        <f>"2"</f>
        <v>2</v>
      </c>
      <c r="K2791">
        <v>60002</v>
      </c>
      <c r="L2791">
        <v>3228</v>
      </c>
      <c r="M2791">
        <v>10</v>
      </c>
      <c r="N2791">
        <v>3</v>
      </c>
      <c r="O2791">
        <v>1</v>
      </c>
      <c r="P2791" t="s">
        <v>18</v>
      </c>
      <c r="Q2791">
        <v>4</v>
      </c>
      <c r="R2791">
        <v>0</v>
      </c>
      <c r="S2791" t="s">
        <v>21</v>
      </c>
      <c r="T2791">
        <v>2</v>
      </c>
      <c r="U2791">
        <v>0</v>
      </c>
    </row>
    <row r="2792" spans="1:21" x14ac:dyDescent="0.25">
      <c r="A2792" t="str">
        <f>"10460113"</f>
        <v>10460113</v>
      </c>
      <c r="B2792" t="s">
        <v>15</v>
      </c>
      <c r="C2792" s="1">
        <v>43700</v>
      </c>
      <c r="D2792" s="2">
        <f>YEAR(C2792)</f>
        <v>2019</v>
      </c>
      <c r="E2792">
        <v>362000</v>
      </c>
      <c r="F2792" t="s">
        <v>85</v>
      </c>
      <c r="G2792">
        <v>2005</v>
      </c>
      <c r="H2792">
        <v>1063</v>
      </c>
      <c r="I2792" t="s">
        <v>837</v>
      </c>
      <c r="J2792" t="str">
        <f>"2"</f>
        <v>2</v>
      </c>
      <c r="K2792">
        <v>60002</v>
      </c>
      <c r="L2792">
        <v>3230</v>
      </c>
      <c r="M2792">
        <v>9</v>
      </c>
      <c r="N2792">
        <v>3</v>
      </c>
      <c r="O2792">
        <v>0</v>
      </c>
      <c r="P2792" t="s">
        <v>18</v>
      </c>
      <c r="Q2792">
        <v>4</v>
      </c>
      <c r="R2792">
        <v>0</v>
      </c>
      <c r="S2792" t="s">
        <v>21</v>
      </c>
      <c r="T2792">
        <v>3</v>
      </c>
      <c r="U2792">
        <v>0</v>
      </c>
    </row>
    <row r="2793" spans="1:21" x14ac:dyDescent="0.25">
      <c r="A2793" t="str">
        <f>"10725702"</f>
        <v>10725702</v>
      </c>
      <c r="B2793" t="s">
        <v>15</v>
      </c>
      <c r="C2793" s="1">
        <v>44054</v>
      </c>
      <c r="D2793" s="2">
        <f>YEAR(C2793)</f>
        <v>2020</v>
      </c>
      <c r="E2793">
        <v>285000</v>
      </c>
      <c r="F2793" t="s">
        <v>85</v>
      </c>
      <c r="G2793">
        <v>1992</v>
      </c>
      <c r="H2793">
        <v>1230</v>
      </c>
      <c r="I2793" t="s">
        <v>809</v>
      </c>
      <c r="J2793" t="str">
        <f>"2"</f>
        <v>2</v>
      </c>
      <c r="K2793">
        <v>60002</v>
      </c>
      <c r="L2793">
        <v>3250</v>
      </c>
      <c r="M2793">
        <v>9</v>
      </c>
      <c r="N2793">
        <v>2</v>
      </c>
      <c r="O2793">
        <v>1</v>
      </c>
      <c r="P2793" t="s">
        <v>18</v>
      </c>
      <c r="Q2793">
        <v>3</v>
      </c>
      <c r="R2793">
        <v>0</v>
      </c>
      <c r="S2793" t="s">
        <v>21</v>
      </c>
      <c r="T2793">
        <v>2.5</v>
      </c>
      <c r="U2793">
        <v>0</v>
      </c>
    </row>
    <row r="2794" spans="1:21" x14ac:dyDescent="0.25">
      <c r="A2794" t="str">
        <f>"10889656"</f>
        <v>10889656</v>
      </c>
      <c r="B2794" t="s">
        <v>15</v>
      </c>
      <c r="C2794" s="1">
        <v>44165</v>
      </c>
      <c r="D2794" s="2">
        <f>YEAR(C2794)</f>
        <v>2020</v>
      </c>
      <c r="E2794">
        <v>215000</v>
      </c>
      <c r="F2794" t="s">
        <v>85</v>
      </c>
      <c r="G2794">
        <v>2000</v>
      </c>
      <c r="H2794">
        <v>16</v>
      </c>
      <c r="I2794" t="s">
        <v>700</v>
      </c>
      <c r="J2794" t="str">
        <f>"2"</f>
        <v>2</v>
      </c>
      <c r="K2794">
        <v>60002</v>
      </c>
      <c r="L2794">
        <v>3264</v>
      </c>
      <c r="M2794">
        <v>8</v>
      </c>
      <c r="N2794">
        <v>3</v>
      </c>
      <c r="O2794">
        <v>0</v>
      </c>
      <c r="P2794" t="s">
        <v>79</v>
      </c>
      <c r="Q2794">
        <v>3</v>
      </c>
      <c r="R2794">
        <v>0</v>
      </c>
      <c r="S2794" t="s">
        <v>21</v>
      </c>
      <c r="T2794">
        <v>2</v>
      </c>
      <c r="U2794">
        <v>0</v>
      </c>
    </row>
    <row r="2795" spans="1:21" x14ac:dyDescent="0.25">
      <c r="A2795" t="str">
        <f>"10847203"</f>
        <v>10847203</v>
      </c>
      <c r="B2795" t="s">
        <v>15</v>
      </c>
      <c r="C2795" s="1">
        <v>44134</v>
      </c>
      <c r="D2795" s="2">
        <f>YEAR(C2795)</f>
        <v>2020</v>
      </c>
      <c r="E2795">
        <v>355000</v>
      </c>
      <c r="F2795" t="s">
        <v>85</v>
      </c>
      <c r="G2795">
        <v>2007</v>
      </c>
      <c r="H2795">
        <v>1213</v>
      </c>
      <c r="I2795" t="s">
        <v>909</v>
      </c>
      <c r="J2795" t="str">
        <f>"2"</f>
        <v>2</v>
      </c>
      <c r="K2795">
        <v>60002</v>
      </c>
      <c r="L2795">
        <v>3279</v>
      </c>
      <c r="M2795">
        <v>11</v>
      </c>
      <c r="N2795">
        <v>3</v>
      </c>
      <c r="O2795">
        <v>1</v>
      </c>
      <c r="P2795" t="s">
        <v>18</v>
      </c>
      <c r="Q2795">
        <v>4</v>
      </c>
      <c r="R2795">
        <v>0</v>
      </c>
      <c r="S2795" t="s">
        <v>21</v>
      </c>
      <c r="T2795">
        <v>3</v>
      </c>
      <c r="U2795">
        <v>0</v>
      </c>
    </row>
    <row r="2796" spans="1:21" x14ac:dyDescent="0.25">
      <c r="A2796" t="str">
        <f>"10417389"</f>
        <v>10417389</v>
      </c>
      <c r="B2796" t="s">
        <v>15</v>
      </c>
      <c r="C2796" s="1">
        <v>43892</v>
      </c>
      <c r="D2796" s="2">
        <f>YEAR(C2796)</f>
        <v>2020</v>
      </c>
      <c r="E2796">
        <v>680000</v>
      </c>
      <c r="F2796" t="s">
        <v>85</v>
      </c>
      <c r="G2796">
        <v>2014</v>
      </c>
      <c r="H2796">
        <v>40669</v>
      </c>
      <c r="I2796" t="s">
        <v>910</v>
      </c>
      <c r="J2796" t="str">
        <f>"2"</f>
        <v>2</v>
      </c>
      <c r="K2796">
        <v>60002</v>
      </c>
      <c r="L2796">
        <v>3300</v>
      </c>
      <c r="M2796">
        <v>10</v>
      </c>
      <c r="N2796">
        <v>3</v>
      </c>
      <c r="O2796">
        <v>1</v>
      </c>
      <c r="P2796" t="s">
        <v>18</v>
      </c>
      <c r="Q2796">
        <v>4</v>
      </c>
      <c r="R2796">
        <v>0</v>
      </c>
      <c r="S2796" t="s">
        <v>21</v>
      </c>
      <c r="T2796">
        <v>3.5</v>
      </c>
      <c r="U2796">
        <v>0</v>
      </c>
    </row>
    <row r="2797" spans="1:21" x14ac:dyDescent="0.25">
      <c r="A2797" t="str">
        <f>"10838082"</f>
        <v>10838082</v>
      </c>
      <c r="B2797" t="s">
        <v>15</v>
      </c>
      <c r="C2797" s="1">
        <v>44113</v>
      </c>
      <c r="D2797" s="2">
        <f>YEAR(C2797)</f>
        <v>2020</v>
      </c>
      <c r="E2797">
        <v>608200</v>
      </c>
      <c r="F2797" t="s">
        <v>85</v>
      </c>
      <c r="G2797">
        <v>1955</v>
      </c>
      <c r="H2797">
        <v>38635</v>
      </c>
      <c r="I2797" t="s">
        <v>593</v>
      </c>
      <c r="J2797" t="str">
        <f>"2"</f>
        <v>2</v>
      </c>
      <c r="K2797">
        <v>60002</v>
      </c>
      <c r="L2797">
        <v>3300</v>
      </c>
      <c r="M2797">
        <v>8</v>
      </c>
      <c r="N2797">
        <v>3</v>
      </c>
      <c r="O2797">
        <v>0</v>
      </c>
      <c r="P2797" t="s">
        <v>79</v>
      </c>
      <c r="Q2797">
        <v>4</v>
      </c>
      <c r="R2797">
        <v>0</v>
      </c>
      <c r="S2797" t="s">
        <v>22</v>
      </c>
      <c r="T2797">
        <v>7</v>
      </c>
      <c r="U2797">
        <v>0</v>
      </c>
    </row>
    <row r="2798" spans="1:21" x14ac:dyDescent="0.25">
      <c r="A2798" t="str">
        <f>"10540325"</f>
        <v>10540325</v>
      </c>
      <c r="B2798" t="s">
        <v>15</v>
      </c>
      <c r="C2798" s="1">
        <v>43808</v>
      </c>
      <c r="D2798" s="2">
        <f>YEAR(C2798)</f>
        <v>2019</v>
      </c>
      <c r="E2798">
        <v>370000</v>
      </c>
      <c r="F2798" t="s">
        <v>85</v>
      </c>
      <c r="G2798">
        <v>2006</v>
      </c>
      <c r="H2798">
        <v>917</v>
      </c>
      <c r="I2798" t="s">
        <v>824</v>
      </c>
      <c r="J2798" t="str">
        <f>"2"</f>
        <v>2</v>
      </c>
      <c r="K2798">
        <v>60002</v>
      </c>
      <c r="L2798">
        <v>3317</v>
      </c>
      <c r="M2798">
        <v>15</v>
      </c>
      <c r="N2798">
        <v>4</v>
      </c>
      <c r="O2798">
        <v>1</v>
      </c>
      <c r="P2798" t="s">
        <v>79</v>
      </c>
      <c r="Q2798">
        <v>6</v>
      </c>
      <c r="R2798">
        <v>0</v>
      </c>
      <c r="S2798" t="s">
        <v>21</v>
      </c>
      <c r="T2798">
        <v>3</v>
      </c>
      <c r="U2798">
        <v>0</v>
      </c>
    </row>
    <row r="2799" spans="1:21" x14ac:dyDescent="0.25">
      <c r="A2799" t="str">
        <f>"10550355"</f>
        <v>10550355</v>
      </c>
      <c r="B2799" t="s">
        <v>15</v>
      </c>
      <c r="C2799" s="1">
        <v>43812</v>
      </c>
      <c r="D2799" s="2">
        <f>YEAR(C2799)</f>
        <v>2019</v>
      </c>
      <c r="E2799">
        <v>305000</v>
      </c>
      <c r="F2799" t="s">
        <v>85</v>
      </c>
      <c r="G2799">
        <v>2005</v>
      </c>
      <c r="H2799">
        <v>1233</v>
      </c>
      <c r="I2799" t="s">
        <v>837</v>
      </c>
      <c r="J2799" t="str">
        <f>"2"</f>
        <v>2</v>
      </c>
      <c r="K2799">
        <v>60002</v>
      </c>
      <c r="L2799">
        <v>3348</v>
      </c>
      <c r="M2799">
        <v>13</v>
      </c>
      <c r="N2799">
        <v>2</v>
      </c>
      <c r="O2799">
        <v>1</v>
      </c>
      <c r="P2799" t="s">
        <v>18</v>
      </c>
      <c r="Q2799">
        <v>4</v>
      </c>
      <c r="R2799">
        <v>0</v>
      </c>
      <c r="S2799" t="s">
        <v>21</v>
      </c>
      <c r="T2799">
        <v>2</v>
      </c>
      <c r="U2799">
        <v>0</v>
      </c>
    </row>
    <row r="2800" spans="1:21" x14ac:dyDescent="0.25">
      <c r="A2800" t="str">
        <f>"10357632"</f>
        <v>10357632</v>
      </c>
      <c r="B2800" t="s">
        <v>15</v>
      </c>
      <c r="C2800" s="1">
        <v>43693</v>
      </c>
      <c r="D2800" s="2">
        <f>YEAR(C2800)</f>
        <v>2019</v>
      </c>
      <c r="E2800">
        <v>315000</v>
      </c>
      <c r="F2800" t="s">
        <v>85</v>
      </c>
      <c r="G2800">
        <v>2005</v>
      </c>
      <c r="H2800">
        <v>1167</v>
      </c>
      <c r="I2800" t="s">
        <v>878</v>
      </c>
      <c r="J2800" t="str">
        <f>"2"</f>
        <v>2</v>
      </c>
      <c r="K2800">
        <v>60002</v>
      </c>
      <c r="L2800">
        <v>3365</v>
      </c>
      <c r="M2800">
        <v>9</v>
      </c>
      <c r="N2800">
        <v>2</v>
      </c>
      <c r="O2800">
        <v>1</v>
      </c>
      <c r="P2800" t="s">
        <v>18</v>
      </c>
      <c r="Q2800">
        <v>4</v>
      </c>
      <c r="R2800">
        <v>0</v>
      </c>
      <c r="S2800" t="s">
        <v>21</v>
      </c>
      <c r="T2800">
        <v>2</v>
      </c>
      <c r="U2800">
        <v>0</v>
      </c>
    </row>
    <row r="2801" spans="1:21" x14ac:dyDescent="0.25">
      <c r="A2801" t="str">
        <f>"10317438"</f>
        <v>10317438</v>
      </c>
      <c r="B2801" t="s">
        <v>15</v>
      </c>
      <c r="C2801" s="1">
        <v>43704</v>
      </c>
      <c r="D2801" s="2">
        <f>YEAR(C2801)</f>
        <v>2019</v>
      </c>
      <c r="E2801">
        <v>155000</v>
      </c>
      <c r="F2801" t="s">
        <v>85</v>
      </c>
      <c r="G2801">
        <v>1970</v>
      </c>
      <c r="H2801">
        <v>25950</v>
      </c>
      <c r="I2801" t="s">
        <v>911</v>
      </c>
      <c r="J2801" t="str">
        <f>"2"</f>
        <v>2</v>
      </c>
      <c r="K2801">
        <v>60002</v>
      </c>
      <c r="L2801">
        <v>3374</v>
      </c>
      <c r="M2801">
        <v>8</v>
      </c>
      <c r="N2801">
        <v>2</v>
      </c>
      <c r="O2801">
        <v>1</v>
      </c>
      <c r="P2801" t="s">
        <v>79</v>
      </c>
      <c r="Q2801">
        <v>5</v>
      </c>
      <c r="R2801">
        <v>0</v>
      </c>
      <c r="S2801" t="s">
        <v>21</v>
      </c>
      <c r="T2801">
        <v>2.5</v>
      </c>
      <c r="U2801">
        <v>0</v>
      </c>
    </row>
    <row r="2802" spans="1:21" x14ac:dyDescent="0.25">
      <c r="A2802" t="str">
        <f>"10646541"</f>
        <v>10646541</v>
      </c>
      <c r="B2802" t="s">
        <v>15</v>
      </c>
      <c r="C2802" s="1">
        <v>44104</v>
      </c>
      <c r="D2802" s="2">
        <f>YEAR(C2802)</f>
        <v>2020</v>
      </c>
      <c r="E2802">
        <v>345000</v>
      </c>
      <c r="F2802" t="s">
        <v>85</v>
      </c>
      <c r="G2802">
        <v>2003</v>
      </c>
      <c r="H2802">
        <v>899</v>
      </c>
      <c r="I2802" t="s">
        <v>829</v>
      </c>
      <c r="J2802" t="str">
        <f>"2"</f>
        <v>2</v>
      </c>
      <c r="K2802">
        <v>60002</v>
      </c>
      <c r="L2802">
        <v>3385</v>
      </c>
      <c r="M2802">
        <v>9</v>
      </c>
      <c r="N2802">
        <v>3</v>
      </c>
      <c r="O2802">
        <v>0</v>
      </c>
      <c r="P2802" t="s">
        <v>18</v>
      </c>
      <c r="Q2802">
        <v>4</v>
      </c>
      <c r="R2802">
        <v>0</v>
      </c>
      <c r="S2802" t="s">
        <v>21</v>
      </c>
      <c r="T2802">
        <v>3.5</v>
      </c>
      <c r="U2802">
        <v>0</v>
      </c>
    </row>
    <row r="2803" spans="1:21" x14ac:dyDescent="0.25">
      <c r="A2803" t="str">
        <f>"10134406"</f>
        <v>10134406</v>
      </c>
      <c r="B2803" t="s">
        <v>15</v>
      </c>
      <c r="C2803" s="1">
        <v>43649</v>
      </c>
      <c r="D2803" s="2">
        <f>YEAR(C2803)</f>
        <v>2019</v>
      </c>
      <c r="E2803">
        <v>310000</v>
      </c>
      <c r="F2803" t="s">
        <v>85</v>
      </c>
      <c r="G2803">
        <v>2004</v>
      </c>
      <c r="H2803">
        <v>1081</v>
      </c>
      <c r="I2803" t="s">
        <v>730</v>
      </c>
      <c r="J2803" t="str">
        <f>"2"</f>
        <v>2</v>
      </c>
      <c r="K2803">
        <v>60002</v>
      </c>
      <c r="L2803">
        <v>3386</v>
      </c>
      <c r="M2803">
        <v>9</v>
      </c>
      <c r="N2803">
        <v>2</v>
      </c>
      <c r="O2803">
        <v>1</v>
      </c>
      <c r="P2803" t="s">
        <v>18</v>
      </c>
      <c r="Q2803">
        <v>4</v>
      </c>
      <c r="R2803">
        <v>0</v>
      </c>
      <c r="S2803" t="s">
        <v>21</v>
      </c>
      <c r="T2803">
        <v>3</v>
      </c>
      <c r="U2803">
        <v>0</v>
      </c>
    </row>
    <row r="2804" spans="1:21" x14ac:dyDescent="0.25">
      <c r="A2804" t="str">
        <f>"10629559"</f>
        <v>10629559</v>
      </c>
      <c r="B2804" t="s">
        <v>15</v>
      </c>
      <c r="C2804" s="1">
        <v>43923</v>
      </c>
      <c r="D2804" s="2">
        <f>YEAR(C2804)</f>
        <v>2020</v>
      </c>
      <c r="E2804">
        <v>305000</v>
      </c>
      <c r="F2804" t="s">
        <v>85</v>
      </c>
      <c r="G2804">
        <v>2005</v>
      </c>
      <c r="H2804">
        <v>1681</v>
      </c>
      <c r="I2804" t="s">
        <v>236</v>
      </c>
      <c r="J2804" t="str">
        <f>"2"</f>
        <v>2</v>
      </c>
      <c r="K2804">
        <v>60002</v>
      </c>
      <c r="L2804">
        <v>3398</v>
      </c>
      <c r="M2804">
        <v>12</v>
      </c>
      <c r="N2804">
        <v>2</v>
      </c>
      <c r="O2804">
        <v>1</v>
      </c>
      <c r="P2804" t="s">
        <v>18</v>
      </c>
      <c r="Q2804">
        <v>4</v>
      </c>
      <c r="R2804">
        <v>0</v>
      </c>
      <c r="S2804" t="s">
        <v>21</v>
      </c>
      <c r="T2804">
        <v>3</v>
      </c>
      <c r="U2804">
        <v>0</v>
      </c>
    </row>
    <row r="2805" spans="1:21" x14ac:dyDescent="0.25">
      <c r="A2805" t="str">
        <f>"10383427"</f>
        <v>10383427</v>
      </c>
      <c r="B2805" t="s">
        <v>15</v>
      </c>
      <c r="C2805" s="1">
        <v>43659</v>
      </c>
      <c r="D2805" s="2">
        <f>YEAR(C2805)</f>
        <v>2019</v>
      </c>
      <c r="E2805">
        <v>252500</v>
      </c>
      <c r="F2805" t="s">
        <v>85</v>
      </c>
      <c r="G2805">
        <v>2004</v>
      </c>
      <c r="H2805">
        <v>775</v>
      </c>
      <c r="I2805" t="s">
        <v>914</v>
      </c>
      <c r="J2805" t="str">
        <f>"2"</f>
        <v>2</v>
      </c>
      <c r="K2805">
        <v>60002</v>
      </c>
      <c r="L2805">
        <v>3400</v>
      </c>
      <c r="M2805">
        <v>11</v>
      </c>
      <c r="N2805">
        <v>3</v>
      </c>
      <c r="O2805">
        <v>1</v>
      </c>
      <c r="P2805" t="s">
        <v>79</v>
      </c>
      <c r="Q2805">
        <v>4</v>
      </c>
      <c r="R2805">
        <v>0</v>
      </c>
      <c r="S2805" t="s">
        <v>21</v>
      </c>
      <c r="T2805">
        <v>2</v>
      </c>
      <c r="U2805">
        <v>0</v>
      </c>
    </row>
    <row r="2806" spans="1:21" x14ac:dyDescent="0.25">
      <c r="A2806" t="str">
        <f>"10742508"</f>
        <v>10742508</v>
      </c>
      <c r="B2806" t="s">
        <v>15</v>
      </c>
      <c r="C2806" s="1">
        <v>44033</v>
      </c>
      <c r="D2806" s="2">
        <f>YEAR(C2806)</f>
        <v>2020</v>
      </c>
      <c r="E2806">
        <v>318500</v>
      </c>
      <c r="F2806" t="s">
        <v>85</v>
      </c>
      <c r="G2806">
        <v>2007</v>
      </c>
      <c r="H2806">
        <v>1202</v>
      </c>
      <c r="I2806" t="s">
        <v>915</v>
      </c>
      <c r="J2806" t="str">
        <f>"2"</f>
        <v>2</v>
      </c>
      <c r="K2806">
        <v>60002</v>
      </c>
      <c r="L2806">
        <v>3435</v>
      </c>
      <c r="M2806">
        <v>9</v>
      </c>
      <c r="N2806">
        <v>2</v>
      </c>
      <c r="O2806">
        <v>1</v>
      </c>
      <c r="P2806" t="s">
        <v>18</v>
      </c>
      <c r="Q2806">
        <v>4</v>
      </c>
      <c r="R2806">
        <v>0</v>
      </c>
      <c r="S2806" t="s">
        <v>21</v>
      </c>
      <c r="T2806">
        <v>3</v>
      </c>
      <c r="U2806">
        <v>0</v>
      </c>
    </row>
    <row r="2807" spans="1:21" x14ac:dyDescent="0.25">
      <c r="A2807" t="str">
        <f>"10301854"</f>
        <v>10301854</v>
      </c>
      <c r="B2807" t="s">
        <v>15</v>
      </c>
      <c r="C2807" s="1">
        <v>43581</v>
      </c>
      <c r="D2807" s="2">
        <f>YEAR(C2807)</f>
        <v>2019</v>
      </c>
      <c r="E2807">
        <v>650000</v>
      </c>
      <c r="F2807" t="s">
        <v>85</v>
      </c>
      <c r="G2807">
        <v>2007</v>
      </c>
      <c r="H2807">
        <v>38381</v>
      </c>
      <c r="I2807" t="s">
        <v>593</v>
      </c>
      <c r="J2807" t="str">
        <f>"2"</f>
        <v>2</v>
      </c>
      <c r="K2807">
        <v>60002</v>
      </c>
      <c r="L2807">
        <v>3453</v>
      </c>
      <c r="M2807">
        <v>8</v>
      </c>
      <c r="N2807">
        <v>3</v>
      </c>
      <c r="O2807">
        <v>1</v>
      </c>
      <c r="P2807" t="s">
        <v>79</v>
      </c>
      <c r="Q2807">
        <v>3</v>
      </c>
      <c r="R2807">
        <v>0</v>
      </c>
      <c r="S2807" t="s">
        <v>21</v>
      </c>
      <c r="T2807">
        <v>2</v>
      </c>
      <c r="U2807">
        <v>0</v>
      </c>
    </row>
    <row r="2808" spans="1:21" x14ac:dyDescent="0.25">
      <c r="A2808" t="str">
        <f>"10638053"</f>
        <v>10638053</v>
      </c>
      <c r="B2808" t="s">
        <v>15</v>
      </c>
      <c r="C2808" s="1">
        <v>44036</v>
      </c>
      <c r="D2808" s="2">
        <f>YEAR(C2808)</f>
        <v>2020</v>
      </c>
      <c r="E2808">
        <v>330000</v>
      </c>
      <c r="F2808" t="s">
        <v>85</v>
      </c>
      <c r="G2808">
        <v>2006</v>
      </c>
      <c r="H2808">
        <v>1888</v>
      </c>
      <c r="I2808" t="s">
        <v>916</v>
      </c>
      <c r="J2808" t="str">
        <f>"2"</f>
        <v>2</v>
      </c>
      <c r="K2808">
        <v>60002</v>
      </c>
      <c r="L2808">
        <v>3454</v>
      </c>
      <c r="M2808">
        <v>10</v>
      </c>
      <c r="N2808">
        <v>2</v>
      </c>
      <c r="O2808">
        <v>1</v>
      </c>
      <c r="P2808" t="s">
        <v>18</v>
      </c>
      <c r="Q2808">
        <v>4</v>
      </c>
      <c r="R2808">
        <v>0</v>
      </c>
      <c r="S2808" t="s">
        <v>21</v>
      </c>
      <c r="T2808">
        <v>3</v>
      </c>
      <c r="U2808">
        <v>0</v>
      </c>
    </row>
    <row r="2809" spans="1:21" x14ac:dyDescent="0.25">
      <c r="A2809" t="str">
        <f>"10683497"</f>
        <v>10683497</v>
      </c>
      <c r="B2809" t="s">
        <v>15</v>
      </c>
      <c r="C2809" s="1">
        <v>43980</v>
      </c>
      <c r="D2809" s="2">
        <f>YEAR(C2809)</f>
        <v>2020</v>
      </c>
      <c r="E2809">
        <v>289900</v>
      </c>
      <c r="F2809" t="s">
        <v>85</v>
      </c>
      <c r="G2809">
        <v>2001</v>
      </c>
      <c r="H2809">
        <v>1374</v>
      </c>
      <c r="I2809" t="s">
        <v>917</v>
      </c>
      <c r="J2809" t="str">
        <f>"2"</f>
        <v>2</v>
      </c>
      <c r="K2809">
        <v>60002</v>
      </c>
      <c r="L2809">
        <v>3466</v>
      </c>
      <c r="M2809">
        <v>9</v>
      </c>
      <c r="N2809">
        <v>5</v>
      </c>
      <c r="O2809">
        <v>0</v>
      </c>
      <c r="P2809" t="s">
        <v>18</v>
      </c>
      <c r="Q2809">
        <v>4</v>
      </c>
      <c r="R2809">
        <v>0</v>
      </c>
      <c r="S2809" t="s">
        <v>21</v>
      </c>
      <c r="T2809">
        <v>3</v>
      </c>
      <c r="U2809">
        <v>0</v>
      </c>
    </row>
    <row r="2810" spans="1:21" x14ac:dyDescent="0.25">
      <c r="A2810" t="str">
        <f>"10572935"</f>
        <v>10572935</v>
      </c>
      <c r="B2810" t="s">
        <v>15</v>
      </c>
      <c r="C2810" s="1">
        <v>43889</v>
      </c>
      <c r="D2810" s="2">
        <f>YEAR(C2810)</f>
        <v>2020</v>
      </c>
      <c r="E2810">
        <v>380000</v>
      </c>
      <c r="F2810" t="s">
        <v>85</v>
      </c>
      <c r="G2810">
        <v>1999</v>
      </c>
      <c r="H2810">
        <v>1595</v>
      </c>
      <c r="I2810" t="s">
        <v>880</v>
      </c>
      <c r="J2810" t="str">
        <f>"2"</f>
        <v>2</v>
      </c>
      <c r="K2810">
        <v>60002</v>
      </c>
      <c r="L2810">
        <v>3474</v>
      </c>
      <c r="M2810">
        <v>11</v>
      </c>
      <c r="N2810">
        <v>2</v>
      </c>
      <c r="O2810">
        <v>2</v>
      </c>
      <c r="P2810" t="s">
        <v>79</v>
      </c>
      <c r="Q2810">
        <v>3</v>
      </c>
      <c r="R2810">
        <v>0</v>
      </c>
      <c r="S2810" t="s">
        <v>21</v>
      </c>
      <c r="T2810">
        <v>3</v>
      </c>
      <c r="U2810">
        <v>0</v>
      </c>
    </row>
    <row r="2811" spans="1:21" x14ac:dyDescent="0.25">
      <c r="A2811" t="str">
        <f>"10307379"</f>
        <v>10307379</v>
      </c>
      <c r="B2811" t="s">
        <v>15</v>
      </c>
      <c r="C2811" s="1">
        <v>43602</v>
      </c>
      <c r="D2811" s="2">
        <f>YEAR(C2811)</f>
        <v>2019</v>
      </c>
      <c r="E2811">
        <v>345000</v>
      </c>
      <c r="F2811" t="s">
        <v>85</v>
      </c>
      <c r="G2811">
        <v>2003</v>
      </c>
      <c r="H2811">
        <v>1270</v>
      </c>
      <c r="I2811" t="s">
        <v>905</v>
      </c>
      <c r="J2811" t="str">
        <f>"2"</f>
        <v>2</v>
      </c>
      <c r="K2811">
        <v>60002</v>
      </c>
      <c r="L2811">
        <v>3481</v>
      </c>
      <c r="M2811">
        <v>10</v>
      </c>
      <c r="N2811">
        <v>2</v>
      </c>
      <c r="O2811">
        <v>2</v>
      </c>
      <c r="P2811" t="s">
        <v>18</v>
      </c>
      <c r="Q2811">
        <v>4</v>
      </c>
      <c r="R2811">
        <v>0</v>
      </c>
      <c r="S2811" t="s">
        <v>21</v>
      </c>
      <c r="T2811">
        <v>2.5</v>
      </c>
      <c r="U2811">
        <v>0</v>
      </c>
    </row>
    <row r="2812" spans="1:21" x14ac:dyDescent="0.25">
      <c r="A2812" t="str">
        <f>"10823269"</f>
        <v>10823269</v>
      </c>
      <c r="B2812" t="s">
        <v>15</v>
      </c>
      <c r="C2812" s="1">
        <v>44112</v>
      </c>
      <c r="D2812" s="2">
        <f>YEAR(C2812)</f>
        <v>2020</v>
      </c>
      <c r="E2812">
        <v>682500</v>
      </c>
      <c r="F2812" t="s">
        <v>85</v>
      </c>
      <c r="G2812">
        <v>1981</v>
      </c>
      <c r="H2812">
        <v>38725</v>
      </c>
      <c r="I2812" t="s">
        <v>919</v>
      </c>
      <c r="J2812" t="str">
        <f>"2"</f>
        <v>2</v>
      </c>
      <c r="K2812">
        <v>60002</v>
      </c>
      <c r="L2812">
        <v>3500</v>
      </c>
      <c r="M2812">
        <v>9</v>
      </c>
      <c r="N2812">
        <v>3</v>
      </c>
      <c r="O2812">
        <v>0</v>
      </c>
      <c r="P2812" t="s">
        <v>18</v>
      </c>
      <c r="Q2812">
        <v>4</v>
      </c>
      <c r="R2812">
        <v>0</v>
      </c>
      <c r="S2812" t="s">
        <v>22</v>
      </c>
      <c r="T2812">
        <v>5</v>
      </c>
      <c r="U2812">
        <v>0</v>
      </c>
    </row>
    <row r="2813" spans="1:21" x14ac:dyDescent="0.25">
      <c r="A2813" t="str">
        <f>"10687403"</f>
        <v>10687403</v>
      </c>
      <c r="B2813" t="s">
        <v>15</v>
      </c>
      <c r="C2813" s="1">
        <v>43978</v>
      </c>
      <c r="D2813" s="2">
        <f>YEAR(C2813)</f>
        <v>2020</v>
      </c>
      <c r="E2813">
        <v>270000</v>
      </c>
      <c r="F2813" t="s">
        <v>85</v>
      </c>
      <c r="G2813">
        <v>2002</v>
      </c>
      <c r="H2813">
        <v>613</v>
      </c>
      <c r="I2813" t="s">
        <v>887</v>
      </c>
      <c r="J2813" t="str">
        <f>"2"</f>
        <v>2</v>
      </c>
      <c r="K2813">
        <v>60002</v>
      </c>
      <c r="L2813">
        <v>3544</v>
      </c>
      <c r="M2813">
        <v>9</v>
      </c>
      <c r="N2813">
        <v>2</v>
      </c>
      <c r="O2813">
        <v>1</v>
      </c>
      <c r="P2813" t="s">
        <v>18</v>
      </c>
      <c r="Q2813">
        <v>4</v>
      </c>
      <c r="R2813">
        <v>0</v>
      </c>
      <c r="S2813" t="s">
        <v>21</v>
      </c>
      <c r="T2813">
        <v>3</v>
      </c>
      <c r="U2813">
        <v>0</v>
      </c>
    </row>
    <row r="2814" spans="1:21" x14ac:dyDescent="0.25">
      <c r="A2814" t="str">
        <f>"10117336"</f>
        <v>10117336</v>
      </c>
      <c r="B2814" t="s">
        <v>15</v>
      </c>
      <c r="C2814" s="1">
        <v>43501</v>
      </c>
      <c r="D2814" s="2">
        <f>YEAR(C2814)</f>
        <v>2019</v>
      </c>
      <c r="E2814">
        <v>322000</v>
      </c>
      <c r="F2814" t="s">
        <v>85</v>
      </c>
      <c r="G2814">
        <v>1974</v>
      </c>
      <c r="H2814">
        <v>41243</v>
      </c>
      <c r="I2814" t="s">
        <v>819</v>
      </c>
      <c r="J2814" t="str">
        <f>"2"</f>
        <v>2</v>
      </c>
      <c r="K2814">
        <v>60002</v>
      </c>
      <c r="L2814">
        <v>3593</v>
      </c>
      <c r="M2814">
        <v>10</v>
      </c>
      <c r="N2814">
        <v>3</v>
      </c>
      <c r="O2814">
        <v>1</v>
      </c>
      <c r="P2814" t="s">
        <v>18</v>
      </c>
      <c r="Q2814">
        <v>5</v>
      </c>
      <c r="R2814">
        <v>0</v>
      </c>
      <c r="S2814" t="s">
        <v>22</v>
      </c>
      <c r="T2814">
        <v>2</v>
      </c>
      <c r="U2814">
        <v>0</v>
      </c>
    </row>
    <row r="2815" spans="1:21" x14ac:dyDescent="0.25">
      <c r="A2815" t="str">
        <f>"10536099"</f>
        <v>10536099</v>
      </c>
      <c r="B2815" t="s">
        <v>15</v>
      </c>
      <c r="C2815" s="1">
        <v>43766</v>
      </c>
      <c r="D2815" s="2">
        <f>YEAR(C2815)</f>
        <v>2019</v>
      </c>
      <c r="E2815">
        <v>334900</v>
      </c>
      <c r="F2815" t="s">
        <v>85</v>
      </c>
      <c r="G2815">
        <v>1998</v>
      </c>
      <c r="H2815">
        <v>40339</v>
      </c>
      <c r="I2815" t="s">
        <v>921</v>
      </c>
      <c r="J2815" t="str">
        <f>"2"</f>
        <v>2</v>
      </c>
      <c r="K2815">
        <v>60002</v>
      </c>
      <c r="L2815">
        <v>3600</v>
      </c>
      <c r="M2815">
        <v>10</v>
      </c>
      <c r="N2815">
        <v>2</v>
      </c>
      <c r="O2815">
        <v>1</v>
      </c>
      <c r="P2815" t="s">
        <v>18</v>
      </c>
      <c r="Q2815">
        <v>4</v>
      </c>
      <c r="R2815">
        <v>0</v>
      </c>
      <c r="S2815" t="s">
        <v>21</v>
      </c>
      <c r="T2815">
        <v>2.5</v>
      </c>
      <c r="U2815">
        <v>0</v>
      </c>
    </row>
    <row r="2816" spans="1:21" x14ac:dyDescent="0.25">
      <c r="A2816" t="str">
        <f>"10442489"</f>
        <v>10442489</v>
      </c>
      <c r="B2816" t="s">
        <v>15</v>
      </c>
      <c r="C2816" s="1">
        <v>43707</v>
      </c>
      <c r="D2816" s="2">
        <f>YEAR(C2816)</f>
        <v>2019</v>
      </c>
      <c r="E2816">
        <v>255000</v>
      </c>
      <c r="F2816" t="s">
        <v>85</v>
      </c>
      <c r="G2816">
        <v>1992</v>
      </c>
      <c r="H2816">
        <v>316</v>
      </c>
      <c r="I2816" t="s">
        <v>922</v>
      </c>
      <c r="J2816" t="str">
        <f>"2"</f>
        <v>2</v>
      </c>
      <c r="K2816">
        <v>60002</v>
      </c>
      <c r="L2816">
        <v>3602</v>
      </c>
      <c r="M2816">
        <v>11</v>
      </c>
      <c r="N2816">
        <v>3</v>
      </c>
      <c r="O2816">
        <v>1</v>
      </c>
      <c r="P2816" t="s">
        <v>79</v>
      </c>
      <c r="Q2816">
        <v>5</v>
      </c>
      <c r="R2816">
        <v>0</v>
      </c>
      <c r="S2816" t="s">
        <v>21</v>
      </c>
      <c r="T2816">
        <v>2</v>
      </c>
      <c r="U2816">
        <v>0</v>
      </c>
    </row>
    <row r="2817" spans="1:21" x14ac:dyDescent="0.25">
      <c r="A2817" t="str">
        <f>"10410743"</f>
        <v>10410743</v>
      </c>
      <c r="B2817" t="s">
        <v>15</v>
      </c>
      <c r="C2817" s="1">
        <v>43789</v>
      </c>
      <c r="D2817" s="2">
        <f>YEAR(C2817)</f>
        <v>2019</v>
      </c>
      <c r="E2817">
        <v>280000</v>
      </c>
      <c r="F2817" t="s">
        <v>85</v>
      </c>
      <c r="G2817">
        <v>1995</v>
      </c>
      <c r="H2817">
        <v>330</v>
      </c>
      <c r="I2817" t="s">
        <v>806</v>
      </c>
      <c r="J2817" t="str">
        <f>"2"</f>
        <v>2</v>
      </c>
      <c r="K2817">
        <v>60002</v>
      </c>
      <c r="L2817">
        <v>3618</v>
      </c>
      <c r="M2817">
        <v>9</v>
      </c>
      <c r="N2817">
        <v>3</v>
      </c>
      <c r="O2817">
        <v>1</v>
      </c>
      <c r="P2817" t="s">
        <v>79</v>
      </c>
      <c r="Q2817">
        <v>4</v>
      </c>
      <c r="R2817">
        <v>0</v>
      </c>
      <c r="S2817" t="s">
        <v>21</v>
      </c>
      <c r="T2817">
        <v>3</v>
      </c>
      <c r="U2817">
        <v>0</v>
      </c>
    </row>
    <row r="2818" spans="1:21" x14ac:dyDescent="0.25">
      <c r="A2818" t="str">
        <f>"10811460"</f>
        <v>10811460</v>
      </c>
      <c r="B2818" t="s">
        <v>15</v>
      </c>
      <c r="C2818" s="1">
        <v>44103</v>
      </c>
      <c r="D2818" s="2">
        <f>YEAR(C2818)</f>
        <v>2020</v>
      </c>
      <c r="E2818">
        <v>545000</v>
      </c>
      <c r="F2818" t="s">
        <v>85</v>
      </c>
      <c r="G2818">
        <v>2007</v>
      </c>
      <c r="H2818">
        <v>22512</v>
      </c>
      <c r="I2818" t="s">
        <v>923</v>
      </c>
      <c r="J2818" t="str">
        <f>"2"</f>
        <v>2</v>
      </c>
      <c r="K2818">
        <v>60002</v>
      </c>
      <c r="L2818">
        <v>3639</v>
      </c>
      <c r="M2818">
        <v>12</v>
      </c>
      <c r="N2818">
        <v>4</v>
      </c>
      <c r="O2818">
        <v>1</v>
      </c>
      <c r="P2818" t="s">
        <v>79</v>
      </c>
      <c r="Q2818">
        <v>3</v>
      </c>
      <c r="R2818">
        <v>1</v>
      </c>
      <c r="S2818" t="s">
        <v>21</v>
      </c>
      <c r="T2818">
        <v>4</v>
      </c>
      <c r="U2818">
        <v>0</v>
      </c>
    </row>
    <row r="2819" spans="1:21" x14ac:dyDescent="0.25">
      <c r="A2819" t="str">
        <f>"10172775"</f>
        <v>10172775</v>
      </c>
      <c r="B2819" t="s">
        <v>15</v>
      </c>
      <c r="C2819" s="1">
        <v>43647</v>
      </c>
      <c r="D2819" s="2">
        <f>YEAR(C2819)</f>
        <v>2019</v>
      </c>
      <c r="E2819">
        <v>355000</v>
      </c>
      <c r="F2819" t="s">
        <v>85</v>
      </c>
      <c r="G2819">
        <v>1989</v>
      </c>
      <c r="H2819">
        <v>23862</v>
      </c>
      <c r="I2819" t="s">
        <v>818</v>
      </c>
      <c r="J2819" t="str">
        <f>"2"</f>
        <v>2</v>
      </c>
      <c r="K2819">
        <v>60002</v>
      </c>
      <c r="L2819">
        <v>3647</v>
      </c>
      <c r="M2819">
        <v>10</v>
      </c>
      <c r="N2819">
        <v>3</v>
      </c>
      <c r="O2819">
        <v>0</v>
      </c>
      <c r="P2819" t="s">
        <v>79</v>
      </c>
      <c r="Q2819">
        <v>4</v>
      </c>
      <c r="R2819">
        <v>0</v>
      </c>
      <c r="S2819" t="s">
        <v>21</v>
      </c>
      <c r="T2819">
        <v>2</v>
      </c>
      <c r="U2819">
        <v>0</v>
      </c>
    </row>
    <row r="2820" spans="1:21" x14ac:dyDescent="0.25">
      <c r="A2820" t="str">
        <f>"10432592"</f>
        <v>10432592</v>
      </c>
      <c r="B2820" t="s">
        <v>15</v>
      </c>
      <c r="C2820" s="1">
        <v>44127</v>
      </c>
      <c r="D2820" s="2">
        <f>YEAR(C2820)</f>
        <v>2020</v>
      </c>
      <c r="E2820">
        <v>322900</v>
      </c>
      <c r="F2820" t="s">
        <v>85</v>
      </c>
      <c r="G2820">
        <v>1987</v>
      </c>
      <c r="H2820">
        <v>40425</v>
      </c>
      <c r="I2820" t="s">
        <v>457</v>
      </c>
      <c r="J2820" t="str">
        <f>"2"</f>
        <v>2</v>
      </c>
      <c r="K2820">
        <v>60002</v>
      </c>
      <c r="L2820">
        <v>3723</v>
      </c>
      <c r="M2820">
        <v>11</v>
      </c>
      <c r="N2820">
        <v>3</v>
      </c>
      <c r="O2820">
        <v>1</v>
      </c>
      <c r="P2820" t="s">
        <v>79</v>
      </c>
      <c r="Q2820">
        <v>4</v>
      </c>
      <c r="R2820">
        <v>0</v>
      </c>
      <c r="S2820" t="s">
        <v>21</v>
      </c>
      <c r="T2820">
        <v>3</v>
      </c>
      <c r="U2820">
        <v>0</v>
      </c>
    </row>
    <row r="2821" spans="1:21" x14ac:dyDescent="0.25">
      <c r="A2821" t="str">
        <f>"10127809"</f>
        <v>10127809</v>
      </c>
      <c r="B2821" t="s">
        <v>15</v>
      </c>
      <c r="C2821" s="1">
        <v>43556</v>
      </c>
      <c r="D2821" s="2">
        <f>YEAR(C2821)</f>
        <v>2019</v>
      </c>
      <c r="E2821">
        <v>283000</v>
      </c>
      <c r="F2821" t="s">
        <v>85</v>
      </c>
      <c r="G2821">
        <v>2004</v>
      </c>
      <c r="H2821">
        <v>1661</v>
      </c>
      <c r="I2821" t="s">
        <v>810</v>
      </c>
      <c r="J2821" t="str">
        <f>"2"</f>
        <v>2</v>
      </c>
      <c r="K2821">
        <v>60002</v>
      </c>
      <c r="L2821">
        <v>3732</v>
      </c>
      <c r="M2821">
        <v>12</v>
      </c>
      <c r="N2821">
        <v>3</v>
      </c>
      <c r="O2821">
        <v>1</v>
      </c>
      <c r="P2821" t="s">
        <v>79</v>
      </c>
      <c r="Q2821">
        <v>5</v>
      </c>
      <c r="R2821">
        <v>0</v>
      </c>
      <c r="S2821" t="s">
        <v>21</v>
      </c>
      <c r="T2821">
        <v>2</v>
      </c>
      <c r="U2821">
        <v>0</v>
      </c>
    </row>
    <row r="2822" spans="1:21" x14ac:dyDescent="0.25">
      <c r="A2822" t="str">
        <f>"10685341"</f>
        <v>10685341</v>
      </c>
      <c r="B2822" t="s">
        <v>15</v>
      </c>
      <c r="C2822" s="1">
        <v>44001</v>
      </c>
      <c r="D2822" s="2">
        <f>YEAR(C2822)</f>
        <v>2020</v>
      </c>
      <c r="E2822">
        <v>341700</v>
      </c>
      <c r="F2822" t="s">
        <v>85</v>
      </c>
      <c r="G2822">
        <v>2004</v>
      </c>
      <c r="H2822">
        <v>1326</v>
      </c>
      <c r="I2822" t="s">
        <v>832</v>
      </c>
      <c r="J2822" t="str">
        <f>"2"</f>
        <v>2</v>
      </c>
      <c r="K2822">
        <v>60002</v>
      </c>
      <c r="L2822">
        <v>3750</v>
      </c>
      <c r="M2822">
        <v>11</v>
      </c>
      <c r="N2822">
        <v>3</v>
      </c>
      <c r="O2822">
        <v>1</v>
      </c>
      <c r="P2822" t="s">
        <v>79</v>
      </c>
      <c r="Q2822">
        <v>4</v>
      </c>
      <c r="R2822">
        <v>0</v>
      </c>
      <c r="S2822" t="s">
        <v>21</v>
      </c>
      <c r="T2822">
        <v>3</v>
      </c>
      <c r="U2822">
        <v>0</v>
      </c>
    </row>
    <row r="2823" spans="1:21" x14ac:dyDescent="0.25">
      <c r="A2823" t="str">
        <f>"10404857"</f>
        <v>10404857</v>
      </c>
      <c r="B2823" t="s">
        <v>15</v>
      </c>
      <c r="C2823" s="1">
        <v>43691</v>
      </c>
      <c r="D2823" s="2">
        <f>YEAR(C2823)</f>
        <v>2019</v>
      </c>
      <c r="E2823">
        <v>355750</v>
      </c>
      <c r="F2823" t="s">
        <v>85</v>
      </c>
      <c r="G2823">
        <v>1991</v>
      </c>
      <c r="H2823">
        <v>1116</v>
      </c>
      <c r="I2823" t="s">
        <v>809</v>
      </c>
      <c r="J2823" t="str">
        <f>"2"</f>
        <v>2</v>
      </c>
      <c r="K2823">
        <v>60002</v>
      </c>
      <c r="L2823">
        <v>3752</v>
      </c>
      <c r="M2823">
        <v>12</v>
      </c>
      <c r="N2823">
        <v>3</v>
      </c>
      <c r="O2823">
        <v>1</v>
      </c>
      <c r="P2823" t="s">
        <v>79</v>
      </c>
      <c r="Q2823">
        <v>5</v>
      </c>
      <c r="R2823">
        <v>0</v>
      </c>
      <c r="S2823" t="s">
        <v>21</v>
      </c>
      <c r="T2823">
        <v>2</v>
      </c>
      <c r="U2823">
        <v>0</v>
      </c>
    </row>
    <row r="2824" spans="1:21" x14ac:dyDescent="0.25">
      <c r="A2824" t="str">
        <f>"10682016"</f>
        <v>10682016</v>
      </c>
      <c r="B2824" t="s">
        <v>15</v>
      </c>
      <c r="C2824" s="1">
        <v>44014</v>
      </c>
      <c r="D2824" s="2">
        <f>YEAR(C2824)</f>
        <v>2020</v>
      </c>
      <c r="E2824">
        <v>650000</v>
      </c>
      <c r="F2824" t="s">
        <v>85</v>
      </c>
      <c r="G2824">
        <v>1945</v>
      </c>
      <c r="H2824">
        <v>42065</v>
      </c>
      <c r="I2824" t="s">
        <v>889</v>
      </c>
      <c r="J2824" t="str">
        <f>"2"</f>
        <v>2</v>
      </c>
      <c r="K2824">
        <v>60002</v>
      </c>
      <c r="L2824">
        <v>3799</v>
      </c>
      <c r="M2824">
        <v>11</v>
      </c>
      <c r="N2824">
        <v>3</v>
      </c>
      <c r="O2824">
        <v>1</v>
      </c>
      <c r="P2824" t="s">
        <v>79</v>
      </c>
      <c r="Q2824">
        <v>4</v>
      </c>
      <c r="R2824">
        <v>1</v>
      </c>
      <c r="S2824" t="s">
        <v>21</v>
      </c>
      <c r="T2824">
        <v>3</v>
      </c>
      <c r="U2824">
        <v>0</v>
      </c>
    </row>
    <row r="2825" spans="1:21" x14ac:dyDescent="0.25">
      <c r="A2825" t="str">
        <f>"10579070"</f>
        <v>10579070</v>
      </c>
      <c r="B2825" t="s">
        <v>15</v>
      </c>
      <c r="C2825" s="1">
        <v>43907</v>
      </c>
      <c r="D2825" s="2">
        <f>YEAR(C2825)</f>
        <v>2020</v>
      </c>
      <c r="E2825">
        <v>269900</v>
      </c>
      <c r="F2825" t="s">
        <v>85</v>
      </c>
      <c r="G2825">
        <v>2005</v>
      </c>
      <c r="H2825">
        <v>878</v>
      </c>
      <c r="I2825" t="s">
        <v>236</v>
      </c>
      <c r="J2825" t="str">
        <f>"2"</f>
        <v>2</v>
      </c>
      <c r="K2825">
        <v>60002</v>
      </c>
      <c r="L2825">
        <v>3806</v>
      </c>
      <c r="M2825">
        <v>12</v>
      </c>
      <c r="N2825">
        <v>4</v>
      </c>
      <c r="O2825">
        <v>1</v>
      </c>
      <c r="P2825" t="s">
        <v>79</v>
      </c>
      <c r="Q2825">
        <v>4</v>
      </c>
      <c r="R2825">
        <v>1</v>
      </c>
      <c r="S2825" t="s">
        <v>21</v>
      </c>
      <c r="T2825">
        <v>3</v>
      </c>
      <c r="U2825">
        <v>0</v>
      </c>
    </row>
    <row r="2826" spans="1:21" x14ac:dyDescent="0.25">
      <c r="A2826" t="str">
        <f>"10448347"</f>
        <v>10448347</v>
      </c>
      <c r="B2826" t="s">
        <v>15</v>
      </c>
      <c r="C2826" s="1">
        <v>43767</v>
      </c>
      <c r="D2826" s="2">
        <f>YEAR(C2826)</f>
        <v>2019</v>
      </c>
      <c r="E2826">
        <v>307500</v>
      </c>
      <c r="F2826" t="s">
        <v>85</v>
      </c>
      <c r="G2826">
        <v>2005</v>
      </c>
      <c r="H2826">
        <v>40645</v>
      </c>
      <c r="I2826" t="s">
        <v>842</v>
      </c>
      <c r="J2826" t="str">
        <f>"2"</f>
        <v>2</v>
      </c>
      <c r="K2826">
        <v>60002</v>
      </c>
      <c r="L2826">
        <v>3837</v>
      </c>
      <c r="M2826">
        <v>6</v>
      </c>
      <c r="N2826">
        <v>3</v>
      </c>
      <c r="O2826">
        <v>0</v>
      </c>
      <c r="P2826" t="s">
        <v>79</v>
      </c>
      <c r="Q2826">
        <v>3</v>
      </c>
      <c r="R2826">
        <v>0</v>
      </c>
      <c r="S2826" t="s">
        <v>21</v>
      </c>
      <c r="T2826">
        <v>3</v>
      </c>
      <c r="U2826">
        <v>0</v>
      </c>
    </row>
    <row r="2827" spans="1:21" x14ac:dyDescent="0.25">
      <c r="A2827" t="str">
        <f>"10819892"</f>
        <v>10819892</v>
      </c>
      <c r="B2827" t="s">
        <v>15</v>
      </c>
      <c r="C2827" s="1">
        <v>44155</v>
      </c>
      <c r="D2827" s="2">
        <f>YEAR(C2827)</f>
        <v>2020</v>
      </c>
      <c r="E2827">
        <v>337000</v>
      </c>
      <c r="F2827" t="s">
        <v>85</v>
      </c>
      <c r="G2827">
        <v>2006</v>
      </c>
      <c r="H2827">
        <v>1861</v>
      </c>
      <c r="I2827" t="s">
        <v>824</v>
      </c>
      <c r="J2827" t="str">
        <f>"2"</f>
        <v>2</v>
      </c>
      <c r="K2827">
        <v>60002</v>
      </c>
      <c r="L2827">
        <v>3838</v>
      </c>
      <c r="M2827">
        <v>11</v>
      </c>
      <c r="N2827">
        <v>3</v>
      </c>
      <c r="O2827">
        <v>1</v>
      </c>
      <c r="P2827" t="s">
        <v>79</v>
      </c>
      <c r="Q2827">
        <v>5</v>
      </c>
      <c r="R2827">
        <v>0</v>
      </c>
      <c r="S2827" t="s">
        <v>21</v>
      </c>
      <c r="T2827">
        <v>3</v>
      </c>
      <c r="U2827">
        <v>0</v>
      </c>
    </row>
    <row r="2828" spans="1:21" x14ac:dyDescent="0.25">
      <c r="A2828" t="str">
        <f>"10267772"</f>
        <v>10267772</v>
      </c>
      <c r="B2828" t="s">
        <v>15</v>
      </c>
      <c r="C2828" s="1">
        <v>43609</v>
      </c>
      <c r="D2828" s="2">
        <f>YEAR(C2828)</f>
        <v>2019</v>
      </c>
      <c r="E2828">
        <v>810000</v>
      </c>
      <c r="F2828" t="s">
        <v>85</v>
      </c>
      <c r="G2828">
        <v>2003</v>
      </c>
      <c r="H2828">
        <v>38377</v>
      </c>
      <c r="I2828" t="s">
        <v>593</v>
      </c>
      <c r="J2828" t="str">
        <f>"2"</f>
        <v>2</v>
      </c>
      <c r="K2828">
        <v>60002</v>
      </c>
      <c r="L2828">
        <v>3888</v>
      </c>
      <c r="M2828">
        <v>10</v>
      </c>
      <c r="N2828">
        <v>3</v>
      </c>
      <c r="O2828">
        <v>1</v>
      </c>
      <c r="P2828" t="s">
        <v>79</v>
      </c>
      <c r="Q2828">
        <v>4</v>
      </c>
      <c r="R2828">
        <v>0</v>
      </c>
      <c r="S2828" t="s">
        <v>21</v>
      </c>
      <c r="T2828">
        <v>2.5</v>
      </c>
      <c r="U2828">
        <v>0</v>
      </c>
    </row>
    <row r="2829" spans="1:21" x14ac:dyDescent="0.25">
      <c r="A2829" t="str">
        <f>"10503289"</f>
        <v>10503289</v>
      </c>
      <c r="B2829" t="s">
        <v>15</v>
      </c>
      <c r="C2829" s="1">
        <v>43794</v>
      </c>
      <c r="D2829" s="2">
        <f>YEAR(C2829)</f>
        <v>2019</v>
      </c>
      <c r="E2829">
        <v>284500</v>
      </c>
      <c r="F2829" t="s">
        <v>85</v>
      </c>
      <c r="G2829">
        <v>1975</v>
      </c>
      <c r="H2829">
        <v>26181</v>
      </c>
      <c r="I2829" t="s">
        <v>662</v>
      </c>
      <c r="J2829" t="str">
        <f>"2"</f>
        <v>2</v>
      </c>
      <c r="K2829">
        <v>60002</v>
      </c>
      <c r="L2829">
        <v>3900</v>
      </c>
      <c r="M2829">
        <v>12</v>
      </c>
      <c r="N2829">
        <v>4</v>
      </c>
      <c r="O2829">
        <v>0</v>
      </c>
      <c r="P2829" t="s">
        <v>79</v>
      </c>
      <c r="Q2829">
        <v>6</v>
      </c>
      <c r="R2829">
        <v>0</v>
      </c>
      <c r="S2829" t="s">
        <v>21</v>
      </c>
      <c r="T2829">
        <v>2.5</v>
      </c>
      <c r="U2829">
        <v>0</v>
      </c>
    </row>
    <row r="2830" spans="1:21" x14ac:dyDescent="0.25">
      <c r="A2830" t="str">
        <f>"10493878"</f>
        <v>10493878</v>
      </c>
      <c r="B2830" t="s">
        <v>15</v>
      </c>
      <c r="C2830" s="1">
        <v>43739</v>
      </c>
      <c r="D2830" s="2">
        <f>YEAR(C2830)</f>
        <v>2019</v>
      </c>
      <c r="E2830">
        <v>305000</v>
      </c>
      <c r="F2830" t="s">
        <v>85</v>
      </c>
      <c r="G2830">
        <v>1992</v>
      </c>
      <c r="H2830">
        <v>608</v>
      </c>
      <c r="I2830" t="s">
        <v>851</v>
      </c>
      <c r="J2830" t="str">
        <f>"2"</f>
        <v>2</v>
      </c>
      <c r="K2830">
        <v>60002</v>
      </c>
      <c r="L2830">
        <v>3983</v>
      </c>
      <c r="M2830">
        <v>9</v>
      </c>
      <c r="N2830">
        <v>3</v>
      </c>
      <c r="O2830">
        <v>0</v>
      </c>
      <c r="P2830" t="s">
        <v>79</v>
      </c>
      <c r="Q2830">
        <v>4</v>
      </c>
      <c r="R2830">
        <v>0</v>
      </c>
      <c r="S2830" t="s">
        <v>21</v>
      </c>
      <c r="T2830">
        <v>2</v>
      </c>
      <c r="U2830">
        <v>0</v>
      </c>
    </row>
    <row r="2831" spans="1:21" x14ac:dyDescent="0.25">
      <c r="A2831" t="str">
        <f>"10566746"</f>
        <v>10566746</v>
      </c>
      <c r="B2831" t="s">
        <v>15</v>
      </c>
      <c r="C2831" s="1">
        <v>43829</v>
      </c>
      <c r="D2831" s="2">
        <f>YEAR(C2831)</f>
        <v>2019</v>
      </c>
      <c r="E2831">
        <v>237000</v>
      </c>
      <c r="F2831" t="s">
        <v>85</v>
      </c>
      <c r="G2831">
        <v>1993</v>
      </c>
      <c r="H2831">
        <v>1006</v>
      </c>
      <c r="I2831" t="s">
        <v>867</v>
      </c>
      <c r="J2831" t="str">
        <f>"2"</f>
        <v>2</v>
      </c>
      <c r="K2831">
        <v>60002</v>
      </c>
      <c r="L2831">
        <v>4000</v>
      </c>
      <c r="M2831">
        <v>10</v>
      </c>
      <c r="N2831">
        <v>3</v>
      </c>
      <c r="O2831">
        <v>0</v>
      </c>
      <c r="P2831" t="s">
        <v>18</v>
      </c>
      <c r="Q2831">
        <v>5</v>
      </c>
      <c r="R2831">
        <v>0</v>
      </c>
      <c r="S2831" t="s">
        <v>21</v>
      </c>
      <c r="T2831">
        <v>3</v>
      </c>
      <c r="U2831">
        <v>0</v>
      </c>
    </row>
    <row r="2832" spans="1:21" x14ac:dyDescent="0.25">
      <c r="A2832" t="str">
        <f>"10347566"</f>
        <v>10347566</v>
      </c>
      <c r="B2832" t="s">
        <v>15</v>
      </c>
      <c r="C2832" s="1">
        <v>43605</v>
      </c>
      <c r="D2832" s="2">
        <f>YEAR(C2832)</f>
        <v>2019</v>
      </c>
      <c r="E2832">
        <v>332500</v>
      </c>
      <c r="F2832" t="s">
        <v>85</v>
      </c>
      <c r="G2832">
        <v>2004</v>
      </c>
      <c r="H2832">
        <v>24910</v>
      </c>
      <c r="I2832" t="s">
        <v>925</v>
      </c>
      <c r="J2832" t="str">
        <f>"2"</f>
        <v>2</v>
      </c>
      <c r="K2832">
        <v>60002</v>
      </c>
      <c r="L2832">
        <v>4000</v>
      </c>
      <c r="M2832">
        <v>10</v>
      </c>
      <c r="N2832">
        <v>3</v>
      </c>
      <c r="O2832">
        <v>0</v>
      </c>
      <c r="P2832" t="s">
        <v>79</v>
      </c>
      <c r="Q2832">
        <v>3</v>
      </c>
      <c r="R2832">
        <v>1</v>
      </c>
      <c r="S2832" t="s">
        <v>21</v>
      </c>
      <c r="T2832">
        <v>3.5</v>
      </c>
      <c r="U2832">
        <v>0</v>
      </c>
    </row>
    <row r="2833" spans="1:21" x14ac:dyDescent="0.25">
      <c r="A2833" t="str">
        <f>"10394801"</f>
        <v>10394801</v>
      </c>
      <c r="B2833" t="s">
        <v>15</v>
      </c>
      <c r="C2833" s="1">
        <v>43734</v>
      </c>
      <c r="D2833" s="2">
        <f>YEAR(C2833)</f>
        <v>2019</v>
      </c>
      <c r="E2833">
        <v>360000</v>
      </c>
      <c r="F2833" t="s">
        <v>85</v>
      </c>
      <c r="G2833">
        <v>1992</v>
      </c>
      <c r="H2833">
        <v>40603</v>
      </c>
      <c r="I2833" t="s">
        <v>926</v>
      </c>
      <c r="J2833" t="str">
        <f>"2"</f>
        <v>2</v>
      </c>
      <c r="K2833">
        <v>60002</v>
      </c>
      <c r="L2833">
        <v>4000</v>
      </c>
      <c r="M2833">
        <v>10</v>
      </c>
      <c r="N2833">
        <v>2</v>
      </c>
      <c r="O2833">
        <v>2</v>
      </c>
      <c r="P2833" t="s">
        <v>79</v>
      </c>
      <c r="Q2833">
        <v>4</v>
      </c>
      <c r="R2833">
        <v>0</v>
      </c>
      <c r="S2833" t="s">
        <v>21</v>
      </c>
      <c r="T2833">
        <v>4</v>
      </c>
      <c r="U2833">
        <v>0</v>
      </c>
    </row>
    <row r="2834" spans="1:21" x14ac:dyDescent="0.25">
      <c r="A2834" t="str">
        <f>"10649660"</f>
        <v>10649660</v>
      </c>
      <c r="B2834" t="s">
        <v>15</v>
      </c>
      <c r="C2834" s="1">
        <v>44007</v>
      </c>
      <c r="D2834" s="2">
        <f>YEAR(C2834)</f>
        <v>2020</v>
      </c>
      <c r="E2834">
        <v>615000</v>
      </c>
      <c r="F2834" t="s">
        <v>85</v>
      </c>
      <c r="G2834">
        <v>1960</v>
      </c>
      <c r="H2834">
        <v>42683</v>
      </c>
      <c r="I2834" t="s">
        <v>299</v>
      </c>
      <c r="J2834" t="str">
        <f>"2"</f>
        <v>2</v>
      </c>
      <c r="K2834">
        <v>60002</v>
      </c>
      <c r="L2834">
        <v>4000</v>
      </c>
      <c r="M2834">
        <v>9</v>
      </c>
      <c r="N2834">
        <v>3</v>
      </c>
      <c r="O2834">
        <v>0</v>
      </c>
      <c r="P2834" t="s">
        <v>79</v>
      </c>
      <c r="Q2834">
        <v>4</v>
      </c>
      <c r="R2834">
        <v>0</v>
      </c>
      <c r="S2834" t="s">
        <v>22</v>
      </c>
      <c r="T2834">
        <v>3</v>
      </c>
      <c r="U2834">
        <v>0</v>
      </c>
    </row>
    <row r="2835" spans="1:21" x14ac:dyDescent="0.25">
      <c r="A2835" t="str">
        <f>"10934993"</f>
        <v>10934993</v>
      </c>
      <c r="B2835" t="s">
        <v>15</v>
      </c>
      <c r="C2835" s="1">
        <v>44176</v>
      </c>
      <c r="D2835" s="2">
        <f>YEAR(C2835)</f>
        <v>2020</v>
      </c>
      <c r="E2835">
        <v>316500</v>
      </c>
      <c r="F2835" t="s">
        <v>85</v>
      </c>
      <c r="G2835">
        <v>1991</v>
      </c>
      <c r="H2835">
        <v>1445</v>
      </c>
      <c r="I2835" t="s">
        <v>784</v>
      </c>
      <c r="J2835" t="str">
        <f>"2"</f>
        <v>2</v>
      </c>
      <c r="K2835">
        <v>60002</v>
      </c>
      <c r="L2835">
        <v>4021</v>
      </c>
      <c r="M2835">
        <v>11</v>
      </c>
      <c r="N2835">
        <v>3</v>
      </c>
      <c r="O2835">
        <v>1</v>
      </c>
      <c r="P2835" t="s">
        <v>79</v>
      </c>
      <c r="Q2835">
        <v>5</v>
      </c>
      <c r="R2835">
        <v>0</v>
      </c>
      <c r="S2835" t="s">
        <v>21</v>
      </c>
      <c r="T2835">
        <v>3</v>
      </c>
      <c r="U2835">
        <v>0</v>
      </c>
    </row>
    <row r="2836" spans="1:21" x14ac:dyDescent="0.25">
      <c r="A2836" t="str">
        <f>"10554594"</f>
        <v>10554594</v>
      </c>
      <c r="B2836" t="s">
        <v>15</v>
      </c>
      <c r="C2836" s="1">
        <v>43822</v>
      </c>
      <c r="D2836" s="2">
        <f>YEAR(C2836)</f>
        <v>2019</v>
      </c>
      <c r="E2836">
        <v>215000</v>
      </c>
      <c r="F2836" t="s">
        <v>85</v>
      </c>
      <c r="G2836">
        <v>1945</v>
      </c>
      <c r="H2836">
        <v>42088</v>
      </c>
      <c r="I2836" t="s">
        <v>889</v>
      </c>
      <c r="J2836" t="str">
        <f>"2"</f>
        <v>2</v>
      </c>
      <c r="K2836">
        <v>60002</v>
      </c>
      <c r="L2836">
        <v>4055</v>
      </c>
      <c r="M2836">
        <v>10</v>
      </c>
      <c r="N2836">
        <v>3</v>
      </c>
      <c r="O2836">
        <v>0</v>
      </c>
      <c r="P2836" t="s">
        <v>79</v>
      </c>
      <c r="Q2836">
        <v>3</v>
      </c>
      <c r="R2836">
        <v>0</v>
      </c>
      <c r="S2836" t="s">
        <v>21</v>
      </c>
      <c r="T2836">
        <v>2</v>
      </c>
      <c r="U2836">
        <v>0</v>
      </c>
    </row>
    <row r="2837" spans="1:21" x14ac:dyDescent="0.25">
      <c r="A2837" t="str">
        <f>"10680231"</f>
        <v>10680231</v>
      </c>
      <c r="B2837" t="s">
        <v>15</v>
      </c>
      <c r="C2837" s="1">
        <v>44117</v>
      </c>
      <c r="D2837" s="2">
        <f>YEAR(C2837)</f>
        <v>2020</v>
      </c>
      <c r="E2837">
        <v>817000</v>
      </c>
      <c r="F2837" t="s">
        <v>85</v>
      </c>
      <c r="G2837">
        <v>2008</v>
      </c>
      <c r="H2837">
        <v>40535</v>
      </c>
      <c r="I2837" t="s">
        <v>401</v>
      </c>
      <c r="J2837" t="str">
        <f>"2"</f>
        <v>2</v>
      </c>
      <c r="K2837">
        <v>60002</v>
      </c>
      <c r="L2837">
        <v>4060</v>
      </c>
      <c r="M2837">
        <v>13</v>
      </c>
      <c r="N2837">
        <v>3</v>
      </c>
      <c r="O2837">
        <v>1</v>
      </c>
      <c r="P2837" t="s">
        <v>79</v>
      </c>
      <c r="Q2837">
        <v>4</v>
      </c>
      <c r="R2837">
        <v>0</v>
      </c>
      <c r="S2837" t="s">
        <v>21</v>
      </c>
      <c r="T2837">
        <v>3</v>
      </c>
      <c r="U2837">
        <v>0</v>
      </c>
    </row>
    <row r="2838" spans="1:21" x14ac:dyDescent="0.25">
      <c r="A2838" t="str">
        <f>"10601125"</f>
        <v>10601125</v>
      </c>
      <c r="B2838" t="s">
        <v>15</v>
      </c>
      <c r="C2838" s="1">
        <v>43936</v>
      </c>
      <c r="D2838" s="2">
        <f>YEAR(C2838)</f>
        <v>2020</v>
      </c>
      <c r="E2838">
        <v>374900</v>
      </c>
      <c r="F2838" t="s">
        <v>85</v>
      </c>
      <c r="G2838">
        <v>2007</v>
      </c>
      <c r="H2838">
        <v>40492</v>
      </c>
      <c r="I2838" t="s">
        <v>927</v>
      </c>
      <c r="J2838" t="str">
        <f>"2"</f>
        <v>2</v>
      </c>
      <c r="K2838">
        <v>60002</v>
      </c>
      <c r="L2838">
        <v>4085</v>
      </c>
      <c r="M2838">
        <v>8</v>
      </c>
      <c r="N2838">
        <v>2</v>
      </c>
      <c r="O2838">
        <v>1</v>
      </c>
      <c r="P2838" t="s">
        <v>18</v>
      </c>
      <c r="Q2838">
        <v>3</v>
      </c>
      <c r="R2838">
        <v>0</v>
      </c>
      <c r="S2838" t="s">
        <v>21</v>
      </c>
      <c r="T2838">
        <v>2.5</v>
      </c>
      <c r="U2838">
        <v>0</v>
      </c>
    </row>
    <row r="2839" spans="1:21" x14ac:dyDescent="0.25">
      <c r="A2839" t="str">
        <f>"10673977"</f>
        <v>10673977</v>
      </c>
      <c r="B2839" t="s">
        <v>15</v>
      </c>
      <c r="C2839" s="1">
        <v>44104</v>
      </c>
      <c r="D2839" s="2">
        <f>YEAR(C2839)</f>
        <v>2020</v>
      </c>
      <c r="E2839">
        <v>419900</v>
      </c>
      <c r="F2839" t="s">
        <v>85</v>
      </c>
      <c r="G2839">
        <v>2008</v>
      </c>
      <c r="H2839">
        <v>40390</v>
      </c>
      <c r="I2839" t="s">
        <v>927</v>
      </c>
      <c r="J2839" t="str">
        <f>"2"</f>
        <v>2</v>
      </c>
      <c r="K2839">
        <v>60002</v>
      </c>
      <c r="L2839">
        <v>4085</v>
      </c>
      <c r="M2839">
        <v>9</v>
      </c>
      <c r="N2839">
        <v>3</v>
      </c>
      <c r="O2839">
        <v>1</v>
      </c>
      <c r="P2839" t="s">
        <v>79</v>
      </c>
      <c r="Q2839">
        <v>3</v>
      </c>
      <c r="R2839">
        <v>0</v>
      </c>
      <c r="S2839" t="s">
        <v>21</v>
      </c>
      <c r="T2839">
        <v>2</v>
      </c>
      <c r="U2839">
        <v>0</v>
      </c>
    </row>
    <row r="2840" spans="1:21" x14ac:dyDescent="0.25">
      <c r="A2840" t="str">
        <f>"10765592"</f>
        <v>10765592</v>
      </c>
      <c r="B2840" t="s">
        <v>15</v>
      </c>
      <c r="C2840" s="1">
        <v>44117</v>
      </c>
      <c r="D2840" s="2">
        <f>YEAR(C2840)</f>
        <v>2020</v>
      </c>
      <c r="E2840">
        <v>450000</v>
      </c>
      <c r="F2840" t="s">
        <v>85</v>
      </c>
      <c r="G2840">
        <v>1989</v>
      </c>
      <c r="H2840">
        <v>40322</v>
      </c>
      <c r="I2840" t="s">
        <v>871</v>
      </c>
      <c r="J2840" t="str">
        <f>"2"</f>
        <v>2</v>
      </c>
      <c r="K2840">
        <v>60002</v>
      </c>
      <c r="L2840">
        <v>4088</v>
      </c>
      <c r="M2840">
        <v>13</v>
      </c>
      <c r="N2840">
        <v>5</v>
      </c>
      <c r="O2840">
        <v>0</v>
      </c>
      <c r="P2840" t="s">
        <v>79</v>
      </c>
      <c r="Q2840">
        <v>4</v>
      </c>
      <c r="R2840">
        <v>0</v>
      </c>
      <c r="S2840" t="s">
        <v>21</v>
      </c>
      <c r="T2840">
        <v>3</v>
      </c>
      <c r="U2840">
        <v>0</v>
      </c>
    </row>
    <row r="2841" spans="1:21" x14ac:dyDescent="0.25">
      <c r="A2841" t="str">
        <f>"10510020"</f>
        <v>10510020</v>
      </c>
      <c r="B2841" t="s">
        <v>15</v>
      </c>
      <c r="C2841" s="1">
        <v>43766</v>
      </c>
      <c r="D2841" s="2">
        <f>YEAR(C2841)</f>
        <v>2019</v>
      </c>
      <c r="E2841">
        <v>349900</v>
      </c>
      <c r="F2841" t="s">
        <v>85</v>
      </c>
      <c r="G2841">
        <v>2002</v>
      </c>
      <c r="H2841">
        <v>911</v>
      </c>
      <c r="I2841" t="s">
        <v>829</v>
      </c>
      <c r="J2841" t="str">
        <f>"2"</f>
        <v>2</v>
      </c>
      <c r="K2841">
        <v>60002</v>
      </c>
      <c r="L2841">
        <v>4159</v>
      </c>
      <c r="M2841">
        <v>11</v>
      </c>
      <c r="N2841">
        <v>3</v>
      </c>
      <c r="O2841">
        <v>1</v>
      </c>
      <c r="P2841" t="s">
        <v>79</v>
      </c>
      <c r="Q2841">
        <v>4</v>
      </c>
      <c r="R2841">
        <v>0</v>
      </c>
      <c r="S2841" t="s">
        <v>21</v>
      </c>
      <c r="T2841">
        <v>3</v>
      </c>
      <c r="U2841">
        <v>0</v>
      </c>
    </row>
    <row r="2842" spans="1:21" x14ac:dyDescent="0.25">
      <c r="A2842" t="str">
        <f>"10843554"</f>
        <v>10843554</v>
      </c>
      <c r="B2842" t="s">
        <v>15</v>
      </c>
      <c r="C2842" s="1">
        <v>44152</v>
      </c>
      <c r="D2842" s="2">
        <f>YEAR(C2842)</f>
        <v>2020</v>
      </c>
      <c r="E2842">
        <v>400000</v>
      </c>
      <c r="F2842" t="s">
        <v>85</v>
      </c>
      <c r="G2842">
        <v>2004</v>
      </c>
      <c r="H2842">
        <v>1120</v>
      </c>
      <c r="I2842" t="s">
        <v>749</v>
      </c>
      <c r="J2842" t="str">
        <f>"2"</f>
        <v>2</v>
      </c>
      <c r="K2842">
        <v>60002</v>
      </c>
      <c r="L2842">
        <v>4252</v>
      </c>
      <c r="M2842">
        <v>7</v>
      </c>
      <c r="N2842">
        <v>3</v>
      </c>
      <c r="O2842">
        <v>1</v>
      </c>
      <c r="P2842" t="s">
        <v>79</v>
      </c>
      <c r="Q2842">
        <v>3</v>
      </c>
      <c r="R2842">
        <v>0</v>
      </c>
      <c r="S2842" t="s">
        <v>21</v>
      </c>
      <c r="T2842">
        <v>3</v>
      </c>
      <c r="U2842">
        <v>0</v>
      </c>
    </row>
    <row r="2843" spans="1:21" x14ac:dyDescent="0.25">
      <c r="A2843" t="str">
        <f>"10409141"</f>
        <v>10409141</v>
      </c>
      <c r="B2843" t="s">
        <v>15</v>
      </c>
      <c r="C2843" s="1">
        <v>43686</v>
      </c>
      <c r="D2843" s="2">
        <f>YEAR(C2843)</f>
        <v>2019</v>
      </c>
      <c r="E2843">
        <v>340000</v>
      </c>
      <c r="F2843" t="s">
        <v>85</v>
      </c>
      <c r="G2843">
        <v>2007</v>
      </c>
      <c r="H2843">
        <v>1215</v>
      </c>
      <c r="I2843" t="s">
        <v>916</v>
      </c>
      <c r="J2843" t="str">
        <f>"2"</f>
        <v>2</v>
      </c>
      <c r="K2843">
        <v>60002</v>
      </c>
      <c r="L2843">
        <v>4274</v>
      </c>
      <c r="M2843">
        <v>11</v>
      </c>
      <c r="N2843">
        <v>3</v>
      </c>
      <c r="O2843">
        <v>0</v>
      </c>
      <c r="P2843" t="s">
        <v>18</v>
      </c>
      <c r="Q2843">
        <v>5</v>
      </c>
      <c r="R2843">
        <v>0</v>
      </c>
      <c r="S2843" t="s">
        <v>21</v>
      </c>
      <c r="T2843">
        <v>3</v>
      </c>
      <c r="U2843">
        <v>0</v>
      </c>
    </row>
    <row r="2844" spans="1:21" x14ac:dyDescent="0.25">
      <c r="A2844" t="str">
        <f>"10302223"</f>
        <v>10302223</v>
      </c>
      <c r="B2844" t="s">
        <v>15</v>
      </c>
      <c r="C2844" s="1">
        <v>43626</v>
      </c>
      <c r="D2844" s="2">
        <f>YEAR(C2844)</f>
        <v>2019</v>
      </c>
      <c r="E2844">
        <v>319000</v>
      </c>
      <c r="F2844" t="s">
        <v>85</v>
      </c>
      <c r="G2844">
        <v>2006</v>
      </c>
      <c r="H2844">
        <v>968</v>
      </c>
      <c r="I2844" t="s">
        <v>928</v>
      </c>
      <c r="J2844" t="str">
        <f>"2"</f>
        <v>2</v>
      </c>
      <c r="K2844">
        <v>60002</v>
      </c>
      <c r="L2844">
        <v>4278</v>
      </c>
      <c r="M2844">
        <v>12</v>
      </c>
      <c r="N2844">
        <v>4</v>
      </c>
      <c r="O2844">
        <v>1</v>
      </c>
      <c r="P2844" t="s">
        <v>79</v>
      </c>
      <c r="Q2844">
        <v>5</v>
      </c>
      <c r="R2844">
        <v>1</v>
      </c>
      <c r="S2844" t="s">
        <v>21</v>
      </c>
      <c r="T2844">
        <v>3</v>
      </c>
      <c r="U2844">
        <v>0</v>
      </c>
    </row>
    <row r="2845" spans="1:21" x14ac:dyDescent="0.25">
      <c r="A2845" t="str">
        <f>"10114312"</f>
        <v>10114312</v>
      </c>
      <c r="B2845" t="s">
        <v>15</v>
      </c>
      <c r="C2845" s="1">
        <v>43615</v>
      </c>
      <c r="D2845" s="2">
        <f>YEAR(C2845)</f>
        <v>2019</v>
      </c>
      <c r="E2845">
        <v>417500</v>
      </c>
      <c r="F2845" t="s">
        <v>85</v>
      </c>
      <c r="G2845">
        <v>2006</v>
      </c>
      <c r="H2845">
        <v>1346</v>
      </c>
      <c r="I2845" t="s">
        <v>905</v>
      </c>
      <c r="J2845" t="str">
        <f>"2"</f>
        <v>2</v>
      </c>
      <c r="K2845">
        <v>60002</v>
      </c>
      <c r="L2845">
        <v>4375</v>
      </c>
      <c r="M2845">
        <v>13</v>
      </c>
      <c r="N2845">
        <v>3</v>
      </c>
      <c r="O2845">
        <v>1</v>
      </c>
      <c r="P2845" t="s">
        <v>79</v>
      </c>
      <c r="Q2845">
        <v>4</v>
      </c>
      <c r="R2845">
        <v>0</v>
      </c>
      <c r="S2845" t="s">
        <v>21</v>
      </c>
      <c r="T2845">
        <v>3</v>
      </c>
      <c r="U2845">
        <v>0</v>
      </c>
    </row>
    <row r="2846" spans="1:21" x14ac:dyDescent="0.25">
      <c r="A2846" t="str">
        <f>"10358580"</f>
        <v>10358580</v>
      </c>
      <c r="B2846" t="s">
        <v>15</v>
      </c>
      <c r="C2846" s="1">
        <v>43644</v>
      </c>
      <c r="D2846" s="2">
        <f>YEAR(C2846)</f>
        <v>2019</v>
      </c>
      <c r="E2846">
        <v>475000</v>
      </c>
      <c r="F2846" t="s">
        <v>85</v>
      </c>
      <c r="G2846">
        <v>1991</v>
      </c>
      <c r="H2846">
        <v>1440</v>
      </c>
      <c r="I2846" t="s">
        <v>880</v>
      </c>
      <c r="J2846" t="str">
        <f>"2"</f>
        <v>2</v>
      </c>
      <c r="K2846">
        <v>60002</v>
      </c>
      <c r="L2846">
        <v>4424</v>
      </c>
      <c r="M2846">
        <v>14</v>
      </c>
      <c r="N2846">
        <v>3</v>
      </c>
      <c r="O2846">
        <v>1</v>
      </c>
      <c r="P2846" t="s">
        <v>79</v>
      </c>
      <c r="Q2846">
        <v>5</v>
      </c>
      <c r="R2846">
        <v>0</v>
      </c>
      <c r="S2846" t="s">
        <v>21</v>
      </c>
      <c r="T2846">
        <v>3</v>
      </c>
      <c r="U2846">
        <v>0</v>
      </c>
    </row>
    <row r="2847" spans="1:21" x14ac:dyDescent="0.25">
      <c r="A2847" t="str">
        <f>"10712201"</f>
        <v>10712201</v>
      </c>
      <c r="B2847" t="s">
        <v>15</v>
      </c>
      <c r="C2847" s="1">
        <v>44176</v>
      </c>
      <c r="D2847" s="2">
        <f>YEAR(C2847)</f>
        <v>2020</v>
      </c>
      <c r="E2847">
        <v>737500</v>
      </c>
      <c r="F2847" t="s">
        <v>85</v>
      </c>
      <c r="G2847">
        <v>1907</v>
      </c>
      <c r="H2847">
        <v>42553</v>
      </c>
      <c r="I2847" t="s">
        <v>606</v>
      </c>
      <c r="J2847" t="str">
        <f>"2"</f>
        <v>2</v>
      </c>
      <c r="K2847">
        <v>60002</v>
      </c>
      <c r="L2847">
        <v>4477</v>
      </c>
      <c r="M2847">
        <v>13</v>
      </c>
      <c r="N2847">
        <v>3</v>
      </c>
      <c r="O2847">
        <v>0</v>
      </c>
      <c r="P2847" t="s">
        <v>18</v>
      </c>
      <c r="Q2847">
        <v>4</v>
      </c>
      <c r="R2847">
        <v>0</v>
      </c>
      <c r="S2847" t="s">
        <v>22</v>
      </c>
      <c r="T2847">
        <v>3</v>
      </c>
      <c r="U2847">
        <v>0</v>
      </c>
    </row>
    <row r="2848" spans="1:21" x14ac:dyDescent="0.25">
      <c r="A2848" t="str">
        <f>"10557746"</f>
        <v>10557746</v>
      </c>
      <c r="B2848" t="s">
        <v>15</v>
      </c>
      <c r="C2848" s="1">
        <v>43888</v>
      </c>
      <c r="D2848" s="2">
        <f>YEAR(C2848)</f>
        <v>2020</v>
      </c>
      <c r="E2848">
        <v>406000</v>
      </c>
      <c r="F2848" t="s">
        <v>85</v>
      </c>
      <c r="G2848">
        <v>1989</v>
      </c>
      <c r="H2848">
        <v>23466</v>
      </c>
      <c r="I2848" t="s">
        <v>929</v>
      </c>
      <c r="J2848" t="str">
        <f>"2"</f>
        <v>2</v>
      </c>
      <c r="K2848">
        <v>60002</v>
      </c>
      <c r="L2848">
        <v>4500</v>
      </c>
      <c r="M2848">
        <v>12</v>
      </c>
      <c r="N2848">
        <v>2</v>
      </c>
      <c r="O2848">
        <v>2</v>
      </c>
      <c r="P2848" t="s">
        <v>79</v>
      </c>
      <c r="Q2848">
        <v>4</v>
      </c>
      <c r="R2848">
        <v>0</v>
      </c>
      <c r="S2848" t="s">
        <v>21</v>
      </c>
      <c r="T2848">
        <v>3.5</v>
      </c>
      <c r="U2848">
        <v>0</v>
      </c>
    </row>
    <row r="2849" spans="1:21" x14ac:dyDescent="0.25">
      <c r="A2849" t="str">
        <f>"10700822"</f>
        <v>10700822</v>
      </c>
      <c r="B2849" t="s">
        <v>15</v>
      </c>
      <c r="C2849" s="1">
        <v>44006</v>
      </c>
      <c r="D2849" s="2">
        <f>YEAR(C2849)</f>
        <v>2020</v>
      </c>
      <c r="E2849">
        <v>349000</v>
      </c>
      <c r="F2849" t="s">
        <v>85</v>
      </c>
      <c r="G2849">
        <v>2004</v>
      </c>
      <c r="H2849">
        <v>1172</v>
      </c>
      <c r="I2849" t="s">
        <v>888</v>
      </c>
      <c r="J2849" t="str">
        <f>"2"</f>
        <v>2</v>
      </c>
      <c r="K2849">
        <v>60002</v>
      </c>
      <c r="L2849">
        <v>4535</v>
      </c>
      <c r="M2849">
        <v>13</v>
      </c>
      <c r="N2849">
        <v>3</v>
      </c>
      <c r="O2849">
        <v>1</v>
      </c>
      <c r="P2849" t="s">
        <v>79</v>
      </c>
      <c r="Q2849">
        <v>4</v>
      </c>
      <c r="R2849">
        <v>1</v>
      </c>
      <c r="S2849" t="s">
        <v>21</v>
      </c>
      <c r="T2849">
        <v>3</v>
      </c>
      <c r="U2849">
        <v>0</v>
      </c>
    </row>
    <row r="2850" spans="1:21" x14ac:dyDescent="0.25">
      <c r="A2850" t="str">
        <f>"10731472"</f>
        <v>10731472</v>
      </c>
      <c r="B2850" t="s">
        <v>15</v>
      </c>
      <c r="C2850" s="1">
        <v>44036</v>
      </c>
      <c r="D2850" s="2">
        <f>YEAR(C2850)</f>
        <v>2020</v>
      </c>
      <c r="E2850">
        <v>385000</v>
      </c>
      <c r="F2850" t="s">
        <v>85</v>
      </c>
      <c r="G2850">
        <v>1990</v>
      </c>
      <c r="H2850">
        <v>41755</v>
      </c>
      <c r="I2850" t="s">
        <v>843</v>
      </c>
      <c r="J2850" t="str">
        <f>"2"</f>
        <v>2</v>
      </c>
      <c r="K2850">
        <v>60002</v>
      </c>
      <c r="L2850">
        <v>4545</v>
      </c>
      <c r="M2850">
        <v>11</v>
      </c>
      <c r="N2850">
        <v>4</v>
      </c>
      <c r="O2850">
        <v>0</v>
      </c>
      <c r="P2850" t="s">
        <v>79</v>
      </c>
      <c r="Q2850">
        <v>4</v>
      </c>
      <c r="R2850">
        <v>2</v>
      </c>
      <c r="S2850" t="s">
        <v>21</v>
      </c>
      <c r="T2850">
        <v>3</v>
      </c>
      <c r="U2850">
        <v>0</v>
      </c>
    </row>
    <row r="2851" spans="1:21" x14ac:dyDescent="0.25">
      <c r="A2851" t="str">
        <f>"10630581"</f>
        <v>10630581</v>
      </c>
      <c r="B2851" t="s">
        <v>15</v>
      </c>
      <c r="C2851" s="1">
        <v>44032</v>
      </c>
      <c r="D2851" s="2">
        <f>YEAR(C2851)</f>
        <v>2020</v>
      </c>
      <c r="E2851">
        <v>330000</v>
      </c>
      <c r="F2851" t="s">
        <v>85</v>
      </c>
      <c r="G2851">
        <v>2004</v>
      </c>
      <c r="H2851">
        <v>42367</v>
      </c>
      <c r="I2851" t="s">
        <v>201</v>
      </c>
      <c r="J2851" t="str">
        <f>"2"</f>
        <v>2</v>
      </c>
      <c r="K2851">
        <v>60002</v>
      </c>
      <c r="L2851">
        <v>4613</v>
      </c>
      <c r="M2851">
        <v>11</v>
      </c>
      <c r="N2851">
        <v>3</v>
      </c>
      <c r="O2851">
        <v>1</v>
      </c>
      <c r="P2851" t="s">
        <v>18</v>
      </c>
      <c r="Q2851">
        <v>5</v>
      </c>
      <c r="R2851">
        <v>0</v>
      </c>
      <c r="S2851" t="s">
        <v>22</v>
      </c>
      <c r="T2851">
        <v>3</v>
      </c>
      <c r="U2851">
        <v>0</v>
      </c>
    </row>
    <row r="2852" spans="1:21" x14ac:dyDescent="0.25">
      <c r="A2852" t="str">
        <f>"10817712"</f>
        <v>10817712</v>
      </c>
      <c r="B2852" t="s">
        <v>15</v>
      </c>
      <c r="C2852" s="1">
        <v>44102</v>
      </c>
      <c r="D2852" s="2">
        <f>YEAR(C2852)</f>
        <v>2020</v>
      </c>
      <c r="E2852">
        <v>380000</v>
      </c>
      <c r="F2852" t="s">
        <v>85</v>
      </c>
      <c r="G2852">
        <v>2005</v>
      </c>
      <c r="H2852">
        <v>967</v>
      </c>
      <c r="I2852" t="s">
        <v>931</v>
      </c>
      <c r="J2852" t="str">
        <f>"2"</f>
        <v>2</v>
      </c>
      <c r="K2852">
        <v>60002</v>
      </c>
      <c r="L2852">
        <v>4628</v>
      </c>
      <c r="M2852">
        <v>12</v>
      </c>
      <c r="N2852">
        <v>3</v>
      </c>
      <c r="O2852">
        <v>1</v>
      </c>
      <c r="P2852" t="s">
        <v>18</v>
      </c>
      <c r="Q2852">
        <v>5</v>
      </c>
      <c r="R2852">
        <v>0</v>
      </c>
      <c r="S2852" t="s">
        <v>21</v>
      </c>
      <c r="T2852">
        <v>3</v>
      </c>
      <c r="U2852">
        <v>0</v>
      </c>
    </row>
    <row r="2853" spans="1:21" x14ac:dyDescent="0.25">
      <c r="A2853" t="str">
        <f>"10429194"</f>
        <v>10429194</v>
      </c>
      <c r="B2853" t="s">
        <v>15</v>
      </c>
      <c r="C2853" s="1">
        <v>43677</v>
      </c>
      <c r="D2853" s="2">
        <f>YEAR(C2853)</f>
        <v>2019</v>
      </c>
      <c r="E2853">
        <v>580000</v>
      </c>
      <c r="F2853" t="s">
        <v>85</v>
      </c>
      <c r="G2853">
        <v>1978</v>
      </c>
      <c r="H2853">
        <v>1234</v>
      </c>
      <c r="I2853" t="s">
        <v>861</v>
      </c>
      <c r="J2853" t="str">
        <f>"2"</f>
        <v>2</v>
      </c>
      <c r="K2853">
        <v>60002</v>
      </c>
      <c r="L2853">
        <v>4635</v>
      </c>
      <c r="M2853">
        <v>11</v>
      </c>
      <c r="N2853">
        <v>3</v>
      </c>
      <c r="O2853">
        <v>0</v>
      </c>
      <c r="P2853" t="s">
        <v>79</v>
      </c>
      <c r="Q2853">
        <v>3</v>
      </c>
      <c r="R2853">
        <v>0</v>
      </c>
      <c r="S2853" t="s">
        <v>21</v>
      </c>
      <c r="T2853">
        <v>2</v>
      </c>
      <c r="U2853">
        <v>0</v>
      </c>
    </row>
    <row r="2854" spans="1:21" x14ac:dyDescent="0.25">
      <c r="A2854" t="str">
        <f>"10830213"</f>
        <v>10830213</v>
      </c>
      <c r="B2854" t="s">
        <v>15</v>
      </c>
      <c r="C2854" s="1">
        <v>44113</v>
      </c>
      <c r="D2854" s="2">
        <f>YEAR(C2854)</f>
        <v>2020</v>
      </c>
      <c r="E2854">
        <v>407000</v>
      </c>
      <c r="F2854" t="s">
        <v>85</v>
      </c>
      <c r="G2854">
        <v>2009</v>
      </c>
      <c r="H2854">
        <v>1190</v>
      </c>
      <c r="I2854" t="s">
        <v>916</v>
      </c>
      <c r="J2854" t="str">
        <f>"2"</f>
        <v>2</v>
      </c>
      <c r="K2854">
        <v>60002</v>
      </c>
      <c r="L2854">
        <v>4639</v>
      </c>
      <c r="M2854">
        <v>16</v>
      </c>
      <c r="N2854">
        <v>3</v>
      </c>
      <c r="O2854">
        <v>1</v>
      </c>
      <c r="P2854" t="s">
        <v>79</v>
      </c>
      <c r="Q2854">
        <v>5</v>
      </c>
      <c r="R2854">
        <v>0</v>
      </c>
      <c r="S2854" t="s">
        <v>21</v>
      </c>
      <c r="T2854">
        <v>3</v>
      </c>
      <c r="U2854">
        <v>0</v>
      </c>
    </row>
    <row r="2855" spans="1:21" x14ac:dyDescent="0.25">
      <c r="A2855" t="str">
        <f>"10352168"</f>
        <v>10352168</v>
      </c>
      <c r="B2855" t="s">
        <v>15</v>
      </c>
      <c r="C2855" s="1">
        <v>43616</v>
      </c>
      <c r="D2855" s="2">
        <f>YEAR(C2855)</f>
        <v>2019</v>
      </c>
      <c r="E2855">
        <v>319000</v>
      </c>
      <c r="F2855" t="s">
        <v>85</v>
      </c>
      <c r="G2855">
        <v>2001</v>
      </c>
      <c r="H2855">
        <v>631</v>
      </c>
      <c r="I2855" t="s">
        <v>768</v>
      </c>
      <c r="J2855" t="str">
        <f>"2"</f>
        <v>2</v>
      </c>
      <c r="K2855">
        <v>60002</v>
      </c>
      <c r="L2855">
        <v>4735</v>
      </c>
      <c r="M2855">
        <v>11</v>
      </c>
      <c r="N2855">
        <v>3</v>
      </c>
      <c r="O2855">
        <v>1</v>
      </c>
      <c r="P2855" t="s">
        <v>79</v>
      </c>
      <c r="Q2855">
        <v>4</v>
      </c>
      <c r="R2855">
        <v>0</v>
      </c>
      <c r="S2855" t="s">
        <v>21</v>
      </c>
      <c r="T2855">
        <v>3</v>
      </c>
      <c r="U2855">
        <v>0</v>
      </c>
    </row>
    <row r="2856" spans="1:21" x14ac:dyDescent="0.25">
      <c r="A2856" t="str">
        <f>"10067783"</f>
        <v>10067783</v>
      </c>
      <c r="B2856" t="s">
        <v>15</v>
      </c>
      <c r="C2856" s="1">
        <v>43605</v>
      </c>
      <c r="D2856" s="2">
        <f>YEAR(C2856)</f>
        <v>2019</v>
      </c>
      <c r="E2856">
        <v>310000</v>
      </c>
      <c r="F2856" t="s">
        <v>85</v>
      </c>
      <c r="G2856">
        <v>2002</v>
      </c>
      <c r="H2856">
        <v>23777</v>
      </c>
      <c r="I2856" t="s">
        <v>586</v>
      </c>
      <c r="J2856" t="str">
        <f>"2"</f>
        <v>2</v>
      </c>
      <c r="K2856">
        <v>60002</v>
      </c>
      <c r="L2856">
        <v>4843</v>
      </c>
      <c r="M2856">
        <v>13</v>
      </c>
      <c r="N2856">
        <v>3</v>
      </c>
      <c r="O2856">
        <v>1</v>
      </c>
      <c r="P2856" t="s">
        <v>79</v>
      </c>
      <c r="Q2856">
        <v>4</v>
      </c>
      <c r="R2856">
        <v>1</v>
      </c>
      <c r="S2856" t="s">
        <v>21</v>
      </c>
      <c r="T2856">
        <v>3</v>
      </c>
      <c r="U2856">
        <v>0</v>
      </c>
    </row>
    <row r="2857" spans="1:21" x14ac:dyDescent="0.25">
      <c r="A2857" t="str">
        <f>"10659473"</f>
        <v>10659473</v>
      </c>
      <c r="B2857" t="s">
        <v>15</v>
      </c>
      <c r="C2857" s="1">
        <v>43979</v>
      </c>
      <c r="D2857" s="2">
        <f>YEAR(C2857)</f>
        <v>2020</v>
      </c>
      <c r="E2857">
        <v>345000</v>
      </c>
      <c r="F2857" t="s">
        <v>85</v>
      </c>
      <c r="G2857">
        <v>1968</v>
      </c>
      <c r="H2857">
        <v>22723</v>
      </c>
      <c r="I2857" t="s">
        <v>584</v>
      </c>
      <c r="J2857" t="str">
        <f>"2"</f>
        <v>2</v>
      </c>
      <c r="K2857">
        <v>60002</v>
      </c>
      <c r="L2857">
        <v>4950</v>
      </c>
      <c r="M2857">
        <v>11</v>
      </c>
      <c r="N2857">
        <v>3</v>
      </c>
      <c r="O2857">
        <v>0</v>
      </c>
      <c r="P2857" t="s">
        <v>79</v>
      </c>
      <c r="Q2857">
        <v>5</v>
      </c>
      <c r="R2857">
        <v>0</v>
      </c>
      <c r="S2857" t="s">
        <v>21</v>
      </c>
      <c r="T2857">
        <v>4.5</v>
      </c>
      <c r="U2857">
        <v>0</v>
      </c>
    </row>
    <row r="2858" spans="1:21" x14ac:dyDescent="0.25">
      <c r="A2858" t="str">
        <f>"10907442"</f>
        <v>10907442</v>
      </c>
      <c r="B2858" t="s">
        <v>15</v>
      </c>
      <c r="C2858" s="1">
        <v>44176</v>
      </c>
      <c r="D2858" s="2">
        <f>YEAR(C2858)</f>
        <v>2020</v>
      </c>
      <c r="E2858">
        <v>529000</v>
      </c>
      <c r="F2858" t="s">
        <v>85</v>
      </c>
      <c r="G2858">
        <v>2002</v>
      </c>
      <c r="H2858">
        <v>1365</v>
      </c>
      <c r="I2858" t="s">
        <v>917</v>
      </c>
      <c r="J2858" t="str">
        <f>"2"</f>
        <v>2</v>
      </c>
      <c r="K2858">
        <v>60002</v>
      </c>
      <c r="L2858">
        <v>4973</v>
      </c>
      <c r="M2858">
        <v>10</v>
      </c>
      <c r="N2858">
        <v>3</v>
      </c>
      <c r="O2858">
        <v>2</v>
      </c>
      <c r="P2858" t="s">
        <v>79</v>
      </c>
      <c r="Q2858">
        <v>3</v>
      </c>
      <c r="R2858">
        <v>0</v>
      </c>
      <c r="S2858" t="s">
        <v>21</v>
      </c>
      <c r="T2858">
        <v>3</v>
      </c>
      <c r="U2858">
        <v>0</v>
      </c>
    </row>
    <row r="2859" spans="1:21" x14ac:dyDescent="0.25">
      <c r="A2859" t="str">
        <f>"10853915"</f>
        <v>10853915</v>
      </c>
      <c r="B2859" t="s">
        <v>15</v>
      </c>
      <c r="C2859" s="1">
        <v>44119</v>
      </c>
      <c r="D2859" s="2">
        <f>YEAR(C2859)</f>
        <v>2020</v>
      </c>
      <c r="E2859">
        <v>680000</v>
      </c>
      <c r="F2859" t="s">
        <v>85</v>
      </c>
      <c r="G2859">
        <v>2005</v>
      </c>
      <c r="H2859">
        <v>26044</v>
      </c>
      <c r="I2859" t="s">
        <v>699</v>
      </c>
      <c r="J2859" t="str">
        <f>"2"</f>
        <v>2</v>
      </c>
      <c r="K2859">
        <v>60002</v>
      </c>
      <c r="L2859">
        <v>5000</v>
      </c>
      <c r="M2859">
        <v>10</v>
      </c>
      <c r="N2859">
        <v>3</v>
      </c>
      <c r="O2859">
        <v>1</v>
      </c>
      <c r="P2859" t="s">
        <v>18</v>
      </c>
      <c r="Q2859">
        <v>3</v>
      </c>
      <c r="R2859">
        <v>0</v>
      </c>
      <c r="S2859" t="s">
        <v>21</v>
      </c>
      <c r="T2859">
        <v>2</v>
      </c>
      <c r="U2859">
        <v>0</v>
      </c>
    </row>
    <row r="2860" spans="1:21" x14ac:dyDescent="0.25">
      <c r="A2860" t="str">
        <f>"10164493"</f>
        <v>10164493</v>
      </c>
      <c r="B2860" t="s">
        <v>15</v>
      </c>
      <c r="C2860" s="1">
        <v>43504</v>
      </c>
      <c r="D2860" s="2">
        <f>YEAR(C2860)</f>
        <v>2019</v>
      </c>
      <c r="E2860">
        <v>315000</v>
      </c>
      <c r="F2860" t="s">
        <v>85</v>
      </c>
      <c r="G2860">
        <v>1994</v>
      </c>
      <c r="H2860">
        <v>1165</v>
      </c>
      <c r="I2860" t="s">
        <v>932</v>
      </c>
      <c r="J2860" t="str">
        <f>"2"</f>
        <v>2</v>
      </c>
      <c r="K2860">
        <v>60002</v>
      </c>
      <c r="L2860">
        <v>5000</v>
      </c>
      <c r="M2860">
        <v>13</v>
      </c>
      <c r="N2860">
        <v>3</v>
      </c>
      <c r="O2860">
        <v>1</v>
      </c>
      <c r="P2860" t="s">
        <v>79</v>
      </c>
      <c r="Q2860">
        <v>4</v>
      </c>
      <c r="R2860">
        <v>0</v>
      </c>
      <c r="S2860" t="s">
        <v>21</v>
      </c>
      <c r="T2860">
        <v>2</v>
      </c>
      <c r="U2860">
        <v>0</v>
      </c>
    </row>
    <row r="2861" spans="1:21" x14ac:dyDescent="0.25">
      <c r="A2861" t="str">
        <f>"10612109"</f>
        <v>10612109</v>
      </c>
      <c r="B2861" t="s">
        <v>15</v>
      </c>
      <c r="C2861" s="1">
        <v>43987</v>
      </c>
      <c r="D2861" s="2">
        <f>YEAR(C2861)</f>
        <v>2020</v>
      </c>
      <c r="E2861">
        <v>375000</v>
      </c>
      <c r="F2861" t="s">
        <v>85</v>
      </c>
      <c r="G2861">
        <v>2003</v>
      </c>
      <c r="H2861">
        <v>1260</v>
      </c>
      <c r="I2861" t="s">
        <v>932</v>
      </c>
      <c r="J2861" t="str">
        <f>"2"</f>
        <v>2</v>
      </c>
      <c r="K2861">
        <v>60002</v>
      </c>
      <c r="L2861">
        <v>5026</v>
      </c>
      <c r="M2861">
        <v>14</v>
      </c>
      <c r="N2861">
        <v>3</v>
      </c>
      <c r="O2861">
        <v>1</v>
      </c>
      <c r="P2861" t="s">
        <v>79</v>
      </c>
      <c r="Q2861">
        <v>4</v>
      </c>
      <c r="R2861">
        <v>0</v>
      </c>
      <c r="S2861" t="s">
        <v>21</v>
      </c>
      <c r="T2861">
        <v>3</v>
      </c>
      <c r="U2861">
        <v>0</v>
      </c>
    </row>
    <row r="2862" spans="1:21" x14ac:dyDescent="0.25">
      <c r="A2862" t="str">
        <f>"10650752"</f>
        <v>10650752</v>
      </c>
      <c r="B2862" t="s">
        <v>15</v>
      </c>
      <c r="C2862" s="1">
        <v>43956</v>
      </c>
      <c r="D2862" s="2">
        <f>YEAR(C2862)</f>
        <v>2020</v>
      </c>
      <c r="E2862">
        <v>612850</v>
      </c>
      <c r="F2862" t="s">
        <v>85</v>
      </c>
      <c r="G2862">
        <v>2009</v>
      </c>
      <c r="H2862">
        <v>26051</v>
      </c>
      <c r="I2862" t="s">
        <v>699</v>
      </c>
      <c r="J2862" t="str">
        <f>"2"</f>
        <v>2</v>
      </c>
      <c r="K2862">
        <v>60002</v>
      </c>
      <c r="L2862">
        <v>5546</v>
      </c>
      <c r="M2862">
        <v>12</v>
      </c>
      <c r="N2862">
        <v>4</v>
      </c>
      <c r="O2862">
        <v>0</v>
      </c>
      <c r="P2862" t="s">
        <v>79</v>
      </c>
      <c r="Q2862">
        <v>5</v>
      </c>
      <c r="R2862">
        <v>0</v>
      </c>
      <c r="S2862" t="s">
        <v>21</v>
      </c>
      <c r="T2862">
        <v>11</v>
      </c>
      <c r="U2862">
        <v>0</v>
      </c>
    </row>
  </sheetData>
  <sortState xmlns:xlrd2="http://schemas.microsoft.com/office/spreadsheetml/2017/richdata2" ref="A2:U2862">
    <sortCondition ref="U2:U286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HouseData2-1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Unwin</cp:lastModifiedBy>
  <dcterms:created xsi:type="dcterms:W3CDTF">2020-12-31T21:32:29Z</dcterms:created>
  <dcterms:modified xsi:type="dcterms:W3CDTF">2021-01-04T19:44:05Z</dcterms:modified>
</cp:coreProperties>
</file>