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iew Koon\Documents\DSS5105\"/>
    </mc:Choice>
  </mc:AlternateContent>
  <xr:revisionPtr revIDLastSave="0" documentId="13_ncr:1_{933444FB-D8E2-4BCC-9A2E-25F697A207F6}" xr6:coauthVersionLast="47" xr6:coauthVersionMax="47" xr10:uidLastSave="{00000000-0000-0000-0000-000000000000}"/>
  <bookViews>
    <workbookView xWindow="-108" yWindow="-108" windowWidth="23256" windowHeight="12456" xr2:uid="{82363D69-29EC-964C-8E86-0F01BA73409B}"/>
  </bookViews>
  <sheets>
    <sheet name="Sheet1" sheetId="1" r:id="rId1"/>
  </sheets>
  <definedNames>
    <definedName name="_xlnm._FilterDatabase" localSheetId="0" hidden="1">Sheet1!$A$1:$X$29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1" l="1"/>
  <c r="H2" i="1" l="1"/>
  <c r="I2" i="1"/>
  <c r="H3" i="1"/>
  <c r="I3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3" i="1"/>
  <c r="H14" i="1"/>
  <c r="H15" i="1"/>
  <c r="X9" i="1"/>
  <c r="I24" i="1"/>
  <c r="X29" i="1"/>
  <c r="Q29" i="1"/>
  <c r="P29" i="1"/>
  <c r="G29" i="1"/>
  <c r="F29" i="1"/>
  <c r="R26" i="1"/>
  <c r="I26" i="1"/>
  <c r="H26" i="1"/>
  <c r="X25" i="1"/>
  <c r="R25" i="1"/>
  <c r="I25" i="1"/>
  <c r="H25" i="1"/>
  <c r="X24" i="1"/>
  <c r="R24" i="1"/>
  <c r="H24" i="1"/>
  <c r="X23" i="1"/>
  <c r="R23" i="1"/>
  <c r="I23" i="1"/>
  <c r="H23" i="1"/>
  <c r="X22" i="1"/>
  <c r="R22" i="1"/>
  <c r="I22" i="1"/>
  <c r="H22" i="1"/>
  <c r="M11" i="1"/>
  <c r="M8" i="1"/>
  <c r="M5" i="1"/>
  <c r="M3" i="1"/>
  <c r="M2" i="1"/>
  <c r="M7" i="1"/>
  <c r="M10" i="1"/>
  <c r="M9" i="1"/>
  <c r="M6" i="1"/>
  <c r="X11" i="1"/>
  <c r="S11" i="1"/>
  <c r="X10" i="1"/>
  <c r="S10" i="1"/>
  <c r="S9" i="1"/>
  <c r="X8" i="1"/>
  <c r="X5" i="1"/>
  <c r="X3" i="1"/>
  <c r="X2" i="1"/>
  <c r="S8" i="1"/>
  <c r="X7" i="1"/>
  <c r="S7" i="1"/>
  <c r="X6" i="1"/>
  <c r="S6" i="1"/>
  <c r="R11" i="1"/>
  <c r="R10" i="1"/>
  <c r="R9" i="1"/>
  <c r="R8" i="1"/>
  <c r="R7" i="1"/>
  <c r="R6" i="1"/>
  <c r="S5" i="1"/>
  <c r="R5" i="1"/>
  <c r="R3" i="1"/>
  <c r="R2" i="1"/>
  <c r="S3" i="1"/>
  <c r="S2" i="1"/>
  <c r="R29" i="1" l="1"/>
  <c r="I29" i="1"/>
  <c r="H29" i="1"/>
</calcChain>
</file>

<file path=xl/sharedStrings.xml><?xml version="1.0" encoding="utf-8"?>
<sst xmlns="http://schemas.openxmlformats.org/spreadsheetml/2006/main" count="287" uniqueCount="101">
  <si>
    <t xml:space="preserve">Market Capitalization </t>
    <phoneticPr fontId="1" type="noConversion"/>
  </si>
  <si>
    <t>Sharpe Ratio</t>
    <phoneticPr fontId="1" type="noConversion"/>
  </si>
  <si>
    <t>Maximum Drawdown</t>
  </si>
  <si>
    <t>Interest Coverage Ratio</t>
    <phoneticPr fontId="1" type="noConversion"/>
  </si>
  <si>
    <t>Altman Z-Score</t>
    <phoneticPr fontId="1" type="noConversion"/>
  </si>
  <si>
    <t>Earnings Volatility</t>
    <phoneticPr fontId="1" type="noConversion"/>
  </si>
  <si>
    <t>Cost of Capital</t>
    <phoneticPr fontId="1" type="noConversion"/>
  </si>
  <si>
    <t>Trough Value</t>
  </si>
  <si>
    <t>Peak Value</t>
  </si>
  <si>
    <t>Company Name</t>
    <phoneticPr fontId="1" type="noConversion"/>
  </si>
  <si>
    <t>Ørsted A/S</t>
  </si>
  <si>
    <t>N/A. No dividend paid</t>
  </si>
  <si>
    <t>N/A. Negative earnings</t>
  </si>
  <si>
    <t>-</t>
  </si>
  <si>
    <t>LG Energy Solution Ltd.</t>
  </si>
  <si>
    <t>Vitol Group</t>
  </si>
  <si>
    <t>N/A, not listed. Private Company</t>
  </si>
  <si>
    <t>ENN Energy Holdings Limited</t>
  </si>
  <si>
    <t>NRG Energy, Inc.</t>
  </si>
  <si>
    <t>Energy Recovery, Inc.</t>
  </si>
  <si>
    <t>Nofar Energy Ltd.</t>
  </si>
  <si>
    <t>New Fortress Energy Inc. (NFE)</t>
  </si>
  <si>
    <t>Madison Gas and Electric (MGE)</t>
  </si>
  <si>
    <t>Serica Energy plc</t>
  </si>
  <si>
    <t>Gren Group</t>
  </si>
  <si>
    <t>Canacol Energy Ltd.</t>
  </si>
  <si>
    <t>GS Energy Corporation</t>
  </si>
  <si>
    <t>Chord Energy Corporation</t>
  </si>
  <si>
    <t>TotalEnergies SE</t>
  </si>
  <si>
    <t>Gibson Energy Inc.</t>
  </si>
  <si>
    <t>Cordia Energy</t>
  </si>
  <si>
    <t>Constellation Energy Corporation</t>
  </si>
  <si>
    <t>Hitachi Energy Ltd</t>
  </si>
  <si>
    <t>Better Energy A/S</t>
  </si>
  <si>
    <t>Cenovus Energy Inc.</t>
  </si>
  <si>
    <t>Peabody Energy Corporation</t>
  </si>
  <si>
    <t>Siemens Energy AG</t>
  </si>
  <si>
    <t>NA</t>
  </si>
  <si>
    <t>Cheniere Energy, Inc.</t>
  </si>
  <si>
    <t>Adani</t>
    <phoneticPr fontId="1" type="noConversion"/>
  </si>
  <si>
    <t>Varo Energy Group</t>
  </si>
  <si>
    <t>Capital Energy</t>
  </si>
  <si>
    <t>Harbour Energy plc (HBR)</t>
  </si>
  <si>
    <t>Nofar</t>
  </si>
  <si>
    <t>61.01754385964912</t>
  </si>
  <si>
    <t>B-</t>
  </si>
  <si>
    <t>Gibson-2022</t>
  </si>
  <si>
    <t>60.68609022556391</t>
  </si>
  <si>
    <t>Hitachi</t>
  </si>
  <si>
    <t>59.14160401002506</t>
  </si>
  <si>
    <t>C+</t>
  </si>
  <si>
    <t>Gren</t>
  </si>
  <si>
    <t>53.78947368421052</t>
  </si>
  <si>
    <t>hbr</t>
  </si>
  <si>
    <t>53.020050125313276</t>
  </si>
  <si>
    <t>Chord</t>
  </si>
  <si>
    <t>53.01065162907268</t>
  </si>
  <si>
    <t>NRG</t>
  </si>
  <si>
    <t>52.87907268170426</t>
  </si>
  <si>
    <t>Capitalenergy</t>
  </si>
  <si>
    <t>51.475563909774436</t>
  </si>
  <si>
    <t>ENN</t>
  </si>
  <si>
    <t>51.203007518796994</t>
  </si>
  <si>
    <t>Constellation</t>
  </si>
  <si>
    <t>49.631578947368425</t>
  </si>
  <si>
    <t>C</t>
  </si>
  <si>
    <t>LGES</t>
  </si>
  <si>
    <t>48.52756892230576</t>
  </si>
  <si>
    <t>Cenovus</t>
  </si>
  <si>
    <t>48.264411027568926</t>
  </si>
  <si>
    <t>VITOL</t>
  </si>
  <si>
    <t>47.368421052631575</t>
  </si>
  <si>
    <t>NFE</t>
  </si>
  <si>
    <t>47.350877192982466</t>
  </si>
  <si>
    <t>Peabody</t>
  </si>
  <si>
    <t>47.02380952380952</t>
  </si>
  <si>
    <t>Cheniere</t>
  </si>
  <si>
    <t>42.83521303258145</t>
  </si>
  <si>
    <t>adani</t>
  </si>
  <si>
    <t>42.192982456140356</t>
  </si>
  <si>
    <t>Totalenergies</t>
  </si>
  <si>
    <t>40.99310776942356</t>
  </si>
  <si>
    <t>Varo</t>
  </si>
  <si>
    <t>39.93107769423558</t>
  </si>
  <si>
    <t>C-</t>
  </si>
  <si>
    <t>Company in extracted data</t>
  </si>
  <si>
    <t>ESG_score</t>
  </si>
  <si>
    <t>Grade</t>
  </si>
  <si>
    <t>Private</t>
  </si>
  <si>
    <t>Public</t>
  </si>
  <si>
    <t>Company Type</t>
  </si>
  <si>
    <t>Final Price (31/12/24)</t>
  </si>
  <si>
    <t>Initial Price (1/1/24)</t>
  </si>
  <si>
    <t>Stock Returns (1 Yr)</t>
  </si>
  <si>
    <t>Dividend Yield</t>
  </si>
  <si>
    <t>1 Yr Total Returns (%)</t>
  </si>
  <si>
    <t>P/E Ratio</t>
  </si>
  <si>
    <t>P/B Ratio</t>
  </si>
  <si>
    <t>D/E Ratio</t>
  </si>
  <si>
    <t>Asset Liability Ratio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</si>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</sst>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4">
    <font>
      <sz val="12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Aptos Narrow"/>
      <family val="2"/>
      <charset val="134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404040"/>
      <name val="Times New Roman"/>
      <family val="1"/>
    </font>
    <font>
      <sz val="9"/>
      <color rgb="FF232A31"/>
      <name val="GT America"/>
      <charset val="1"/>
    </font>
    <font>
      <sz val="13.5"/>
      <color rgb="FF000000"/>
      <name val="-Webkit-Standard"/>
      <charset val="1"/>
    </font>
    <font>
      <b/>
      <sz val="14"/>
      <color rgb="FF000000"/>
      <name val="Times New Roman"/>
      <family val="1"/>
    </font>
    <font>
      <b/>
      <sz val="14"/>
      <color rgb="FF242424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0" fontId="2" fillId="0" borderId="0" xfId="0" applyNumberFormat="1" applyFont="1">
      <alignment vertical="center"/>
    </xf>
    <xf numFmtId="9" fontId="2" fillId="0" borderId="0" xfId="2" applyFont="1" applyAlignment="1">
      <alignment vertical="center"/>
    </xf>
    <xf numFmtId="164" fontId="2" fillId="0" borderId="0" xfId="2" applyNumberFormat="1" applyFont="1" applyAlignment="1">
      <alignment vertical="center"/>
    </xf>
    <xf numFmtId="10" fontId="2" fillId="0" borderId="0" xfId="2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0" fontId="7" fillId="0" borderId="0" xfId="2" applyNumberFormat="1" applyFont="1" applyAlignment="1">
      <alignment vertical="center"/>
    </xf>
    <xf numFmtId="4" fontId="8" fillId="0" borderId="0" xfId="0" applyNumberFormat="1" applyFont="1">
      <alignment vertical="center"/>
    </xf>
    <xf numFmtId="4" fontId="2" fillId="0" borderId="0" xfId="0" applyNumberFormat="1" applyFont="1">
      <alignment vertical="center"/>
    </xf>
    <xf numFmtId="9" fontId="7" fillId="0" borderId="0" xfId="2" applyFont="1" applyAlignment="1">
      <alignment vertical="center"/>
    </xf>
    <xf numFmtId="3" fontId="2" fillId="0" borderId="0" xfId="0" applyNumberFormat="1" applyFont="1">
      <alignment vertical="center"/>
    </xf>
    <xf numFmtId="0" fontId="9" fillId="0" borderId="0" xfId="0" applyFont="1">
      <alignment vertical="center"/>
    </xf>
    <xf numFmtId="164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0" fontId="0" fillId="0" borderId="0" xfId="0" applyAlignment="1"/>
    <xf numFmtId="0" fontId="0" fillId="0" borderId="0" xfId="0" quotePrefix="1" applyAlignment="1"/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5EBD-A5D4-D942-9EB8-69F47B8EEDB4}">
  <sheetPr filterMode="1"/>
  <dimension ref="A1:X29"/>
  <sheetViews>
    <sheetView tabSelected="1" zoomScale="85" zoomScaleNormal="85" workbookViewId="0">
      <selection activeCell="F19" sqref="F19"/>
    </sheetView>
  </sheetViews>
  <sheetFormatPr defaultColWidth="11" defaultRowHeight="14.25" customHeight="1"/>
  <cols>
    <col min="1" max="1" width="33.09765625" bestFit="1" customWidth="1"/>
    <col min="2" max="4" width="33.09765625" customWidth="1"/>
    <col min="5" max="5" width="6.59765625" bestFit="1" customWidth="1"/>
    <col min="6" max="7" width="33.09765625" customWidth="1"/>
    <col min="8" max="17" width="23.09765625" customWidth="1"/>
    <col min="18" max="18" width="28.09765625" customWidth="1"/>
    <col min="19" max="24" width="23.09765625" customWidth="1"/>
  </cols>
  <sheetData>
    <row r="1" spans="1:24" s="23" customFormat="1" ht="34.799999999999997">
      <c r="A1" s="20" t="s">
        <v>9</v>
      </c>
      <c r="B1" s="20" t="s">
        <v>90</v>
      </c>
      <c r="C1" s="20" t="s">
        <v>85</v>
      </c>
      <c r="D1" s="21" t="s">
        <v>86</v>
      </c>
      <c r="E1" s="21" t="s">
        <v>87</v>
      </c>
      <c r="F1" s="22" t="s">
        <v>91</v>
      </c>
      <c r="G1" s="22" t="s">
        <v>92</v>
      </c>
      <c r="H1" s="23" t="s">
        <v>93</v>
      </c>
      <c r="I1" s="23" t="s">
        <v>95</v>
      </c>
      <c r="J1" s="22" t="s">
        <v>94</v>
      </c>
      <c r="K1" s="22" t="s">
        <v>96</v>
      </c>
      <c r="L1" s="22" t="s">
        <v>97</v>
      </c>
      <c r="M1" s="22" t="s">
        <v>0</v>
      </c>
      <c r="N1" s="22" t="s">
        <v>1</v>
      </c>
      <c r="O1" s="22" t="s">
        <v>100</v>
      </c>
      <c r="P1" s="24" t="s">
        <v>7</v>
      </c>
      <c r="Q1" s="24" t="s">
        <v>8</v>
      </c>
      <c r="R1" s="22" t="s">
        <v>2</v>
      </c>
      <c r="S1" s="22" t="s">
        <v>98</v>
      </c>
      <c r="T1" s="22" t="s">
        <v>3</v>
      </c>
      <c r="U1" s="22" t="s">
        <v>4</v>
      </c>
      <c r="V1" s="22" t="s">
        <v>5</v>
      </c>
      <c r="W1" s="22" t="s">
        <v>6</v>
      </c>
      <c r="X1" s="22" t="s">
        <v>99</v>
      </c>
    </row>
    <row r="2" spans="1:24" ht="15.6">
      <c r="A2" s="2" t="s">
        <v>10</v>
      </c>
      <c r="B2" s="2" t="s">
        <v>89</v>
      </c>
      <c r="F2" s="3">
        <v>330.3</v>
      </c>
      <c r="G2" s="3">
        <v>375</v>
      </c>
      <c r="H2" s="6">
        <f>(F2-G2)/G2</f>
        <v>-0.11919999999999997</v>
      </c>
      <c r="I2" s="6">
        <f>(F2-G2+0)/G2</f>
        <v>-0.11919999999999997</v>
      </c>
      <c r="J2" s="1" t="s">
        <v>11</v>
      </c>
      <c r="K2" s="1" t="s">
        <v>12</v>
      </c>
      <c r="L2" s="1">
        <v>2.15</v>
      </c>
      <c r="M2" s="8">
        <f>(116.61*1000000000*0.15)</f>
        <v>17491500000</v>
      </c>
      <c r="N2" s="1" t="s">
        <v>13</v>
      </c>
      <c r="O2" s="1">
        <v>0.77</v>
      </c>
      <c r="P2" s="1">
        <v>252</v>
      </c>
      <c r="Q2" s="1">
        <v>1351.5</v>
      </c>
      <c r="R2" s="5">
        <f>(P2-Q2)/Q2</f>
        <v>-0.81354051054384013</v>
      </c>
      <c r="S2" s="1">
        <f>205.3/93.48</f>
        <v>2.196191698759093</v>
      </c>
      <c r="T2" s="3">
        <v>5.31</v>
      </c>
      <c r="U2" s="3">
        <v>1.07</v>
      </c>
      <c r="V2" s="1" t="s">
        <v>13</v>
      </c>
      <c r="W2" s="1" t="s">
        <v>13</v>
      </c>
      <c r="X2" s="1">
        <f>205.3/298.79</f>
        <v>0.68710465544362265</v>
      </c>
    </row>
    <row r="3" spans="1:24" ht="15.6">
      <c r="A3" s="2" t="s">
        <v>14</v>
      </c>
      <c r="B3" s="2" t="s">
        <v>89</v>
      </c>
      <c r="C3" s="18" t="s">
        <v>66</v>
      </c>
      <c r="D3" s="19" t="s">
        <v>67</v>
      </c>
      <c r="E3" s="18" t="s">
        <v>65</v>
      </c>
      <c r="F3" s="3">
        <v>416000</v>
      </c>
      <c r="G3" s="3">
        <v>348000</v>
      </c>
      <c r="H3" s="6">
        <f>(F3-G3)/G3</f>
        <v>0.19540229885057472</v>
      </c>
      <c r="I3" s="6">
        <f>(F3-G3+0)/G3</f>
        <v>0.19540229885057472</v>
      </c>
      <c r="J3" s="1" t="s">
        <v>11</v>
      </c>
      <c r="K3" s="1" t="s">
        <v>12</v>
      </c>
      <c r="L3" s="1">
        <v>3.86</v>
      </c>
      <c r="M3" s="8">
        <f>(79.68*1000000000000*0.00069)</f>
        <v>54979200000</v>
      </c>
      <c r="N3" s="1" t="s">
        <v>13</v>
      </c>
      <c r="O3" s="1">
        <v>1.04</v>
      </c>
      <c r="P3">
        <v>322000</v>
      </c>
      <c r="Q3">
        <v>624000</v>
      </c>
      <c r="R3" s="5">
        <f>(P3-Q3)/Q3</f>
        <v>-0.48397435897435898</v>
      </c>
      <c r="S3" s="1">
        <f>29.34/30.97</f>
        <v>0.94736842105263164</v>
      </c>
      <c r="T3" s="3">
        <v>1.02</v>
      </c>
      <c r="U3" s="3">
        <v>2.2400000000000002</v>
      </c>
      <c r="V3" s="1" t="s">
        <v>13</v>
      </c>
      <c r="W3" s="1" t="s">
        <v>13</v>
      </c>
      <c r="X3" s="1">
        <f>29.34/60.31</f>
        <v>0.48648648648648646</v>
      </c>
    </row>
    <row r="4" spans="1:24" ht="15.6" hidden="1">
      <c r="A4" s="2" t="s">
        <v>15</v>
      </c>
      <c r="B4" s="2" t="s">
        <v>88</v>
      </c>
      <c r="C4" s="18" t="s">
        <v>70</v>
      </c>
      <c r="D4" s="19" t="s">
        <v>71</v>
      </c>
      <c r="E4" s="18" t="s">
        <v>65</v>
      </c>
      <c r="F4" s="3" t="s">
        <v>16</v>
      </c>
      <c r="G4" s="3" t="s">
        <v>16</v>
      </c>
      <c r="H4" s="3" t="s">
        <v>16</v>
      </c>
      <c r="I4" s="3" t="s">
        <v>16</v>
      </c>
      <c r="J4" s="3" t="s">
        <v>16</v>
      </c>
      <c r="K4" s="3" t="s">
        <v>16</v>
      </c>
      <c r="L4" s="3" t="s">
        <v>16</v>
      </c>
      <c r="M4" s="8"/>
      <c r="N4" s="3" t="s">
        <v>16</v>
      </c>
      <c r="O4" s="3" t="s">
        <v>16</v>
      </c>
      <c r="P4" s="3" t="s">
        <v>16</v>
      </c>
      <c r="Q4" s="3" t="s">
        <v>16</v>
      </c>
      <c r="R4" s="3" t="s">
        <v>16</v>
      </c>
      <c r="S4" s="3" t="s">
        <v>16</v>
      </c>
      <c r="T4" s="3" t="s">
        <v>16</v>
      </c>
      <c r="U4" s="3" t="s">
        <v>16</v>
      </c>
      <c r="V4" s="3" t="s">
        <v>16</v>
      </c>
      <c r="W4" s="3" t="s">
        <v>16</v>
      </c>
      <c r="X4" s="3" t="s">
        <v>16</v>
      </c>
    </row>
    <row r="5" spans="1:24" ht="15.6">
      <c r="A5" s="2" t="s">
        <v>17</v>
      </c>
      <c r="B5" s="2" t="s">
        <v>89</v>
      </c>
      <c r="C5" s="18" t="s">
        <v>61</v>
      </c>
      <c r="D5" s="19" t="s">
        <v>62</v>
      </c>
      <c r="E5" s="18" t="s">
        <v>50</v>
      </c>
      <c r="F5" s="3">
        <v>58.95</v>
      </c>
      <c r="G5" s="3">
        <v>55.55</v>
      </c>
      <c r="H5" s="6">
        <f t="shared" ref="H5:H9" si="0">(F5-G5)/G5</f>
        <v>6.1206120612061314E-2</v>
      </c>
      <c r="I5" s="6">
        <f>(F5-G5+(54.45*0.0546))/G5</f>
        <v>0.11472493249324943</v>
      </c>
      <c r="J5" s="7">
        <v>5.4600000000000003E-2</v>
      </c>
      <c r="K5" s="1">
        <v>9.43</v>
      </c>
      <c r="L5" s="1">
        <v>1.43</v>
      </c>
      <c r="M5" s="8">
        <f>(61.38*1000000000*0.13)</f>
        <v>7979400000</v>
      </c>
      <c r="N5" s="1" t="s">
        <v>13</v>
      </c>
      <c r="O5" s="1">
        <v>0.76</v>
      </c>
      <c r="P5" s="1">
        <v>45.25</v>
      </c>
      <c r="Q5" s="1">
        <v>164.8</v>
      </c>
      <c r="R5" s="5">
        <f>(P5-Q5)/Q5</f>
        <v>-0.72542475728155342</v>
      </c>
      <c r="S5" s="1">
        <f>54.87/48.26</f>
        <v>1.1369664318276005</v>
      </c>
      <c r="T5" s="3">
        <v>10.220000000000001</v>
      </c>
      <c r="U5" s="3">
        <v>2.4700000000000002</v>
      </c>
      <c r="V5" s="1" t="s">
        <v>13</v>
      </c>
      <c r="W5" s="1" t="s">
        <v>13</v>
      </c>
      <c r="X5" s="1">
        <f>54.87/103.13</f>
        <v>0.53204693105788814</v>
      </c>
    </row>
    <row r="6" spans="1:24" ht="15.6">
      <c r="A6" s="2" t="s">
        <v>18</v>
      </c>
      <c r="B6" s="2" t="s">
        <v>89</v>
      </c>
      <c r="C6" s="18" t="s">
        <v>57</v>
      </c>
      <c r="D6" s="19" t="s">
        <v>58</v>
      </c>
      <c r="E6" s="18" t="s">
        <v>50</v>
      </c>
      <c r="F6" s="3">
        <v>91.95</v>
      </c>
      <c r="G6" s="3">
        <v>51.73</v>
      </c>
      <c r="H6" s="6">
        <f t="shared" si="0"/>
        <v>0.77749855016431491</v>
      </c>
      <c r="I6" s="6">
        <f>(F6-G6+(90.22*0.0195))/G6</f>
        <v>0.81150763580127605</v>
      </c>
      <c r="J6" s="7">
        <v>1.95E-2</v>
      </c>
      <c r="K6" s="1">
        <v>18.079999999999998</v>
      </c>
      <c r="L6" s="1">
        <v>10.050000000000001</v>
      </c>
      <c r="M6" s="8">
        <f>(18.39*1000000000)</f>
        <v>18390000000</v>
      </c>
      <c r="N6" s="1" t="s">
        <v>13</v>
      </c>
      <c r="O6" s="1">
        <v>1.1200000000000001</v>
      </c>
      <c r="P6" s="1">
        <v>10.37</v>
      </c>
      <c r="Q6" s="1">
        <v>113.33</v>
      </c>
      <c r="R6" s="5">
        <f t="shared" ref="R6:R11" si="1">(P6-Q6)/Q6</f>
        <v>-0.90849730874437484</v>
      </c>
      <c r="S6" s="1">
        <f>21.54/2.48</f>
        <v>8.685483870967742</v>
      </c>
      <c r="T6" s="3">
        <v>3.51</v>
      </c>
      <c r="U6" s="3">
        <v>2.06</v>
      </c>
      <c r="V6" s="1" t="s">
        <v>13</v>
      </c>
      <c r="W6" s="1" t="s">
        <v>13</v>
      </c>
      <c r="X6" s="1">
        <f>21.54/24.02</f>
        <v>0.89675270607826807</v>
      </c>
    </row>
    <row r="7" spans="1:24" ht="15.6">
      <c r="A7" s="2" t="s">
        <v>19</v>
      </c>
      <c r="B7" s="2" t="s">
        <v>89</v>
      </c>
      <c r="F7" s="3">
        <v>14.86</v>
      </c>
      <c r="G7" s="3">
        <v>17.850000000000001</v>
      </c>
      <c r="H7" s="6">
        <f t="shared" si="0"/>
        <v>-0.16750700280112055</v>
      </c>
      <c r="I7" s="6">
        <f>(F7-G7+0)/G7</f>
        <v>-0.16750700280112055</v>
      </c>
      <c r="J7" s="1" t="s">
        <v>11</v>
      </c>
      <c r="K7" s="1">
        <v>40.409999999999997</v>
      </c>
      <c r="L7" s="1">
        <v>4.24</v>
      </c>
      <c r="M7" s="8">
        <f>(935.57*1000000)</f>
        <v>935570000</v>
      </c>
      <c r="N7" s="1" t="s">
        <v>13</v>
      </c>
      <c r="O7" s="1">
        <v>1.21</v>
      </c>
      <c r="P7" s="1">
        <v>2.2599999999999998</v>
      </c>
      <c r="Q7" s="1">
        <v>29.92</v>
      </c>
      <c r="R7" s="5">
        <f t="shared" si="1"/>
        <v>-0.92446524064171132</v>
      </c>
      <c r="S7" s="1">
        <f>32.78/210.01</f>
        <v>0.15608780534260275</v>
      </c>
      <c r="T7" s="3">
        <v>0</v>
      </c>
      <c r="U7" s="3">
        <v>18.5</v>
      </c>
      <c r="V7" s="1" t="s">
        <v>13</v>
      </c>
      <c r="W7" s="1" t="s">
        <v>13</v>
      </c>
      <c r="X7" s="1">
        <f>32.78/242.79</f>
        <v>0.13501379793236953</v>
      </c>
    </row>
    <row r="8" spans="1:24" ht="15.6">
      <c r="A8" s="2" t="s">
        <v>20</v>
      </c>
      <c r="B8" s="2" t="s">
        <v>89</v>
      </c>
      <c r="C8" s="18" t="s">
        <v>43</v>
      </c>
      <c r="D8" s="19" t="s">
        <v>44</v>
      </c>
      <c r="E8" s="18" t="s">
        <v>45</v>
      </c>
      <c r="F8" s="3">
        <v>8682</v>
      </c>
      <c r="G8" s="3">
        <v>9510</v>
      </c>
      <c r="H8" s="6">
        <f t="shared" si="0"/>
        <v>-8.7066246056782329E-2</v>
      </c>
      <c r="I8" s="6">
        <f>(F8-G8+0)/G8</f>
        <v>-8.7066246056782329E-2</v>
      </c>
      <c r="J8" s="1" t="s">
        <v>11</v>
      </c>
      <c r="K8" s="1" t="s">
        <v>12</v>
      </c>
      <c r="L8" s="1">
        <v>1.66</v>
      </c>
      <c r="M8" s="8">
        <f>(3*1000000000*0.27)</f>
        <v>810000000</v>
      </c>
      <c r="N8" s="1" t="s">
        <v>13</v>
      </c>
      <c r="O8" s="1">
        <v>0.49</v>
      </c>
      <c r="P8" s="1">
        <v>7160</v>
      </c>
      <c r="Q8" s="1">
        <v>10930</v>
      </c>
      <c r="R8" s="5">
        <f t="shared" si="1"/>
        <v>-0.34492223238792313</v>
      </c>
      <c r="S8" s="1">
        <f>4/2.76</f>
        <v>1.4492753623188408</v>
      </c>
      <c r="T8" s="3">
        <v>-0.23</v>
      </c>
      <c r="U8" s="3">
        <v>0.56000000000000005</v>
      </c>
      <c r="V8" s="1" t="s">
        <v>13</v>
      </c>
      <c r="W8" s="1" t="s">
        <v>13</v>
      </c>
      <c r="X8" s="1">
        <f>4/6.76</f>
        <v>0.59171597633136097</v>
      </c>
    </row>
    <row r="9" spans="1:24" ht="15.6">
      <c r="A9" s="2" t="s">
        <v>21</v>
      </c>
      <c r="B9" s="2" t="s">
        <v>89</v>
      </c>
      <c r="C9" s="18" t="s">
        <v>72</v>
      </c>
      <c r="D9" s="19" t="s">
        <v>73</v>
      </c>
      <c r="E9" s="18" t="s">
        <v>65</v>
      </c>
      <c r="F9" s="3">
        <v>14.45</v>
      </c>
      <c r="G9" s="3">
        <v>36.39</v>
      </c>
      <c r="H9" s="6">
        <f t="shared" si="0"/>
        <v>-0.6029128881560869</v>
      </c>
      <c r="I9" s="6">
        <f>(F9-G9+(8.12*0.0488))/G9</f>
        <v>-0.59202374278647985</v>
      </c>
      <c r="J9" s="7">
        <v>4.8800000000000003E-2</v>
      </c>
      <c r="K9" s="1" t="s">
        <v>12</v>
      </c>
      <c r="L9" s="1">
        <v>1.25</v>
      </c>
      <c r="M9" s="8">
        <f>(2.17*1000000000)</f>
        <v>2170000000</v>
      </c>
      <c r="N9" s="1" t="s">
        <v>13</v>
      </c>
      <c r="O9" s="1">
        <v>1.56</v>
      </c>
      <c r="P9" s="1">
        <v>8</v>
      </c>
      <c r="Q9" s="1">
        <v>60.04</v>
      </c>
      <c r="R9" s="5">
        <f t="shared" si="1"/>
        <v>-0.8667554963357762</v>
      </c>
      <c r="S9" s="1">
        <f>10.78/2.09</f>
        <v>5.1578947368421053</v>
      </c>
      <c r="T9" s="3">
        <v>2.41</v>
      </c>
      <c r="U9" s="3">
        <v>0.35</v>
      </c>
      <c r="V9" s="1" t="s">
        <v>13</v>
      </c>
      <c r="W9" s="1" t="s">
        <v>13</v>
      </c>
      <c r="X9" s="1">
        <f>10.78/12.87</f>
        <v>0.83760683760683763</v>
      </c>
    </row>
    <row r="10" spans="1:24" ht="15.6">
      <c r="A10" s="2" t="s">
        <v>22</v>
      </c>
      <c r="B10" s="2" t="s">
        <v>89</v>
      </c>
      <c r="F10" s="3">
        <v>95.09</v>
      </c>
      <c r="G10" s="3">
        <v>71.599999999999994</v>
      </c>
      <c r="H10" s="6">
        <f t="shared" ref="H10:H15" si="2">(F10-G10)/F10</f>
        <v>0.24702913029761286</v>
      </c>
      <c r="I10" s="6">
        <f>(F10-G10+(90.04*0.0197))/F10</f>
        <v>0.26568291092649077</v>
      </c>
      <c r="J10" s="4">
        <v>1.9699999999999999E-2</v>
      </c>
      <c r="K10" s="1">
        <v>27.47</v>
      </c>
      <c r="L10" s="1">
        <v>2.7</v>
      </c>
      <c r="M10" s="8">
        <f>(3.32*1000000000)</f>
        <v>3320000000</v>
      </c>
      <c r="N10" s="1" t="s">
        <v>13</v>
      </c>
      <c r="O10" s="1">
        <v>0.72</v>
      </c>
      <c r="P10" s="1">
        <v>63.19</v>
      </c>
      <c r="Q10" s="1">
        <v>104.14</v>
      </c>
      <c r="R10" s="5">
        <f t="shared" si="1"/>
        <v>-0.39322066449010951</v>
      </c>
      <c r="S10" s="1">
        <f>1.6/1.23</f>
        <v>1.3008130081300815</v>
      </c>
      <c r="T10" s="3">
        <v>4.4400000000000004</v>
      </c>
      <c r="U10" s="3">
        <v>2.11</v>
      </c>
      <c r="V10" s="1" t="s">
        <v>13</v>
      </c>
      <c r="W10" s="1" t="s">
        <v>13</v>
      </c>
      <c r="X10" s="1">
        <f>1.6/2.83</f>
        <v>0.56537102473498235</v>
      </c>
    </row>
    <row r="11" spans="1:24" ht="15.6">
      <c r="A11" s="2" t="s">
        <v>23</v>
      </c>
      <c r="B11" s="2" t="s">
        <v>89</v>
      </c>
      <c r="F11" s="3">
        <v>130.6</v>
      </c>
      <c r="G11" s="3">
        <v>216.4</v>
      </c>
      <c r="H11" s="6">
        <f t="shared" si="2"/>
        <v>-0.65696784073506898</v>
      </c>
      <c r="I11" s="6">
        <f>(F11-G11+(129.3*0.1779))/F11</f>
        <v>-0.48083866768759581</v>
      </c>
      <c r="J11" s="7">
        <v>0.1779</v>
      </c>
      <c r="K11" s="1">
        <v>6.18</v>
      </c>
      <c r="L11" s="1">
        <v>0.61</v>
      </c>
      <c r="M11" s="8">
        <f>(509.68*1000000*1.29)</f>
        <v>657487200</v>
      </c>
      <c r="N11" s="1" t="s">
        <v>13</v>
      </c>
      <c r="O11" s="1">
        <v>0.3</v>
      </c>
      <c r="P11" s="1">
        <v>66.099999999999994</v>
      </c>
      <c r="Q11" s="1">
        <v>450</v>
      </c>
      <c r="R11" s="5">
        <f t="shared" si="1"/>
        <v>-0.85311111111111104</v>
      </c>
      <c r="S11" s="1">
        <f>762.05/831.89</f>
        <v>0.91604659269855382</v>
      </c>
      <c r="T11" s="3">
        <v>11.99</v>
      </c>
      <c r="U11" s="3">
        <v>2.37</v>
      </c>
      <c r="V11" s="1" t="s">
        <v>13</v>
      </c>
      <c r="W11" s="1" t="s">
        <v>13</v>
      </c>
      <c r="X11" s="1">
        <f>762.05/1590</f>
        <v>0.47927672955974843</v>
      </c>
    </row>
    <row r="12" spans="1:24" ht="15.6" hidden="1">
      <c r="A12" s="2" t="s">
        <v>24</v>
      </c>
      <c r="B12" s="2" t="s">
        <v>88</v>
      </c>
      <c r="C12" s="18" t="s">
        <v>51</v>
      </c>
      <c r="D12" s="19" t="s">
        <v>52</v>
      </c>
      <c r="E12" s="18" t="s">
        <v>50</v>
      </c>
      <c r="F12" s="3" t="s">
        <v>16</v>
      </c>
      <c r="G12" s="3" t="s">
        <v>16</v>
      </c>
      <c r="H12" s="3" t="s">
        <v>16</v>
      </c>
      <c r="I12" s="3" t="s">
        <v>16</v>
      </c>
      <c r="J12" s="3" t="s">
        <v>16</v>
      </c>
      <c r="K12" s="3" t="s">
        <v>16</v>
      </c>
      <c r="L12" s="3" t="s">
        <v>16</v>
      </c>
      <c r="M12" s="13">
        <v>532106</v>
      </c>
      <c r="N12" s="3" t="s">
        <v>16</v>
      </c>
      <c r="O12" s="14">
        <v>1.22</v>
      </c>
      <c r="P12" s="3" t="s">
        <v>16</v>
      </c>
      <c r="Q12" s="3" t="s">
        <v>16</v>
      </c>
      <c r="R12" s="3" t="s">
        <v>16</v>
      </c>
      <c r="S12" s="3" t="s">
        <v>16</v>
      </c>
      <c r="T12" s="3" t="s">
        <v>16</v>
      </c>
      <c r="U12" s="3" t="s">
        <v>16</v>
      </c>
      <c r="V12" s="3" t="s">
        <v>16</v>
      </c>
      <c r="W12" s="3" t="s">
        <v>16</v>
      </c>
      <c r="X12" s="3" t="s">
        <v>16</v>
      </c>
    </row>
    <row r="13" spans="1:24" ht="15.6">
      <c r="A13" s="2" t="s">
        <v>25</v>
      </c>
      <c r="B13" s="2" t="s">
        <v>89</v>
      </c>
      <c r="F13" s="2">
        <v>2.67</v>
      </c>
      <c r="G13" s="2">
        <v>2.71</v>
      </c>
      <c r="H13" s="6">
        <f t="shared" si="2"/>
        <v>-1.4981273408239714E-2</v>
      </c>
      <c r="I13" s="15"/>
      <c r="J13" s="4">
        <v>0.29299999999999998</v>
      </c>
      <c r="K13" s="1">
        <v>3.94</v>
      </c>
      <c r="L13" s="1">
        <v>0.26</v>
      </c>
      <c r="M13" s="13">
        <v>90100000</v>
      </c>
      <c r="N13" s="1">
        <v>-1.05</v>
      </c>
      <c r="O13" s="1">
        <v>1.04</v>
      </c>
      <c r="P13" s="1">
        <v>2.76</v>
      </c>
      <c r="Q13" s="1">
        <v>6.18</v>
      </c>
      <c r="R13" s="4">
        <v>-0.5534</v>
      </c>
      <c r="S13" s="1">
        <v>2.0579999999999998</v>
      </c>
      <c r="T13" s="1">
        <v>3.18</v>
      </c>
      <c r="U13" s="1">
        <v>1.01</v>
      </c>
      <c r="V13" s="4">
        <v>8.4699999999999998E-2</v>
      </c>
      <c r="W13" s="4">
        <v>7.7200000000000005E-2</v>
      </c>
      <c r="X13" s="16">
        <v>0.71530000000000005</v>
      </c>
    </row>
    <row r="14" spans="1:24" ht="15.6">
      <c r="A14" s="2" t="s">
        <v>26</v>
      </c>
      <c r="B14" s="2" t="s">
        <v>89</v>
      </c>
      <c r="F14" s="2">
        <v>27.68</v>
      </c>
      <c r="G14" s="2">
        <v>26.74</v>
      </c>
      <c r="H14" s="6">
        <f t="shared" si="2"/>
        <v>3.3959537572254381E-2</v>
      </c>
      <c r="I14" s="4">
        <v>0.1108</v>
      </c>
      <c r="J14" s="4">
        <v>7.2999999999999995E-2</v>
      </c>
      <c r="K14" s="1">
        <v>5.24</v>
      </c>
      <c r="L14" s="1">
        <v>0.26</v>
      </c>
      <c r="M14" s="1">
        <v>2630000000</v>
      </c>
      <c r="N14" s="1" t="s">
        <v>13</v>
      </c>
      <c r="O14" s="1">
        <v>0.38</v>
      </c>
      <c r="P14" s="1">
        <v>26.74</v>
      </c>
      <c r="Q14" s="1">
        <v>43.13</v>
      </c>
      <c r="R14" s="4">
        <v>-0.38</v>
      </c>
      <c r="S14" s="16">
        <v>0.95409999999999995</v>
      </c>
      <c r="T14" s="1">
        <v>5.35</v>
      </c>
      <c r="U14" s="1">
        <v>1.45</v>
      </c>
      <c r="V14" s="4">
        <v>5.33E-2</v>
      </c>
      <c r="W14" s="4">
        <v>6.2700000000000006E-2</v>
      </c>
      <c r="X14" s="16">
        <v>0.48820000000000002</v>
      </c>
    </row>
    <row r="15" spans="1:24" ht="17.399999999999999">
      <c r="A15" s="2" t="s">
        <v>27</v>
      </c>
      <c r="B15" s="2" t="s">
        <v>89</v>
      </c>
      <c r="C15" s="18" t="s">
        <v>55</v>
      </c>
      <c r="D15" s="19" t="s">
        <v>56</v>
      </c>
      <c r="E15" s="18" t="s">
        <v>50</v>
      </c>
      <c r="F15" s="2">
        <v>103.32</v>
      </c>
      <c r="G15" s="2">
        <v>99.4</v>
      </c>
      <c r="H15" s="6">
        <f t="shared" si="2"/>
        <v>3.7940379403793918E-2</v>
      </c>
      <c r="I15" s="4">
        <v>0.12189999999999999</v>
      </c>
      <c r="J15" s="4">
        <v>7.7200000000000005E-2</v>
      </c>
      <c r="K15" s="1">
        <v>6.63</v>
      </c>
      <c r="L15" s="1">
        <v>0.71</v>
      </c>
      <c r="M15" s="1">
        <v>6330000000</v>
      </c>
      <c r="N15" s="1" t="s">
        <v>13</v>
      </c>
      <c r="O15" s="1">
        <v>0.83</v>
      </c>
      <c r="P15" s="1">
        <v>99.4</v>
      </c>
      <c r="Q15" s="1">
        <v>190.23</v>
      </c>
      <c r="R15" s="4">
        <v>-0.47749999999999998</v>
      </c>
      <c r="S15" s="4">
        <v>0.49759999999999999</v>
      </c>
      <c r="T15" s="1">
        <v>10.63</v>
      </c>
      <c r="U15" s="1">
        <v>1.1399999999999999</v>
      </c>
      <c r="V15" s="4">
        <v>2.47E-2</v>
      </c>
      <c r="W15" s="4">
        <v>7.9399999999999998E-2</v>
      </c>
      <c r="X15" s="17">
        <v>0.33229999999999998</v>
      </c>
    </row>
    <row r="16" spans="1:24" ht="15.6">
      <c r="A16" s="2" t="s">
        <v>28</v>
      </c>
      <c r="B16" s="2" t="s">
        <v>89</v>
      </c>
      <c r="C16" s="18" t="s">
        <v>80</v>
      </c>
      <c r="D16" s="19" t="s">
        <v>81</v>
      </c>
      <c r="E16" s="18" t="s">
        <v>65</v>
      </c>
      <c r="F16" s="2">
        <v>62.33</v>
      </c>
      <c r="G16" s="2">
        <v>55.37</v>
      </c>
      <c r="H16" s="4">
        <v>0.12559999999999999</v>
      </c>
      <c r="I16" s="4">
        <v>0.19470000000000001</v>
      </c>
      <c r="J16" s="4">
        <v>5.6000000000000001E-2</v>
      </c>
      <c r="K16" s="1">
        <v>9.3699999999999992</v>
      </c>
      <c r="L16" s="1">
        <v>1.0900000000000001</v>
      </c>
      <c r="M16" s="1">
        <v>151050000000</v>
      </c>
      <c r="N16" s="1" t="s">
        <v>13</v>
      </c>
      <c r="O16" s="1">
        <v>0.69</v>
      </c>
      <c r="P16" s="1">
        <v>55.37</v>
      </c>
      <c r="Q16" s="1">
        <v>76.42</v>
      </c>
      <c r="R16" s="4">
        <v>-0.27539999999999998</v>
      </c>
      <c r="S16" s="4">
        <v>1.3740000000000001</v>
      </c>
      <c r="T16" s="1">
        <v>4.46</v>
      </c>
      <c r="U16" s="1">
        <v>1.38</v>
      </c>
      <c r="V16" s="4">
        <v>2.2100000000000002E-2</v>
      </c>
      <c r="W16" s="4">
        <v>5.9400000000000001E-2</v>
      </c>
      <c r="X16" s="16">
        <v>0.57879999999999998</v>
      </c>
    </row>
    <row r="17" spans="1:24" ht="15.6">
      <c r="A17" s="2" t="s">
        <v>29</v>
      </c>
      <c r="B17" s="2" t="s">
        <v>89</v>
      </c>
      <c r="C17" s="18" t="s">
        <v>46</v>
      </c>
      <c r="D17" s="19" t="s">
        <v>47</v>
      </c>
      <c r="E17" s="18" t="s">
        <v>45</v>
      </c>
      <c r="F17" s="2">
        <v>15.98</v>
      </c>
      <c r="G17" s="2">
        <v>15.24</v>
      </c>
      <c r="H17" s="4">
        <v>4.8500000000000001E-2</v>
      </c>
      <c r="I17" s="4">
        <v>0.13200000000000001</v>
      </c>
      <c r="J17" s="4">
        <v>7.9699999999999993E-2</v>
      </c>
      <c r="K17" s="1">
        <v>23.26</v>
      </c>
      <c r="L17" s="1">
        <v>3.62</v>
      </c>
      <c r="M17" s="1">
        <v>2610000000</v>
      </c>
      <c r="N17" s="1" t="s">
        <v>13</v>
      </c>
      <c r="O17" s="1">
        <v>1.22</v>
      </c>
      <c r="P17">
        <v>15.24</v>
      </c>
      <c r="Q17" s="1">
        <v>19.309999999999999</v>
      </c>
      <c r="R17" s="4">
        <v>-0.2107</v>
      </c>
      <c r="S17" s="4">
        <v>4.1142000000000003</v>
      </c>
      <c r="T17" s="1">
        <v>2.48</v>
      </c>
      <c r="U17" s="1">
        <v>2.8</v>
      </c>
      <c r="V17" s="4">
        <v>0.05</v>
      </c>
      <c r="W17" s="4">
        <v>4.9299999999999997E-2</v>
      </c>
      <c r="X17" s="16">
        <v>0.80430000000000001</v>
      </c>
    </row>
    <row r="18" spans="1:24" ht="15.6" hidden="1">
      <c r="A18" s="2" t="s">
        <v>30</v>
      </c>
      <c r="B18" s="2" t="s">
        <v>88</v>
      </c>
      <c r="F18" s="3" t="s">
        <v>16</v>
      </c>
      <c r="G18" s="3" t="s">
        <v>16</v>
      </c>
      <c r="H18" s="3" t="s">
        <v>16</v>
      </c>
      <c r="I18" s="3" t="s">
        <v>16</v>
      </c>
      <c r="J18" s="3" t="s">
        <v>16</v>
      </c>
      <c r="K18" s="3" t="s">
        <v>16</v>
      </c>
      <c r="L18" s="3" t="s">
        <v>16</v>
      </c>
      <c r="M18" s="3" t="s">
        <v>16</v>
      </c>
      <c r="N18" s="3" t="s">
        <v>16</v>
      </c>
      <c r="O18" s="3" t="s">
        <v>16</v>
      </c>
      <c r="P18" s="3" t="s">
        <v>16</v>
      </c>
      <c r="Q18" s="3" t="s">
        <v>16</v>
      </c>
      <c r="R18" s="3" t="s">
        <v>16</v>
      </c>
      <c r="S18" s="3" t="s">
        <v>16</v>
      </c>
      <c r="T18" s="3" t="s">
        <v>16</v>
      </c>
      <c r="U18" s="3" t="s">
        <v>16</v>
      </c>
      <c r="V18" s="3" t="s">
        <v>16</v>
      </c>
      <c r="W18" s="3" t="s">
        <v>16</v>
      </c>
      <c r="X18" s="3" t="s">
        <v>16</v>
      </c>
    </row>
    <row r="19" spans="1:24" ht="15.6">
      <c r="A19" s="2" t="s">
        <v>31</v>
      </c>
      <c r="B19" s="2" t="s">
        <v>89</v>
      </c>
      <c r="C19" s="18" t="s">
        <v>63</v>
      </c>
      <c r="D19" s="19" t="s">
        <v>64</v>
      </c>
      <c r="E19" s="18" t="s">
        <v>65</v>
      </c>
      <c r="F19" s="2">
        <v>209.87</v>
      </c>
      <c r="G19" s="2">
        <v>155.6</v>
      </c>
      <c r="H19" s="4">
        <v>0.3488</v>
      </c>
      <c r="I19" s="4">
        <v>0.35870000000000002</v>
      </c>
      <c r="J19" s="4">
        <v>7.1999999999999998E-3</v>
      </c>
      <c r="K19" s="1">
        <v>18.22</v>
      </c>
      <c r="L19" s="1">
        <v>5.14</v>
      </c>
      <c r="M19" s="1">
        <v>67720000000</v>
      </c>
      <c r="N19" s="1"/>
      <c r="O19" s="1">
        <v>0.88</v>
      </c>
      <c r="P19">
        <v>155.6</v>
      </c>
      <c r="Q19" s="1">
        <v>352</v>
      </c>
      <c r="R19" s="4">
        <v>-0.55800000000000005</v>
      </c>
      <c r="S19" s="4">
        <v>7.9600000000000004E-2</v>
      </c>
      <c r="T19" s="1">
        <v>9.92</v>
      </c>
      <c r="U19" s="1">
        <v>8.2100000000000009</v>
      </c>
      <c r="V19" s="4">
        <v>2.4899999999999999E-2</v>
      </c>
      <c r="W19" s="4">
        <v>9.5699999999999993E-2</v>
      </c>
      <c r="X19" s="16">
        <v>7.3700000000000002E-2</v>
      </c>
    </row>
    <row r="20" spans="1:24" ht="15.6">
      <c r="A20" s="2" t="s">
        <v>32</v>
      </c>
      <c r="B20" s="2" t="s">
        <v>89</v>
      </c>
      <c r="C20" s="18" t="s">
        <v>48</v>
      </c>
      <c r="D20" s="19" t="s">
        <v>49</v>
      </c>
      <c r="E20" s="18" t="s">
        <v>50</v>
      </c>
      <c r="F20" s="2">
        <v>24.69</v>
      </c>
      <c r="G20" s="2">
        <v>24.04</v>
      </c>
      <c r="H20" s="4">
        <v>2.7E-2</v>
      </c>
      <c r="I20" s="4">
        <v>3.8300000000000001E-2</v>
      </c>
      <c r="J20" s="4">
        <v>1.0699999999999999E-2</v>
      </c>
      <c r="K20" s="1">
        <v>29.75</v>
      </c>
      <c r="L20" s="1">
        <v>2.9</v>
      </c>
      <c r="M20" s="1">
        <v>114450000000</v>
      </c>
      <c r="N20" s="1"/>
      <c r="O20" s="1">
        <v>1.29</v>
      </c>
      <c r="P20">
        <v>24.04</v>
      </c>
      <c r="Q20" s="1">
        <v>58.19</v>
      </c>
      <c r="R20" s="4">
        <v>-0.58689999999999998</v>
      </c>
      <c r="S20" s="4">
        <v>1.32E-2</v>
      </c>
      <c r="T20" s="1">
        <v>12.64</v>
      </c>
      <c r="U20" s="1">
        <v>148.22</v>
      </c>
      <c r="V20" s="4">
        <v>4.1300000000000003E-2</v>
      </c>
      <c r="W20" s="4">
        <v>9.9299999999999999E-2</v>
      </c>
      <c r="X20" s="16">
        <v>1.2999999999999999E-2</v>
      </c>
    </row>
    <row r="21" spans="1:24" ht="15.6" hidden="1">
      <c r="A21" s="2" t="s">
        <v>33</v>
      </c>
      <c r="B21" s="2" t="s">
        <v>88</v>
      </c>
      <c r="C21" s="2"/>
      <c r="D21" s="2"/>
      <c r="E21" s="2"/>
      <c r="F21" s="3" t="s">
        <v>16</v>
      </c>
      <c r="G21" s="3" t="s">
        <v>16</v>
      </c>
      <c r="H21" s="3" t="s">
        <v>16</v>
      </c>
      <c r="I21" s="3" t="s">
        <v>16</v>
      </c>
      <c r="J21" s="3" t="s">
        <v>16</v>
      </c>
      <c r="K21" s="3" t="s">
        <v>16</v>
      </c>
      <c r="L21" s="3" t="s">
        <v>16</v>
      </c>
      <c r="M21" s="3" t="s">
        <v>16</v>
      </c>
      <c r="N21" s="3" t="s">
        <v>16</v>
      </c>
      <c r="O21" s="3" t="s">
        <v>16</v>
      </c>
      <c r="P21" s="3" t="s">
        <v>16</v>
      </c>
      <c r="Q21" s="3" t="s">
        <v>16</v>
      </c>
      <c r="R21" s="3" t="s">
        <v>16</v>
      </c>
      <c r="S21" s="3" t="s">
        <v>16</v>
      </c>
      <c r="T21" s="3" t="s">
        <v>16</v>
      </c>
      <c r="U21" s="3" t="s">
        <v>16</v>
      </c>
      <c r="V21" s="3" t="s">
        <v>16</v>
      </c>
      <c r="W21" s="3" t="s">
        <v>16</v>
      </c>
      <c r="X21" s="3" t="s">
        <v>16</v>
      </c>
    </row>
    <row r="22" spans="1:24" ht="15.6">
      <c r="A22" s="2" t="s">
        <v>34</v>
      </c>
      <c r="B22" s="2" t="s">
        <v>89</v>
      </c>
      <c r="C22" s="18" t="s">
        <v>68</v>
      </c>
      <c r="D22" s="19" t="s">
        <v>69</v>
      </c>
      <c r="E22" s="18" t="s">
        <v>65</v>
      </c>
      <c r="F22" s="2">
        <v>15.15</v>
      </c>
      <c r="G22" s="2">
        <v>17.010000000000002</v>
      </c>
      <c r="H22" s="9">
        <f>((F22-G22)/G22)</f>
        <v>-0.10934744268077608</v>
      </c>
      <c r="I22" s="9">
        <f>((F22-G22)+J22)/G22</f>
        <v>-0.10717813051146391</v>
      </c>
      <c r="J22" s="4">
        <v>3.6900000000000002E-2</v>
      </c>
      <c r="K22" s="1">
        <v>11</v>
      </c>
      <c r="L22" s="1">
        <v>1.18</v>
      </c>
      <c r="M22" s="10">
        <v>25112000000</v>
      </c>
      <c r="N22" s="1"/>
      <c r="O22" s="1">
        <v>2.5299999999999998</v>
      </c>
      <c r="P22" s="1">
        <v>1.93</v>
      </c>
      <c r="Q22" s="1">
        <v>40</v>
      </c>
      <c r="R22" s="5">
        <f>(P22-Q22)/Q22</f>
        <v>-0.95174999999999998</v>
      </c>
      <c r="S22" s="1">
        <v>0.36</v>
      </c>
      <c r="T22" s="1">
        <v>7.8</v>
      </c>
      <c r="U22" s="1">
        <v>2.41</v>
      </c>
      <c r="V22" s="1">
        <v>1.1399999999999999</v>
      </c>
      <c r="W22" s="1"/>
      <c r="X22" s="1">
        <f>26.77/56.54</f>
        <v>0.47347010965688008</v>
      </c>
    </row>
    <row r="23" spans="1:24" ht="15.6">
      <c r="A23" s="2" t="s">
        <v>35</v>
      </c>
      <c r="B23" s="2" t="s">
        <v>89</v>
      </c>
      <c r="C23" s="18" t="s">
        <v>74</v>
      </c>
      <c r="D23" s="19" t="s">
        <v>75</v>
      </c>
      <c r="E23" s="18" t="s">
        <v>65</v>
      </c>
      <c r="F23" s="2">
        <v>24.79</v>
      </c>
      <c r="G23" s="2">
        <v>20.94</v>
      </c>
      <c r="H23" s="9">
        <f>((F23-G23)/G23)</f>
        <v>0.18385864374403044</v>
      </c>
      <c r="I23" s="9">
        <f>((F23-G23)+J23)/G23</f>
        <v>0.18496179560649462</v>
      </c>
      <c r="J23" s="4">
        <v>2.3099999999999999E-2</v>
      </c>
      <c r="K23" s="1">
        <v>4.82</v>
      </c>
      <c r="L23" s="1">
        <v>0.43</v>
      </c>
      <c r="M23" s="11">
        <v>15900000000</v>
      </c>
      <c r="N23" s="1"/>
      <c r="O23" s="1">
        <v>0.94</v>
      </c>
      <c r="P23" s="1">
        <v>0.9</v>
      </c>
      <c r="Q23" s="1">
        <v>46.3</v>
      </c>
      <c r="R23" s="5">
        <f t="shared" ref="R23:R29" si="3">(P23-Q23)/Q23</f>
        <v>-0.98056155507559395</v>
      </c>
      <c r="S23" s="1">
        <v>0.13</v>
      </c>
      <c r="T23" s="1">
        <v>7.93</v>
      </c>
      <c r="U23" s="1">
        <v>1.98</v>
      </c>
      <c r="V23" s="1"/>
      <c r="W23" s="1"/>
      <c r="X23">
        <f>2.24/5.95</f>
        <v>0.37647058823529417</v>
      </c>
    </row>
    <row r="24" spans="1:24" ht="15.6">
      <c r="A24" s="2" t="s">
        <v>36</v>
      </c>
      <c r="B24" s="2" t="s">
        <v>89</v>
      </c>
      <c r="F24" s="2">
        <v>54.51</v>
      </c>
      <c r="G24" s="2">
        <v>12.55</v>
      </c>
      <c r="H24" s="12">
        <f t="shared" ref="H24:H29" si="4">((F24-G24)/G24)</f>
        <v>3.3434262948207163</v>
      </c>
      <c r="I24" s="12">
        <f>((F24-G24)+J24)/G24</f>
        <v>3.3434262948207163</v>
      </c>
      <c r="J24" s="1">
        <v>0</v>
      </c>
      <c r="K24" s="1" t="s">
        <v>37</v>
      </c>
      <c r="L24" s="1">
        <v>4.87</v>
      </c>
      <c r="M24" s="11">
        <v>50625600000</v>
      </c>
      <c r="N24" s="1"/>
      <c r="O24" s="1">
        <v>1.84</v>
      </c>
      <c r="P24" s="1">
        <v>8.15</v>
      </c>
      <c r="Q24" s="1">
        <v>66.98</v>
      </c>
      <c r="R24" s="5">
        <f t="shared" si="3"/>
        <v>-0.87832188713048676</v>
      </c>
      <c r="S24" s="1">
        <v>0.4</v>
      </c>
      <c r="T24" s="1">
        <v>0.51</v>
      </c>
      <c r="U24" s="1">
        <v>1.0900000000000001</v>
      </c>
      <c r="V24" s="1"/>
      <c r="W24" s="1"/>
      <c r="X24" s="1">
        <f>44.74/54.67</f>
        <v>0.8183647338576916</v>
      </c>
    </row>
    <row r="25" spans="1:24" ht="15.6">
      <c r="A25" s="2" t="s">
        <v>38</v>
      </c>
      <c r="B25" s="2" t="s">
        <v>89</v>
      </c>
      <c r="C25" s="18" t="s">
        <v>76</v>
      </c>
      <c r="D25" s="19" t="s">
        <v>77</v>
      </c>
      <c r="E25" s="18" t="s">
        <v>65</v>
      </c>
      <c r="F25" s="2">
        <v>210.48</v>
      </c>
      <c r="G25" s="2">
        <v>167.57</v>
      </c>
      <c r="H25" s="12">
        <f t="shared" si="4"/>
        <v>0.2560720892761234</v>
      </c>
      <c r="I25" s="12">
        <f t="shared" ref="I25:I29" si="5">((F25-G25)+J25)/G25</f>
        <v>0.25612400787730499</v>
      </c>
      <c r="J25" s="4">
        <v>8.6999999999999994E-3</v>
      </c>
      <c r="K25" s="1">
        <v>15.19</v>
      </c>
      <c r="L25" s="1">
        <v>8.5</v>
      </c>
      <c r="M25" s="11">
        <v>48500000000</v>
      </c>
      <c r="N25" s="1"/>
      <c r="O25" s="1">
        <v>0.94</v>
      </c>
      <c r="P25" s="1">
        <v>0.48</v>
      </c>
      <c r="Q25" s="1">
        <v>252.76</v>
      </c>
      <c r="R25" s="5">
        <f t="shared" si="3"/>
        <v>-0.9981009653426175</v>
      </c>
      <c r="S25" s="1">
        <v>4.49</v>
      </c>
      <c r="T25" s="1">
        <v>1.92</v>
      </c>
      <c r="U25" s="1">
        <v>6.07</v>
      </c>
      <c r="V25" s="1"/>
      <c r="W25" s="1"/>
      <c r="X25" s="1">
        <f>33.8/43.86</f>
        <v>0.77063383492932047</v>
      </c>
    </row>
    <row r="26" spans="1:24" ht="15.6">
      <c r="A26" s="2" t="s">
        <v>39</v>
      </c>
      <c r="B26" s="2" t="s">
        <v>89</v>
      </c>
      <c r="C26" s="18" t="s">
        <v>78</v>
      </c>
      <c r="D26" s="19" t="s">
        <v>79</v>
      </c>
      <c r="E26" s="18" t="s">
        <v>65</v>
      </c>
      <c r="F26" s="2">
        <v>19.25</v>
      </c>
      <c r="G26" s="2">
        <v>12.12</v>
      </c>
      <c r="H26" s="12">
        <f t="shared" si="4"/>
        <v>0.58828382838283844</v>
      </c>
      <c r="I26" s="12">
        <f t="shared" si="5"/>
        <v>0.58828382838283844</v>
      </c>
      <c r="J26" s="1">
        <v>0</v>
      </c>
      <c r="K26" s="1">
        <v>107.64</v>
      </c>
      <c r="L26" s="1">
        <v>2.66</v>
      </c>
      <c r="M26" s="11">
        <v>16560000000</v>
      </c>
      <c r="N26" s="1"/>
      <c r="O26" s="1">
        <v>1.01</v>
      </c>
      <c r="P26" s="1">
        <v>0.34</v>
      </c>
      <c r="Q26" s="1">
        <v>33.159999999999997</v>
      </c>
      <c r="R26" s="5">
        <f t="shared" si="3"/>
        <v>-0.98974668275030142</v>
      </c>
      <c r="S26" s="1">
        <v>6.38</v>
      </c>
      <c r="T26" s="1">
        <v>1.48</v>
      </c>
      <c r="U26" s="1">
        <v>1.22</v>
      </c>
      <c r="V26" s="1"/>
      <c r="W26" s="1"/>
      <c r="X26" s="1">
        <f>21.4/28.99</f>
        <v>0.73818558123490863</v>
      </c>
    </row>
    <row r="27" spans="1:24" ht="15.6" hidden="1">
      <c r="A27" s="2" t="s">
        <v>40</v>
      </c>
      <c r="B27" s="2" t="s">
        <v>88</v>
      </c>
      <c r="C27" s="18" t="s">
        <v>82</v>
      </c>
      <c r="D27" s="19" t="s">
        <v>83</v>
      </c>
      <c r="E27" s="18" t="s">
        <v>84</v>
      </c>
      <c r="F27" s="3" t="s">
        <v>16</v>
      </c>
      <c r="G27" s="3" t="s">
        <v>16</v>
      </c>
      <c r="H27" s="3" t="s">
        <v>16</v>
      </c>
      <c r="I27" s="3" t="s">
        <v>16</v>
      </c>
      <c r="J27" s="3" t="s">
        <v>16</v>
      </c>
      <c r="K27" s="3" t="s">
        <v>16</v>
      </c>
      <c r="L27" s="3" t="s">
        <v>16</v>
      </c>
      <c r="M27" s="8"/>
      <c r="N27" s="3" t="s">
        <v>16</v>
      </c>
      <c r="O27" s="3" t="s">
        <v>16</v>
      </c>
      <c r="P27" s="3" t="s">
        <v>16</v>
      </c>
      <c r="Q27" s="3" t="s">
        <v>16</v>
      </c>
      <c r="R27" s="3" t="s">
        <v>16</v>
      </c>
      <c r="S27" s="3" t="s">
        <v>16</v>
      </c>
      <c r="T27" s="3" t="s">
        <v>16</v>
      </c>
      <c r="U27" s="3" t="s">
        <v>16</v>
      </c>
      <c r="V27" s="3" t="s">
        <v>16</v>
      </c>
      <c r="W27" s="3" t="s">
        <v>16</v>
      </c>
      <c r="X27" s="3" t="s">
        <v>16</v>
      </c>
    </row>
    <row r="28" spans="1:24" ht="15.6" hidden="1">
      <c r="A28" s="2" t="s">
        <v>41</v>
      </c>
      <c r="B28" s="2" t="s">
        <v>88</v>
      </c>
      <c r="C28" s="18" t="s">
        <v>59</v>
      </c>
      <c r="D28" s="19" t="s">
        <v>60</v>
      </c>
      <c r="E28" s="18" t="s">
        <v>50</v>
      </c>
      <c r="F28" s="3" t="s">
        <v>16</v>
      </c>
      <c r="G28" s="3" t="s">
        <v>16</v>
      </c>
      <c r="H28" s="3" t="s">
        <v>16</v>
      </c>
      <c r="I28" s="3" t="s">
        <v>16</v>
      </c>
      <c r="J28" s="3" t="s">
        <v>16</v>
      </c>
      <c r="K28" s="3" t="s">
        <v>16</v>
      </c>
      <c r="L28" s="3" t="s">
        <v>16</v>
      </c>
      <c r="M28" s="8"/>
      <c r="N28" s="3" t="s">
        <v>16</v>
      </c>
      <c r="O28" s="3" t="s">
        <v>16</v>
      </c>
      <c r="P28" s="3" t="s">
        <v>16</v>
      </c>
      <c r="Q28" s="3" t="s">
        <v>16</v>
      </c>
      <c r="R28" s="3" t="s">
        <v>16</v>
      </c>
      <c r="S28" s="3" t="s">
        <v>16</v>
      </c>
      <c r="T28" s="3" t="s">
        <v>16</v>
      </c>
      <c r="U28" s="3" t="s">
        <v>16</v>
      </c>
      <c r="V28" s="3" t="s">
        <v>16</v>
      </c>
      <c r="W28" s="3" t="s">
        <v>16</v>
      </c>
      <c r="X28" s="3" t="s">
        <v>16</v>
      </c>
    </row>
    <row r="29" spans="1:24" ht="15.6">
      <c r="A29" s="2" t="s">
        <v>42</v>
      </c>
      <c r="B29" s="2" t="s">
        <v>89</v>
      </c>
      <c r="C29" s="18" t="s">
        <v>53</v>
      </c>
      <c r="D29" s="19" t="s">
        <v>54</v>
      </c>
      <c r="E29" s="18" t="s">
        <v>50</v>
      </c>
      <c r="F29" s="2">
        <f>302.2*1.22</f>
        <v>368.68399999999997</v>
      </c>
      <c r="G29" s="2">
        <f>249*1.22</f>
        <v>303.77999999999997</v>
      </c>
      <c r="H29" s="12">
        <f t="shared" si="4"/>
        <v>0.21365461847389558</v>
      </c>
      <c r="I29" s="12">
        <f t="shared" si="5"/>
        <v>0.24723154914740933</v>
      </c>
      <c r="J29" s="1">
        <v>10.199999999999999</v>
      </c>
      <c r="K29" s="1" t="s">
        <v>37</v>
      </c>
      <c r="L29" s="1">
        <v>0.55000000000000004</v>
      </c>
      <c r="M29" s="11">
        <v>3342800000</v>
      </c>
      <c r="N29" s="1"/>
      <c r="O29" s="1">
        <v>-0.28000000000000003</v>
      </c>
      <c r="P29" s="1">
        <f>189.56*1.12</f>
        <v>212.30720000000002</v>
      </c>
      <c r="Q29" s="1">
        <f>10445*1.12</f>
        <v>11698.400000000001</v>
      </c>
      <c r="R29" s="5">
        <f t="shared" si="3"/>
        <v>-0.98185160363810442</v>
      </c>
      <c r="S29" s="1">
        <v>0.96</v>
      </c>
      <c r="T29" s="1">
        <v>6.73</v>
      </c>
      <c r="U29" s="1">
        <v>0.43</v>
      </c>
      <c r="V29" s="1"/>
      <c r="W29" s="1"/>
      <c r="X29" s="1">
        <f>24.07/30.32</f>
        <v>0.79386543535620058</v>
      </c>
    </row>
  </sheetData>
  <autoFilter ref="A1:X29" xr:uid="{145F5EBD-A5D4-D942-9EB8-69F47B8EEDB4}">
    <filterColumn colId="1">
      <filters>
        <filter val="Public"/>
      </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fa4147f-35d1-437f-ada8-48d94dcc8dae" xsi:nil="true"/>
    <lcf76f155ced4ddcb4097134ff3c332f xmlns="4963e58d-fbec-4dbb-b16f-52b4ad5722d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73637F3A3AF54A86AEAB54031EBC94" ma:contentTypeVersion="12" ma:contentTypeDescription="Create a new document." ma:contentTypeScope="" ma:versionID="86330f27f8d1a74d2406c4f9af6bb87c">
  <xsd:schema xmlns:xsd="http://www.w3.org/2001/XMLSchema" xmlns:xs="http://www.w3.org/2001/XMLSchema" xmlns:p="http://schemas.microsoft.com/office/2006/metadata/properties" xmlns:ns2="4963e58d-fbec-4dbb-b16f-52b4ad5722d2" xmlns:ns3="ffa4147f-35d1-437f-ada8-48d94dcc8dae" targetNamespace="http://schemas.microsoft.com/office/2006/metadata/properties" ma:root="true" ma:fieldsID="d08a0c2c05db48e89f0880b2bb12b695" ns2:_="" ns3:_="">
    <xsd:import namespace="4963e58d-fbec-4dbb-b16f-52b4ad5722d2"/>
    <xsd:import namespace="ffa4147f-35d1-437f-ada8-48d94dcc8d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3e58d-fbec-4dbb-b16f-52b4ad5722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cca7581-5256-458a-b218-643d95256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4147f-35d1-437f-ada8-48d94dcc8da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7007762-aaef-41da-8fec-d9973fa44dec}" ma:internalName="TaxCatchAll" ma:showField="CatchAllData" ma:web="ffa4147f-35d1-437f-ada8-48d94dcc8d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A97C08-ADA0-4F36-BB4F-18AB48D6225A}">
  <ds:schemaRefs>
    <ds:schemaRef ds:uri="http://schemas.microsoft.com/office/2006/metadata/properties"/>
    <ds:schemaRef ds:uri="http://schemas.microsoft.com/office/infopath/2007/PartnerControls"/>
    <ds:schemaRef ds:uri="ffa4147f-35d1-437f-ada8-48d94dcc8dae"/>
    <ds:schemaRef ds:uri="4963e58d-fbec-4dbb-b16f-52b4ad5722d2"/>
  </ds:schemaRefs>
</ds:datastoreItem>
</file>

<file path=customXml/itemProps2.xml><?xml version="1.0" encoding="utf-8"?>
<ds:datastoreItem xmlns:ds="http://schemas.openxmlformats.org/officeDocument/2006/customXml" ds:itemID="{5310B020-9A6B-4C02-902E-AF56728290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8E025-E517-45BE-9B5A-B746CF1D1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3e58d-fbec-4dbb-b16f-52b4ad5722d2"/>
    <ds:schemaRef ds:uri="ffa4147f-35d1-437f-ada8-48d94dcc8d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cecilia wang</dc:creator>
  <cp:keywords/>
  <dc:description/>
  <cp:lastModifiedBy>Wong Siew Koon</cp:lastModifiedBy>
  <cp:revision/>
  <dcterms:created xsi:type="dcterms:W3CDTF">2025-02-21T10:13:39Z</dcterms:created>
  <dcterms:modified xsi:type="dcterms:W3CDTF">2025-03-23T17:17:39Z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0x0101003073637F3A3AF54A86AEAB54031EBC94</vt:lpwstr>
  </property>
  <property fmtid="{D5CDD505-2E9C-101B-9397-08002B2CF9AE}" pid="3" name="MediaServiceImageTags">
    <vt:lpwstr/>
  </property>
</Properties>
</file>