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13_ncr:1_{8711E762-B702-4B17-9663-99C9479F6E54}" xr6:coauthVersionLast="40" xr6:coauthVersionMax="40" xr10:uidLastSave="{00000000-0000-0000-0000-000000000000}"/>
  <bookViews>
    <workbookView xWindow="0" yWindow="0" windowWidth="28800" windowHeight="12120" activeTab="2" xr2:uid="{14706FAF-8593-45BD-988D-A1FCCD6FDFE1}"/>
  </bookViews>
  <sheets>
    <sheet name="工作表1" sheetId="1" r:id="rId1"/>
    <sheet name="工作表2" sheetId="2" r:id="rId2"/>
    <sheet name="工作表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3" i="3" l="1"/>
  <c r="L3" i="3"/>
  <c r="B10" i="3"/>
  <c r="N3" i="3"/>
  <c r="K3" i="3"/>
  <c r="D9" i="3"/>
  <c r="B9" i="3"/>
  <c r="B14" i="3"/>
  <c r="B13" i="3"/>
  <c r="F5" i="3"/>
  <c r="C13" i="3" s="1"/>
  <c r="B12" i="3"/>
  <c r="D12" i="3" s="1"/>
  <c r="B5" i="3"/>
  <c r="D13" i="3" l="1"/>
  <c r="C14" i="3"/>
  <c r="D14" i="3"/>
  <c r="B4" i="3"/>
  <c r="D8" i="3" s="1"/>
  <c r="B3" i="3"/>
  <c r="B8" i="3" s="1"/>
  <c r="L2" i="3" s="1"/>
  <c r="H6" i="3" s="1"/>
  <c r="M2" i="3" l="1"/>
  <c r="G7" i="3" s="1"/>
  <c r="K2" i="3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" i="2"/>
  <c r="J5" i="2"/>
  <c r="O3" i="2"/>
  <c r="J4" i="2"/>
  <c r="K3" i="2"/>
  <c r="Q34" i="1"/>
  <c r="Q33" i="1"/>
  <c r="Q32" i="1"/>
  <c r="Q31" i="1"/>
  <c r="Q30" i="1"/>
  <c r="Q29" i="1"/>
  <c r="Q28" i="1"/>
  <c r="Q27" i="1"/>
  <c r="Q26" i="1"/>
  <c r="Q25" i="1"/>
  <c r="Q24" i="1"/>
  <c r="Q23" i="1"/>
  <c r="Q22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5" i="1"/>
  <c r="Q4" i="1"/>
  <c r="B32" i="2"/>
  <c r="C37" i="2"/>
  <c r="C42" i="2" s="1"/>
  <c r="C48" i="2" s="1"/>
  <c r="C36" i="2"/>
  <c r="B37" i="2"/>
  <c r="B42" i="2" s="1"/>
  <c r="B48" i="2" s="1"/>
  <c r="C35" i="2"/>
  <c r="C41" i="2" s="1"/>
  <c r="C44" i="2" s="1"/>
  <c r="B36" i="2"/>
  <c r="B46" i="2" s="1"/>
  <c r="B35" i="2"/>
  <c r="B41" i="2" s="1"/>
  <c r="D13" i="2"/>
  <c r="D12" i="2"/>
  <c r="D11" i="2"/>
  <c r="D9" i="2"/>
  <c r="D8" i="2"/>
  <c r="D5" i="2"/>
  <c r="J3" i="2" s="1"/>
  <c r="G4" i="2" s="1"/>
  <c r="D4" i="2"/>
  <c r="D3" i="2"/>
  <c r="B21" i="2" s="1"/>
  <c r="N2" i="3" l="1"/>
  <c r="H7" i="3" s="1"/>
  <c r="D16" i="3" s="1"/>
  <c r="G6" i="3"/>
  <c r="D15" i="3" s="1"/>
  <c r="C15" i="3" s="1"/>
  <c r="D41" i="2"/>
  <c r="D36" i="2"/>
  <c r="C45" i="2"/>
  <c r="F4" i="2"/>
  <c r="C50" i="2"/>
  <c r="B50" i="2"/>
  <c r="D35" i="2"/>
  <c r="B49" i="2"/>
  <c r="C40" i="2"/>
  <c r="D37" i="2"/>
  <c r="B45" i="2"/>
  <c r="D45" i="2" s="1"/>
  <c r="B40" i="2"/>
  <c r="C46" i="2"/>
  <c r="C49" i="2" s="1"/>
  <c r="D48" i="2"/>
  <c r="D42" i="2"/>
  <c r="B44" i="2"/>
  <c r="D44" i="2" s="1"/>
  <c r="B32" i="1"/>
  <c r="C16" i="3" l="1"/>
  <c r="B16" i="3"/>
  <c r="D17" i="3"/>
  <c r="B15" i="3"/>
  <c r="B18" i="3" s="1"/>
  <c r="B19" i="3" s="1"/>
  <c r="B20" i="3" s="1"/>
  <c r="D50" i="2"/>
  <c r="D40" i="2"/>
  <c r="D49" i="2"/>
  <c r="P4" i="2" s="1"/>
  <c r="D46" i="2"/>
  <c r="D8" i="1"/>
  <c r="B17" i="3" l="1"/>
  <c r="C17" i="3"/>
  <c r="Q4" i="2"/>
  <c r="R4" i="2"/>
  <c r="O4" i="2" s="1"/>
  <c r="D4" i="1"/>
  <c r="D5" i="1"/>
  <c r="L3" i="1" s="1"/>
  <c r="G4" i="1" s="1"/>
  <c r="D9" i="1"/>
  <c r="D11" i="1"/>
  <c r="D12" i="1"/>
  <c r="D13" i="1"/>
  <c r="D3" i="1"/>
  <c r="B20" i="1" s="1"/>
  <c r="J3" i="1" l="1"/>
  <c r="F4" i="1"/>
  <c r="O3" i="1"/>
  <c r="C38" i="1" l="1"/>
  <c r="C39" i="1"/>
  <c r="C44" i="1" s="1"/>
  <c r="C50" i="1" s="1"/>
  <c r="B37" i="1"/>
  <c r="B38" i="1"/>
  <c r="C37" i="1"/>
  <c r="B36" i="1"/>
  <c r="D37" i="1" l="1"/>
  <c r="B43" i="1"/>
  <c r="D44" i="1" s="1"/>
  <c r="D39" i="1"/>
  <c r="D38" i="1"/>
  <c r="B51" i="1"/>
  <c r="B41" i="1"/>
  <c r="C42" i="1"/>
  <c r="C52" i="1"/>
  <c r="B42" i="1"/>
  <c r="B46" i="1"/>
  <c r="C43" i="1"/>
  <c r="C47" i="1"/>
  <c r="B47" i="1"/>
  <c r="C48" i="1"/>
  <c r="D48" i="1" l="1"/>
  <c r="D47" i="1"/>
  <c r="D43" i="1"/>
  <c r="D42" i="1"/>
  <c r="D52" i="1"/>
  <c r="B49" i="1"/>
  <c r="D50" i="1" s="1"/>
  <c r="C51" i="1"/>
  <c r="C46" i="1"/>
  <c r="B50" i="1"/>
  <c r="B45" i="1"/>
  <c r="D46" i="1" l="1"/>
  <c r="J4" i="1" s="1"/>
  <c r="D51" i="1"/>
  <c r="K3" i="1" l="1"/>
  <c r="N3" i="1" s="1"/>
  <c r="L4" i="1" s="1"/>
  <c r="P4" i="1" l="1"/>
  <c r="R4" i="1" s="1"/>
  <c r="O4" i="1" s="1"/>
  <c r="J5" i="1" l="1"/>
  <c r="K4" i="1" l="1"/>
  <c r="N4" i="1" s="1"/>
  <c r="L5" i="1" s="1"/>
  <c r="F5" i="1"/>
  <c r="G5" i="1" l="1"/>
  <c r="P5" i="1"/>
  <c r="R5" i="1" l="1"/>
  <c r="O5" i="1" s="1"/>
  <c r="J6" i="1" s="1"/>
  <c r="K5" i="1" l="1"/>
  <c r="N5" i="1" s="1"/>
  <c r="L6" i="1" s="1"/>
  <c r="F6" i="1"/>
  <c r="G6" i="1" l="1"/>
  <c r="P6" i="1"/>
  <c r="R6" i="1" l="1"/>
  <c r="O6" i="1" l="1"/>
  <c r="J7" i="1" s="1"/>
  <c r="K6" i="1" l="1"/>
  <c r="N6" i="1" s="1"/>
  <c r="F7" i="1"/>
  <c r="L7" i="1" l="1"/>
  <c r="G7" i="1" s="1"/>
  <c r="P7" i="1" l="1"/>
  <c r="R7" i="1" s="1"/>
  <c r="O7" i="1" s="1"/>
  <c r="J8" i="1" s="1"/>
  <c r="K7" i="1" l="1"/>
  <c r="N7" i="1" s="1"/>
  <c r="F8" i="1"/>
  <c r="L8" i="1" l="1"/>
  <c r="P8" i="1" s="1"/>
  <c r="G8" i="1" l="1"/>
  <c r="R8" i="1"/>
  <c r="O8" i="1" s="1"/>
  <c r="J9" i="1" s="1"/>
  <c r="K8" i="1" l="1"/>
  <c r="N8" i="1" s="1"/>
  <c r="L9" i="1" s="1"/>
  <c r="F9" i="1"/>
  <c r="G9" i="1" l="1"/>
  <c r="P9" i="1"/>
  <c r="R9" i="1" s="1"/>
  <c r="O9" i="1" l="1"/>
  <c r="J10" i="1" s="1"/>
  <c r="K9" i="1" l="1"/>
  <c r="N9" i="1" s="1"/>
  <c r="F10" i="1"/>
  <c r="L10" i="1" l="1"/>
  <c r="P10" i="1" s="1"/>
  <c r="R10" i="1" s="1"/>
  <c r="G10" i="1" l="1"/>
  <c r="O10" i="1"/>
  <c r="J11" i="1" s="1"/>
  <c r="K10" i="1" l="1"/>
  <c r="F11" i="1"/>
  <c r="N10" i="1" l="1"/>
  <c r="L11" i="1" s="1"/>
  <c r="G11" i="1" l="1"/>
  <c r="P11" i="1"/>
  <c r="R11" i="1" s="1"/>
  <c r="O11" i="1" s="1"/>
  <c r="J12" i="1" s="1"/>
  <c r="K11" i="1" l="1"/>
  <c r="N11" i="1" s="1"/>
  <c r="L12" i="1" s="1"/>
  <c r="G12" i="1" s="1"/>
  <c r="F12" i="1"/>
  <c r="B16" i="1"/>
  <c r="B25" i="1" s="1"/>
  <c r="C26" i="1" s="1"/>
  <c r="B26" i="1" l="1"/>
  <c r="C27" i="1" s="1"/>
  <c r="D26" i="1" s="1"/>
  <c r="D16" i="1"/>
  <c r="P12" i="1"/>
  <c r="R12" i="1" s="1"/>
  <c r="B18" i="1"/>
  <c r="C18" i="1" s="1"/>
  <c r="C16" i="1"/>
  <c r="B27" i="1" l="1"/>
  <c r="B28" i="1" s="1"/>
  <c r="C29" i="1" s="1"/>
  <c r="B31" i="1"/>
  <c r="D18" i="1"/>
  <c r="B29" i="1"/>
  <c r="B30" i="1" s="1"/>
  <c r="C31" i="1" s="1"/>
  <c r="O12" i="1"/>
  <c r="J13" i="1" s="1"/>
  <c r="C28" i="1"/>
  <c r="K12" i="1" l="1"/>
  <c r="C30" i="1"/>
  <c r="D30" i="1" s="1"/>
  <c r="D28" i="1"/>
  <c r="F13" i="1" l="1"/>
  <c r="N12" i="1" l="1"/>
  <c r="L13" i="1" s="1"/>
  <c r="G13" i="1" s="1"/>
  <c r="B17" i="1"/>
  <c r="C17" i="1" s="1"/>
  <c r="D17" i="1" l="1"/>
  <c r="B33" i="1"/>
  <c r="P13" i="1"/>
  <c r="R13" i="1" s="1"/>
  <c r="O13" i="1" l="1"/>
  <c r="J14" i="1" s="1"/>
  <c r="K13" i="1" l="1"/>
  <c r="N13" i="1" s="1"/>
  <c r="L14" i="1" s="1"/>
  <c r="P14" i="1" s="1"/>
  <c r="F14" i="1"/>
  <c r="G14" i="1" l="1"/>
  <c r="R14" i="1"/>
  <c r="O14" i="1" l="1"/>
  <c r="J15" i="1" s="1"/>
  <c r="K14" i="1" l="1"/>
  <c r="N14" i="1" s="1"/>
  <c r="L15" i="1" s="1"/>
  <c r="G15" i="1" s="1"/>
  <c r="F15" i="1"/>
  <c r="P15" i="1" l="1"/>
  <c r="R15" i="1" s="1"/>
  <c r="O15" i="1" l="1"/>
  <c r="J16" i="1" s="1"/>
  <c r="K15" i="1" l="1"/>
  <c r="N15" i="1" s="1"/>
  <c r="L16" i="1" s="1"/>
  <c r="F16" i="1"/>
  <c r="G16" i="1" l="1"/>
  <c r="P16" i="1"/>
  <c r="R16" i="1" l="1"/>
  <c r="O16" i="1" l="1"/>
  <c r="J17" i="1" s="1"/>
  <c r="K16" i="1" l="1"/>
  <c r="N16" i="1" s="1"/>
  <c r="L17" i="1" s="1"/>
  <c r="F17" i="1"/>
  <c r="G17" i="1" l="1"/>
  <c r="P17" i="1"/>
  <c r="R17" i="1" l="1"/>
  <c r="O17" i="1" l="1"/>
  <c r="J18" i="1" s="1"/>
  <c r="K17" i="1" l="1"/>
  <c r="N17" i="1" s="1"/>
  <c r="F18" i="1"/>
  <c r="L18" i="1" l="1"/>
  <c r="P18" i="1" s="1"/>
  <c r="R18" i="1" s="1"/>
  <c r="G18" i="1" l="1"/>
  <c r="O18" i="1"/>
  <c r="J19" i="1" s="1"/>
  <c r="K18" i="1" l="1"/>
  <c r="N18" i="1" s="1"/>
  <c r="L19" i="1" s="1"/>
  <c r="P19" i="1" s="1"/>
  <c r="F19" i="1"/>
  <c r="G19" i="1" l="1"/>
  <c r="R19" i="1"/>
  <c r="O19" i="1" l="1"/>
  <c r="J20" i="1" s="1"/>
  <c r="K19" i="1" l="1"/>
  <c r="F20" i="1"/>
  <c r="N19" i="1" l="1"/>
  <c r="L20" i="1" s="1"/>
  <c r="G20" i="1" l="1"/>
  <c r="P20" i="1"/>
  <c r="R20" i="1" s="1"/>
  <c r="O20" i="1" s="1"/>
  <c r="J21" i="1" s="1"/>
  <c r="K20" i="1" l="1"/>
  <c r="F21" i="1"/>
  <c r="N20" i="1" l="1"/>
  <c r="L21" i="1" s="1"/>
  <c r="P21" i="1" l="1"/>
  <c r="R21" i="1" s="1"/>
  <c r="O21" i="1" s="1"/>
  <c r="J22" i="1" s="1"/>
  <c r="G21" i="1"/>
  <c r="K21" i="1" l="1"/>
  <c r="N21" i="1" s="1"/>
  <c r="L22" i="1" s="1"/>
  <c r="F22" i="1"/>
  <c r="G22" i="1" l="1"/>
  <c r="P22" i="1"/>
  <c r="R22" i="1" l="1"/>
  <c r="O22" i="1" l="1"/>
  <c r="J23" i="1" s="1"/>
  <c r="K22" i="1" l="1"/>
  <c r="N22" i="1" s="1"/>
  <c r="L23" i="1" s="1"/>
  <c r="G23" i="1" s="1"/>
  <c r="F23" i="1"/>
  <c r="P23" i="1" l="1"/>
  <c r="R23" i="1" s="1"/>
  <c r="O23" i="1" l="1"/>
  <c r="J24" i="1" s="1"/>
  <c r="K23" i="1" l="1"/>
  <c r="N23" i="1" s="1"/>
  <c r="L24" i="1" s="1"/>
  <c r="F24" i="1"/>
  <c r="G24" i="1" l="1"/>
  <c r="P24" i="1"/>
  <c r="R24" i="1" l="1"/>
  <c r="O24" i="1"/>
  <c r="J25" i="1" s="1"/>
  <c r="K24" i="1" l="1"/>
  <c r="N24" i="1" s="1"/>
  <c r="L25" i="1" s="1"/>
  <c r="F25" i="1"/>
  <c r="P25" i="1" l="1"/>
  <c r="G25" i="1"/>
  <c r="R25" i="1" l="1"/>
  <c r="O25" i="1"/>
  <c r="J26" i="1" s="1"/>
  <c r="K25" i="1" l="1"/>
  <c r="N25" i="1" s="1"/>
  <c r="L26" i="1" s="1"/>
  <c r="F26" i="1"/>
  <c r="P26" i="1" l="1"/>
  <c r="G26" i="1"/>
  <c r="R26" i="1" l="1"/>
  <c r="O26" i="1" l="1"/>
  <c r="J27" i="1" s="1"/>
  <c r="K26" i="1" l="1"/>
  <c r="F27" i="1"/>
  <c r="N26" i="1" l="1"/>
  <c r="L27" i="1" s="1"/>
  <c r="G27" i="1" l="1"/>
  <c r="P27" i="1"/>
  <c r="R27" i="1" s="1"/>
  <c r="O27" i="1" s="1"/>
  <c r="J28" i="1" s="1"/>
  <c r="K27" i="1" l="1"/>
  <c r="F28" i="1"/>
  <c r="N27" i="1" l="1"/>
  <c r="L28" i="1" s="1"/>
  <c r="P28" i="1" l="1"/>
  <c r="R28" i="1" s="1"/>
  <c r="O28" i="1" s="1"/>
  <c r="J29" i="1" s="1"/>
  <c r="G28" i="1"/>
  <c r="K28" i="1" l="1"/>
  <c r="N28" i="1" s="1"/>
  <c r="L29" i="1" s="1"/>
  <c r="G29" i="1" s="1"/>
  <c r="F29" i="1"/>
  <c r="P29" i="1" l="1"/>
  <c r="R29" i="1" s="1"/>
  <c r="O29" i="1" s="1"/>
  <c r="J30" i="1" s="1"/>
  <c r="K29" i="1" l="1"/>
  <c r="N3" i="2"/>
  <c r="K4" i="2" s="1"/>
  <c r="F30" i="1" l="1"/>
  <c r="N29" i="1"/>
  <c r="L30" i="1" s="1"/>
  <c r="G30" i="1" l="1"/>
  <c r="P30" i="1"/>
  <c r="P5" i="2"/>
  <c r="Q5" i="2" s="1"/>
  <c r="G5" i="2"/>
  <c r="R30" i="1" l="1"/>
  <c r="O30" i="1" s="1"/>
  <c r="J31" i="1" s="1"/>
  <c r="R5" i="2"/>
  <c r="O5" i="2" s="1"/>
  <c r="J6" i="2" s="1"/>
  <c r="K30" i="1" l="1"/>
  <c r="N4" i="2"/>
  <c r="K5" i="2" s="1"/>
  <c r="F31" i="1" l="1"/>
  <c r="N30" i="1"/>
  <c r="L31" i="1" s="1"/>
  <c r="F5" i="2" l="1"/>
  <c r="G31" i="1"/>
  <c r="P31" i="1"/>
  <c r="P6" i="2"/>
  <c r="Q6" i="2" s="1"/>
  <c r="G6" i="2"/>
  <c r="R31" i="1" l="1"/>
  <c r="O31" i="1" s="1"/>
  <c r="J32" i="1" s="1"/>
  <c r="R6" i="2"/>
  <c r="O6" i="2" s="1"/>
  <c r="J7" i="2" s="1"/>
  <c r="K31" i="1" l="1"/>
  <c r="N5" i="2"/>
  <c r="K6" i="2" s="1"/>
  <c r="F32" i="1" l="1"/>
  <c r="N31" i="1"/>
  <c r="L32" i="1" s="1"/>
  <c r="F6" i="2" l="1"/>
  <c r="P32" i="1"/>
  <c r="G32" i="1"/>
  <c r="G7" i="2" l="1"/>
  <c r="P7" i="2"/>
  <c r="Q7" i="2" s="1"/>
  <c r="R32" i="1"/>
  <c r="R7" i="2" l="1"/>
  <c r="O7" i="2" s="1"/>
  <c r="J8" i="2" s="1"/>
  <c r="O32" i="1"/>
  <c r="J33" i="1" s="1"/>
  <c r="N6" i="2"/>
  <c r="K7" i="2" s="1"/>
  <c r="K32" i="1" l="1"/>
  <c r="F7" i="2" l="1"/>
  <c r="F33" i="1"/>
  <c r="N32" i="1"/>
  <c r="L33" i="1" s="1"/>
  <c r="G33" i="1" s="1"/>
  <c r="P33" i="1" l="1"/>
  <c r="R33" i="1" s="1"/>
  <c r="P8" i="2"/>
  <c r="Q8" i="2" s="1"/>
  <c r="G8" i="2"/>
  <c r="O33" i="1" l="1"/>
  <c r="J34" i="1" s="1"/>
  <c r="R8" i="2"/>
  <c r="O8" i="2" s="1"/>
  <c r="J9" i="2" s="1"/>
  <c r="K33" i="1" l="1"/>
  <c r="N7" i="2"/>
  <c r="K8" i="2" s="1"/>
  <c r="N33" i="1" l="1"/>
  <c r="L34" i="1" s="1"/>
  <c r="P34" i="1" s="1"/>
  <c r="F34" i="1"/>
  <c r="F8" i="2" l="1"/>
  <c r="G34" i="1"/>
  <c r="R34" i="1"/>
  <c r="O34" i="1" s="1"/>
  <c r="K34" i="1" s="1"/>
  <c r="N34" i="1" l="1"/>
  <c r="P9" i="2"/>
  <c r="Q9" i="2" s="1"/>
  <c r="G9" i="2"/>
  <c r="R9" i="2" l="1"/>
  <c r="O9" i="2" s="1"/>
  <c r="J10" i="2" s="1"/>
  <c r="N8" i="2" l="1"/>
  <c r="K9" i="2" s="1"/>
  <c r="F9" i="2" l="1"/>
  <c r="G10" i="2" l="1"/>
  <c r="P10" i="2"/>
  <c r="Q10" i="2" s="1"/>
  <c r="R10" i="2" l="1"/>
  <c r="O10" i="2" s="1"/>
  <c r="J11" i="2" s="1"/>
  <c r="N9" i="2"/>
  <c r="K10" i="2" s="1"/>
  <c r="F10" i="2" l="1"/>
  <c r="P11" i="2" l="1"/>
  <c r="Q11" i="2" s="1"/>
  <c r="G11" i="2"/>
  <c r="R11" i="2" l="1"/>
  <c r="O11" i="2" s="1"/>
  <c r="J12" i="2" s="1"/>
  <c r="N10" i="2"/>
  <c r="K11" i="2" s="1"/>
  <c r="F11" i="2" l="1"/>
  <c r="G12" i="2" l="1"/>
  <c r="P12" i="2"/>
  <c r="Q12" i="2" s="1"/>
  <c r="R12" i="2" l="1"/>
  <c r="O12" i="2" s="1"/>
  <c r="J13" i="2" s="1"/>
  <c r="N11" i="2"/>
  <c r="K12" i="2" s="1"/>
  <c r="F12" i="2" l="1"/>
  <c r="P13" i="2" l="1"/>
  <c r="Q13" i="2" s="1"/>
  <c r="G13" i="2"/>
  <c r="R13" i="2" l="1"/>
  <c r="O13" i="2" s="1"/>
  <c r="J14" i="2" s="1"/>
  <c r="N12" i="2"/>
  <c r="K13" i="2" s="1"/>
  <c r="F13" i="2" l="1"/>
  <c r="B19" i="2" l="1"/>
  <c r="D19" i="2" s="1"/>
  <c r="G14" i="2"/>
  <c r="P14" i="2"/>
  <c r="Q14" i="2" s="1"/>
  <c r="C19" i="2" l="1"/>
  <c r="B28" i="2"/>
  <c r="C29" i="2" s="1"/>
  <c r="R14" i="2"/>
  <c r="O14" i="2" s="1"/>
  <c r="J15" i="2" s="1"/>
  <c r="N13" i="2"/>
  <c r="K14" i="2" s="1"/>
  <c r="B29" i="2" l="1"/>
  <c r="C30" i="2" s="1"/>
  <c r="D29" i="2" s="1"/>
  <c r="F14" i="2" l="1"/>
  <c r="B17" i="2"/>
  <c r="B24" i="2" s="1"/>
  <c r="B30" i="2"/>
  <c r="D17" i="2" l="1"/>
  <c r="B26" i="2"/>
  <c r="C27" i="2" s="1"/>
  <c r="C17" i="2"/>
  <c r="C25" i="2"/>
  <c r="B25" i="2"/>
  <c r="C26" i="2" s="1"/>
  <c r="P15" i="2"/>
  <c r="Q15" i="2" s="1"/>
  <c r="G15" i="2"/>
  <c r="B27" i="2" l="1"/>
  <c r="C28" i="2" s="1"/>
  <c r="D27" i="2" s="1"/>
  <c r="D25" i="2"/>
  <c r="R15" i="2"/>
  <c r="O15" i="2" s="1"/>
  <c r="J16" i="2" s="1"/>
  <c r="B18" i="2" l="1"/>
  <c r="N14" i="2"/>
  <c r="K15" i="2" s="1"/>
  <c r="B31" i="2"/>
  <c r="C18" i="2" l="1"/>
  <c r="D18" i="2"/>
  <c r="F15" i="2" l="1"/>
  <c r="P16" i="2" l="1"/>
  <c r="Q16" i="2" s="1"/>
  <c r="G16" i="2"/>
  <c r="R16" i="2" l="1"/>
  <c r="O16" i="2" s="1"/>
  <c r="J17" i="2" s="1"/>
  <c r="N15" i="2"/>
  <c r="K16" i="2" s="1"/>
  <c r="F16" i="2" l="1"/>
  <c r="P17" i="2" l="1"/>
  <c r="Q17" i="2" s="1"/>
  <c r="G17" i="2"/>
  <c r="R17" i="2" l="1"/>
  <c r="O17" i="2" s="1"/>
  <c r="J18" i="2" s="1"/>
  <c r="N16" i="2"/>
  <c r="K17" i="2" s="1"/>
  <c r="F17" i="2" l="1"/>
  <c r="P18" i="2" l="1"/>
  <c r="Q18" i="2" s="1"/>
  <c r="G18" i="2"/>
  <c r="R18" i="2" l="1"/>
  <c r="O18" i="2" s="1"/>
  <c r="J19" i="2" s="1"/>
  <c r="N17" i="2"/>
  <c r="K18" i="2" s="1"/>
  <c r="F18" i="2" l="1"/>
  <c r="G19" i="2" l="1"/>
  <c r="P19" i="2"/>
  <c r="Q19" i="2" s="1"/>
  <c r="R19" i="2" l="1"/>
  <c r="O19" i="2" s="1"/>
  <c r="J20" i="2" s="1"/>
  <c r="N18" i="2"/>
  <c r="K19" i="2" s="1"/>
  <c r="F19" i="2" l="1"/>
  <c r="P20" i="2" l="1"/>
  <c r="Q20" i="2" s="1"/>
  <c r="G20" i="2"/>
  <c r="R20" i="2" l="1"/>
  <c r="O20" i="2" s="1"/>
  <c r="J21" i="2" s="1"/>
  <c r="N19" i="2"/>
  <c r="K20" i="2" s="1"/>
  <c r="F20" i="2" l="1"/>
  <c r="P21" i="2" l="1"/>
  <c r="Q21" i="2" s="1"/>
  <c r="G21" i="2"/>
  <c r="R21" i="2" l="1"/>
  <c r="O21" i="2" s="1"/>
  <c r="J22" i="2" s="1"/>
  <c r="N20" i="2"/>
  <c r="K21" i="2" s="1"/>
  <c r="F21" i="2" l="1"/>
  <c r="G22" i="2" l="1"/>
  <c r="P22" i="2"/>
  <c r="Q22" i="2" s="1"/>
  <c r="R22" i="2" l="1"/>
  <c r="O22" i="2" s="1"/>
  <c r="J23" i="2" s="1"/>
  <c r="N21" i="2"/>
  <c r="K22" i="2" s="1"/>
  <c r="F22" i="2" l="1"/>
  <c r="G23" i="2" l="1"/>
  <c r="P23" i="2"/>
  <c r="Q23" i="2" s="1"/>
  <c r="R23" i="2" l="1"/>
  <c r="O23" i="2" s="1"/>
  <c r="J24" i="2" s="1"/>
  <c r="N22" i="2"/>
  <c r="K23" i="2" s="1"/>
  <c r="F23" i="2" l="1"/>
  <c r="G24" i="2" l="1"/>
  <c r="P24" i="2"/>
  <c r="Q24" i="2" s="1"/>
  <c r="R24" i="2" l="1"/>
  <c r="O24" i="2" s="1"/>
  <c r="J25" i="2" s="1"/>
  <c r="N23" i="2"/>
  <c r="K24" i="2" s="1"/>
  <c r="F24" i="2" l="1"/>
  <c r="P25" i="2" l="1"/>
  <c r="Q25" i="2" s="1"/>
  <c r="G25" i="2"/>
  <c r="R25" i="2" l="1"/>
  <c r="O25" i="2" s="1"/>
  <c r="J26" i="2" s="1"/>
  <c r="N24" i="2"/>
  <c r="K25" i="2" s="1"/>
  <c r="F25" i="2" l="1"/>
  <c r="G26" i="2" l="1"/>
  <c r="P26" i="2"/>
  <c r="Q26" i="2" s="1"/>
  <c r="R26" i="2" l="1"/>
  <c r="O26" i="2" s="1"/>
  <c r="J27" i="2" s="1"/>
  <c r="N25" i="2"/>
  <c r="K26" i="2" s="1"/>
  <c r="F26" i="2" l="1"/>
  <c r="P27" i="2" l="1"/>
  <c r="Q27" i="2" s="1"/>
  <c r="G27" i="2"/>
  <c r="R27" i="2" l="1"/>
  <c r="O27" i="2" s="1"/>
  <c r="J28" i="2" s="1"/>
  <c r="N26" i="2"/>
  <c r="K27" i="2" s="1"/>
  <c r="F27" i="2" l="1"/>
  <c r="G28" i="2" l="1"/>
  <c r="P28" i="2"/>
  <c r="Q28" i="2" s="1"/>
  <c r="R28" i="2" l="1"/>
  <c r="O28" i="2" s="1"/>
  <c r="J29" i="2" s="1"/>
  <c r="N27" i="2"/>
  <c r="K28" i="2" s="1"/>
  <c r="F28" i="2" l="1"/>
  <c r="G29" i="2" l="1"/>
  <c r="P29" i="2"/>
  <c r="Q29" i="2" s="1"/>
  <c r="R29" i="2" l="1"/>
  <c r="O29" i="2" s="1"/>
  <c r="J30" i="2" s="1"/>
  <c r="N28" i="2"/>
  <c r="K29" i="2" s="1"/>
  <c r="F29" i="2" l="1"/>
  <c r="G30" i="2" l="1"/>
  <c r="P30" i="2"/>
  <c r="Q30" i="2" s="1"/>
  <c r="R30" i="2" l="1"/>
  <c r="O30" i="2" s="1"/>
  <c r="J31" i="2" s="1"/>
  <c r="N29" i="2"/>
  <c r="K30" i="2" s="1"/>
  <c r="F30" i="2" l="1"/>
  <c r="G31" i="2" l="1"/>
  <c r="P31" i="2"/>
  <c r="Q31" i="2" s="1"/>
  <c r="R31" i="2" l="1"/>
  <c r="O31" i="2" s="1"/>
  <c r="J32" i="2" s="1"/>
  <c r="N30" i="2"/>
  <c r="K31" i="2" s="1"/>
  <c r="F31" i="2" l="1"/>
  <c r="G32" i="2" l="1"/>
  <c r="P32" i="2"/>
  <c r="Q32" i="2" s="1"/>
  <c r="R32" i="2" l="1"/>
  <c r="O32" i="2" s="1"/>
  <c r="J33" i="2" s="1"/>
  <c r="N31" i="2"/>
  <c r="K32" i="2" s="1"/>
  <c r="F32" i="2" l="1"/>
  <c r="G33" i="2" l="1"/>
  <c r="P33" i="2"/>
  <c r="Q33" i="2" s="1"/>
  <c r="R33" i="2" l="1"/>
  <c r="O33" i="2" s="1"/>
  <c r="J34" i="2" s="1"/>
  <c r="N32" i="2"/>
  <c r="K33" i="2" s="1"/>
  <c r="F33" i="2" l="1"/>
  <c r="G34" i="2" l="1"/>
  <c r="P34" i="2"/>
  <c r="Q34" i="2" s="1"/>
  <c r="R34" i="2" l="1"/>
  <c r="O34" i="2" s="1"/>
  <c r="N33" i="2"/>
  <c r="K34" i="2" s="1"/>
  <c r="N34" i="2" l="1"/>
  <c r="F34" i="2"/>
</calcChain>
</file>

<file path=xl/sharedStrings.xml><?xml version="1.0" encoding="utf-8"?>
<sst xmlns="http://schemas.openxmlformats.org/spreadsheetml/2006/main" count="180" uniqueCount="112">
  <si>
    <t>迭代式</t>
    <phoneticPr fontId="1" type="noConversion"/>
  </si>
  <si>
    <t>V1</t>
    <phoneticPr fontId="1" type="noConversion"/>
  </si>
  <si>
    <t>V2</t>
    <phoneticPr fontId="1" type="noConversion"/>
  </si>
  <si>
    <t>V3</t>
    <phoneticPr fontId="1" type="noConversion"/>
  </si>
  <si>
    <t>Z12</t>
    <phoneticPr fontId="1" type="noConversion"/>
  </si>
  <si>
    <t>Z23</t>
    <phoneticPr fontId="1" type="noConversion"/>
  </si>
  <si>
    <t>Z13</t>
    <phoneticPr fontId="1" type="noConversion"/>
  </si>
  <si>
    <t>實部</t>
    <phoneticPr fontId="1" type="noConversion"/>
  </si>
  <si>
    <t>虛部</t>
    <phoneticPr fontId="1" type="noConversion"/>
  </si>
  <si>
    <t>Y12</t>
    <phoneticPr fontId="1" type="noConversion"/>
  </si>
  <si>
    <t>Y23</t>
    <phoneticPr fontId="1" type="noConversion"/>
  </si>
  <si>
    <t>Y31</t>
    <phoneticPr fontId="1" type="noConversion"/>
  </si>
  <si>
    <t>Y11</t>
    <phoneticPr fontId="1" type="noConversion"/>
  </si>
  <si>
    <t>Y13</t>
    <phoneticPr fontId="1" type="noConversion"/>
  </si>
  <si>
    <t>Y21</t>
    <phoneticPr fontId="1" type="noConversion"/>
  </si>
  <si>
    <t>Y22</t>
    <phoneticPr fontId="1" type="noConversion"/>
  </si>
  <si>
    <t>Y32</t>
    <phoneticPr fontId="1" type="noConversion"/>
  </si>
  <si>
    <t>Y33</t>
    <phoneticPr fontId="1" type="noConversion"/>
  </si>
  <si>
    <t>Ybus</t>
  </si>
  <si>
    <t>S2</t>
    <phoneticPr fontId="1" type="noConversion"/>
  </si>
  <si>
    <t>S3</t>
    <phoneticPr fontId="1" type="noConversion"/>
  </si>
  <si>
    <t>P</t>
    <phoneticPr fontId="1" type="noConversion"/>
  </si>
  <si>
    <t>jQ</t>
    <phoneticPr fontId="1" type="noConversion"/>
  </si>
  <si>
    <t>y12</t>
    <phoneticPr fontId="1" type="noConversion"/>
  </si>
  <si>
    <t>y23</t>
    <phoneticPr fontId="1" type="noConversion"/>
  </si>
  <si>
    <t>y31</t>
    <phoneticPr fontId="1" type="noConversion"/>
  </si>
  <si>
    <t>實+虛部</t>
    <phoneticPr fontId="1" type="noConversion"/>
  </si>
  <si>
    <t>V2(n-1)</t>
    <phoneticPr fontId="1" type="noConversion"/>
  </si>
  <si>
    <t>V3(n-1)</t>
    <phoneticPr fontId="1" type="noConversion"/>
  </si>
  <si>
    <t>https://www.readhouse.net/articles/9889392/</t>
    <phoneticPr fontId="1" type="noConversion"/>
  </si>
  <si>
    <r>
      <t>公式</t>
    </r>
    <r>
      <rPr>
        <b/>
        <sz val="12"/>
        <color rgb="FF222222"/>
        <rFont val="Arial"/>
        <family val="2"/>
      </rPr>
      <t>=COMPLEX(2,4,"j")，</t>
    </r>
    <r>
      <rPr>
        <sz val="12"/>
        <color rgb="FF222222"/>
        <rFont val="Arial"/>
        <family val="2"/>
      </rPr>
      <t>來建立複數</t>
    </r>
    <r>
      <rPr>
        <b/>
        <sz val="12"/>
        <color rgb="FF222222"/>
        <rFont val="Arial"/>
        <family val="2"/>
      </rPr>
      <t>2+4j</t>
    </r>
  </si>
  <si>
    <r>
      <t>公式</t>
    </r>
    <r>
      <rPr>
        <b/>
        <sz val="12"/>
        <color rgb="FF222222"/>
        <rFont val="Arial"/>
        <family val="2"/>
      </rPr>
      <t>=IMAGINARY(A2)，</t>
    </r>
    <r>
      <rPr>
        <sz val="12"/>
        <color rgb="FF222222"/>
        <rFont val="Arial"/>
        <family val="2"/>
      </rPr>
      <t>求出複數的虛部</t>
    </r>
  </si>
  <si>
    <r>
      <t>公式</t>
    </r>
    <r>
      <rPr>
        <b/>
        <sz val="12"/>
        <color rgb="FF222222"/>
        <rFont val="Arial"/>
        <family val="2"/>
      </rPr>
      <t>=IMREAL(A2)，</t>
    </r>
    <r>
      <rPr>
        <sz val="12"/>
        <color rgb="FF222222"/>
        <rFont val="Arial"/>
        <family val="2"/>
      </rPr>
      <t>求出複數的實部</t>
    </r>
  </si>
  <si>
    <r>
      <t>公式</t>
    </r>
    <r>
      <rPr>
        <b/>
        <sz val="12"/>
        <color rgb="FF222222"/>
        <rFont val="Arial"/>
        <family val="2"/>
      </rPr>
      <t>=IMABS(A2)，</t>
    </r>
    <r>
      <rPr>
        <sz val="12"/>
        <color rgb="FF222222"/>
        <rFont val="Arial"/>
        <family val="2"/>
      </rPr>
      <t>求出模，即複數的絕對值</t>
    </r>
  </si>
  <si>
    <r>
      <t>公式</t>
    </r>
    <r>
      <rPr>
        <b/>
        <sz val="12"/>
        <color rgb="FF222222"/>
        <rFont val="Arial"/>
        <family val="2"/>
      </rPr>
      <t>=IMCONJUGATE(A2)，</t>
    </r>
    <r>
      <rPr>
        <sz val="12"/>
        <color rgb="FF222222"/>
        <rFont val="Arial"/>
        <family val="2"/>
      </rPr>
      <t>求出共軛複數</t>
    </r>
  </si>
  <si>
    <r>
      <t>公式</t>
    </r>
    <r>
      <rPr>
        <b/>
        <sz val="12"/>
        <color rgb="FF222222"/>
        <rFont val="Arial"/>
        <family val="2"/>
      </rPr>
      <t>=IMSUM(A2,B2)，</t>
    </r>
    <r>
      <rPr>
        <sz val="12"/>
        <color rgb="FF222222"/>
        <rFont val="Arial"/>
        <family val="2"/>
      </rPr>
      <t>得到複數的和</t>
    </r>
  </si>
  <si>
    <r>
      <t>公式</t>
    </r>
    <r>
      <rPr>
        <b/>
        <sz val="12"/>
        <color rgb="FF222222"/>
        <rFont val="Arial"/>
        <family val="2"/>
      </rPr>
      <t>=IMSUB(A2,B2)，</t>
    </r>
    <r>
      <rPr>
        <sz val="12"/>
        <color rgb="FF222222"/>
        <rFont val="Arial"/>
        <family val="2"/>
      </rPr>
      <t>求出複數的差</t>
    </r>
  </si>
  <si>
    <r>
      <t>公式</t>
    </r>
    <r>
      <rPr>
        <b/>
        <sz val="12"/>
        <color rgb="FF222222"/>
        <rFont val="Arial"/>
        <family val="2"/>
      </rPr>
      <t>=IMPRODUCT(A2,B2)，</t>
    </r>
    <r>
      <rPr>
        <sz val="12"/>
        <color rgb="FF222222"/>
        <rFont val="Arial"/>
        <family val="2"/>
      </rPr>
      <t>求出複數的乘積</t>
    </r>
  </si>
  <si>
    <r>
      <t>公式</t>
    </r>
    <r>
      <rPr>
        <b/>
        <sz val="12"/>
        <color rgb="FF222222"/>
        <rFont val="Arial"/>
        <family val="2"/>
      </rPr>
      <t>=IMDIV(A2,B2)，</t>
    </r>
    <r>
      <rPr>
        <sz val="12"/>
        <color rgb="FF222222"/>
        <rFont val="Arial"/>
        <family val="2"/>
      </rPr>
      <t>來求出兩個複數之間的商</t>
    </r>
  </si>
  <si>
    <t>6_8</t>
    <phoneticPr fontId="1" type="noConversion"/>
  </si>
  <si>
    <t>P-jQ</t>
    <phoneticPr fontId="1" type="noConversion"/>
  </si>
  <si>
    <t>P3-jQ3</t>
    <phoneticPr fontId="1" type="noConversion"/>
  </si>
  <si>
    <t>V3</t>
    <phoneticPr fontId="1" type="noConversion"/>
  </si>
  <si>
    <t>V2ε</t>
    <phoneticPr fontId="1" type="noConversion"/>
  </si>
  <si>
    <r>
      <t>V3</t>
    </r>
    <r>
      <rPr>
        <sz val="12"/>
        <color theme="1"/>
        <rFont val="Calibri"/>
        <family val="2"/>
        <charset val="161"/>
      </rPr>
      <t>ε</t>
    </r>
    <phoneticPr fontId="1" type="noConversion"/>
  </si>
  <si>
    <r>
      <rPr>
        <sz val="12"/>
        <color rgb="FF222222"/>
        <rFont val="微軟正黑體"/>
        <family val="2"/>
        <charset val="136"/>
      </rPr>
      <t>公</t>
    </r>
    <r>
      <rPr>
        <b/>
        <sz val="12"/>
        <color rgb="FF222222"/>
        <rFont val="微軟正黑體"/>
        <family val="2"/>
        <charset val="136"/>
      </rPr>
      <t>式</t>
    </r>
    <r>
      <rPr>
        <b/>
        <sz val="12"/>
        <color rgb="FF222222"/>
        <rFont val="Arial"/>
        <family val="2"/>
      </rPr>
      <t>=DEGREES(IMARGUMENT(A2))</t>
    </r>
    <r>
      <rPr>
        <b/>
        <sz val="12"/>
        <color rgb="FF222222"/>
        <rFont val="微軟正黑體"/>
        <family val="2"/>
        <charset val="136"/>
      </rPr>
      <t>。</t>
    </r>
    <r>
      <rPr>
        <sz val="12"/>
        <color rgb="FF222222"/>
        <rFont val="微軟正黑體"/>
        <family val="2"/>
        <charset val="136"/>
      </rPr>
      <t>來求出複數的角度</t>
    </r>
    <phoneticPr fontId="1" type="noConversion"/>
  </si>
  <si>
    <t>收斂結果</t>
    <phoneticPr fontId="1" type="noConversion"/>
  </si>
  <si>
    <t>V2</t>
    <phoneticPr fontId="1" type="noConversion"/>
  </si>
  <si>
    <t>Q3</t>
    <phoneticPr fontId="1" type="noConversion"/>
  </si>
  <si>
    <t>Ⅱ</t>
  </si>
  <si>
    <t>S</t>
    <phoneticPr fontId="1" type="noConversion"/>
  </si>
  <si>
    <t>SL</t>
    <phoneticPr fontId="1" type="noConversion"/>
  </si>
  <si>
    <t>S1</t>
    <phoneticPr fontId="1" type="noConversion"/>
  </si>
  <si>
    <r>
      <t>V3*cos</t>
    </r>
    <r>
      <rPr>
        <sz val="12"/>
        <color theme="1"/>
        <rFont val="Calibri"/>
        <family val="2"/>
        <charset val="161"/>
      </rPr>
      <t>θ</t>
    </r>
    <phoneticPr fontId="1" type="noConversion"/>
  </si>
  <si>
    <r>
      <t>V3*sin</t>
    </r>
    <r>
      <rPr>
        <sz val="12"/>
        <color theme="1"/>
        <rFont val="Calibri"/>
        <family val="2"/>
        <charset val="161"/>
      </rPr>
      <t>θ</t>
    </r>
    <phoneticPr fontId="1" type="noConversion"/>
  </si>
  <si>
    <t>V3修正角度</t>
    <phoneticPr fontId="1" type="noConversion"/>
  </si>
  <si>
    <t>自填(公式)</t>
    <phoneticPr fontId="1" type="noConversion"/>
  </si>
  <si>
    <t>MVAB</t>
    <phoneticPr fontId="1" type="noConversion"/>
  </si>
  <si>
    <t>S3</t>
    <phoneticPr fontId="1" type="noConversion"/>
  </si>
  <si>
    <t>6_12</t>
    <phoneticPr fontId="1" type="noConversion"/>
  </si>
  <si>
    <t>Q2</t>
    <phoneticPr fontId="1" type="noConversion"/>
  </si>
  <si>
    <t>P2-jQ2</t>
    <phoneticPr fontId="1" type="noConversion"/>
  </si>
  <si>
    <t>V2修正角度</t>
    <phoneticPr fontId="1" type="noConversion"/>
  </si>
  <si>
    <r>
      <t>V2*sin</t>
    </r>
    <r>
      <rPr>
        <sz val="12"/>
        <color theme="1"/>
        <rFont val="Calibri"/>
        <family val="2"/>
        <charset val="161"/>
      </rPr>
      <t>θ</t>
    </r>
    <phoneticPr fontId="1" type="noConversion"/>
  </si>
  <si>
    <t>第幾格收斂</t>
    <phoneticPr fontId="1" type="noConversion"/>
  </si>
  <si>
    <t>大小</t>
    <phoneticPr fontId="1" type="noConversion"/>
  </si>
  <si>
    <t>角度</t>
    <phoneticPr fontId="1" type="noConversion"/>
  </si>
  <si>
    <t>徑度</t>
    <phoneticPr fontId="1" type="noConversion"/>
  </si>
  <si>
    <t>輸電線</t>
    <phoneticPr fontId="1" type="noConversion"/>
  </si>
  <si>
    <t>l</t>
    <phoneticPr fontId="1" type="noConversion"/>
  </si>
  <si>
    <t>z</t>
    <phoneticPr fontId="1" type="noConversion"/>
  </si>
  <si>
    <t>y</t>
    <phoneticPr fontId="1" type="noConversion"/>
  </si>
  <si>
    <t>╔</t>
    <phoneticPr fontId="1" type="noConversion"/>
  </si>
  <si>
    <t>╚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</si>
  <si>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</si>
  <si>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</si>
  <si>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</si>
  <si>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</si>
  <si>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╗</t>
    <phoneticPr fontId="1" type="noConversion"/>
  </si>
  <si>
    <t>╝</t>
    <phoneticPr fontId="1" type="noConversion"/>
  </si>
  <si>
    <t>￣</t>
    <phoneticPr fontId="1" type="noConversion"/>
  </si>
  <si>
    <t>＿</t>
    <phoneticPr fontId="1" type="noConversion"/>
  </si>
  <si>
    <r>
      <rPr>
        <sz val="16"/>
        <color theme="1"/>
        <rFont val="新細明體"/>
        <family val="1"/>
        <charset val="136"/>
        <scheme val="minor"/>
      </rPr>
      <t>V</t>
    </r>
    <r>
      <rPr>
        <sz val="8"/>
        <color theme="1"/>
        <rFont val="新細明體"/>
        <family val="1"/>
        <charset val="136"/>
        <scheme val="minor"/>
      </rPr>
      <t>R</t>
    </r>
    <phoneticPr fontId="1" type="noConversion"/>
  </si>
  <si>
    <r>
      <rPr>
        <sz val="16"/>
        <color theme="1"/>
        <rFont val="新細明體"/>
        <family val="1"/>
        <charset val="136"/>
        <scheme val="minor"/>
      </rPr>
      <t>S</t>
    </r>
    <r>
      <rPr>
        <sz val="8"/>
        <color theme="1"/>
        <rFont val="新細明體"/>
        <family val="1"/>
        <charset val="136"/>
        <scheme val="minor"/>
      </rPr>
      <t>R</t>
    </r>
    <phoneticPr fontId="1" type="noConversion"/>
  </si>
  <si>
    <r>
      <rPr>
        <sz val="16"/>
        <color theme="1"/>
        <rFont val="新細明體"/>
        <family val="1"/>
        <charset val="136"/>
        <scheme val="minor"/>
      </rPr>
      <t>I</t>
    </r>
    <r>
      <rPr>
        <sz val="8"/>
        <color theme="1"/>
        <rFont val="新細明體"/>
        <family val="1"/>
        <charset val="136"/>
        <scheme val="minor"/>
      </rPr>
      <t>R</t>
    </r>
    <phoneticPr fontId="1" type="noConversion"/>
  </si>
  <si>
    <t>參考點</t>
    <phoneticPr fontId="1" type="noConversion"/>
  </si>
  <si>
    <r>
      <rPr>
        <sz val="16"/>
        <color theme="1"/>
        <rFont val="新細明體"/>
        <family val="1"/>
        <charset val="136"/>
        <scheme val="minor"/>
      </rPr>
      <t>V</t>
    </r>
    <r>
      <rPr>
        <sz val="8"/>
        <color theme="1"/>
        <rFont val="新細明體"/>
        <family val="1"/>
        <charset val="136"/>
        <scheme val="minor"/>
      </rPr>
      <t>S</t>
    </r>
    <phoneticPr fontId="1" type="noConversion"/>
  </si>
  <si>
    <r>
      <rPr>
        <sz val="16"/>
        <color theme="1"/>
        <rFont val="新細明體"/>
        <family val="1"/>
        <charset val="136"/>
        <scheme val="minor"/>
      </rPr>
      <t>I</t>
    </r>
    <r>
      <rPr>
        <sz val="8"/>
        <color theme="1"/>
        <rFont val="新細明體"/>
        <family val="1"/>
        <charset val="136"/>
        <scheme val="minor"/>
      </rPr>
      <t>S</t>
    </r>
    <phoneticPr fontId="1" type="noConversion"/>
  </si>
  <si>
    <r>
      <rPr>
        <sz val="16"/>
        <color theme="1"/>
        <rFont val="新細明體"/>
        <family val="1"/>
        <charset val="136"/>
        <scheme val="minor"/>
      </rPr>
      <t>S</t>
    </r>
    <r>
      <rPr>
        <sz val="8"/>
        <color theme="1"/>
        <rFont val="新細明體"/>
        <family val="1"/>
        <charset val="136"/>
        <scheme val="minor"/>
      </rPr>
      <t>S</t>
    </r>
    <phoneticPr fontId="1" type="noConversion"/>
  </si>
  <si>
    <r>
      <rPr>
        <sz val="16"/>
        <color theme="1"/>
        <rFont val="新細明體"/>
        <family val="1"/>
        <charset val="136"/>
        <scheme val="minor"/>
      </rPr>
      <t>V</t>
    </r>
    <r>
      <rPr>
        <sz val="8"/>
        <color theme="1"/>
        <rFont val="新細明體"/>
        <family val="1"/>
        <charset val="136"/>
        <scheme val="minor"/>
      </rPr>
      <t>RNL</t>
    </r>
    <phoneticPr fontId="1" type="noConversion"/>
  </si>
  <si>
    <t>VR%</t>
    <phoneticPr fontId="1" type="noConversion"/>
  </si>
  <si>
    <t>中程</t>
    <phoneticPr fontId="1" type="noConversion"/>
  </si>
  <si>
    <t>長程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</si>
  <si>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</si>
  <si>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</si>
  <si>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</si>
  <si>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</si>
  <si>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L</t>
    <phoneticPr fontId="1" type="noConversion"/>
  </si>
  <si>
    <t>R</t>
    <phoneticPr fontId="1" type="noConversion"/>
  </si>
  <si>
    <r>
      <rPr>
        <sz val="16"/>
        <color theme="1"/>
        <rFont val="新細明體"/>
        <family val="1"/>
        <charset val="136"/>
        <scheme val="minor"/>
      </rPr>
      <t>V</t>
    </r>
    <r>
      <rPr>
        <sz val="8"/>
        <color theme="1"/>
        <rFont val="新細明體"/>
        <family val="1"/>
        <charset val="136"/>
        <scheme val="minor"/>
      </rPr>
      <t>R</t>
    </r>
    <r>
      <rPr>
        <sz val="14"/>
        <color theme="1"/>
        <rFont val="新細明體"/>
        <family val="1"/>
        <charset val="136"/>
        <scheme val="minor"/>
      </rPr>
      <t>(KV)</t>
    </r>
    <phoneticPr fontId="1" type="noConversion"/>
  </si>
  <si>
    <r>
      <rPr>
        <sz val="16"/>
        <color theme="1"/>
        <rFont val="新細明體"/>
        <family val="1"/>
        <charset val="136"/>
        <scheme val="minor"/>
      </rPr>
      <t>S</t>
    </r>
    <r>
      <rPr>
        <sz val="8"/>
        <color theme="1"/>
        <rFont val="新細明體"/>
        <family val="1"/>
        <charset val="136"/>
        <scheme val="minor"/>
      </rPr>
      <t>R</t>
    </r>
    <r>
      <rPr>
        <sz val="14"/>
        <color theme="1"/>
        <rFont val="新細明體"/>
        <family val="1"/>
        <charset val="136"/>
        <scheme val="minor"/>
      </rPr>
      <t>(MVA)</t>
    </r>
    <phoneticPr fontId="1" type="noConversion"/>
  </si>
  <si>
    <r>
      <t>w=2</t>
    </r>
    <r>
      <rPr>
        <sz val="12"/>
        <color theme="1"/>
        <rFont val="Calibri"/>
        <family val="1"/>
        <charset val="161"/>
      </rPr>
      <t>π</t>
    </r>
    <r>
      <rPr>
        <sz val="12"/>
        <color theme="1"/>
        <rFont val="新細明體"/>
        <family val="1"/>
        <charset val="136"/>
      </rPr>
      <t>f</t>
    </r>
    <phoneticPr fontId="1" type="noConversion"/>
  </si>
  <si>
    <t>Z</t>
    <phoneticPr fontId="1" type="noConversion"/>
  </si>
  <si>
    <t>Y</t>
    <phoneticPr fontId="1" type="noConversion"/>
  </si>
  <si>
    <t>PF</t>
    <phoneticPr fontId="1" type="noConversion"/>
  </si>
  <si>
    <t>角度</t>
    <phoneticPr fontId="1" type="noConversion"/>
  </si>
  <si>
    <t>大小</t>
    <phoneticPr fontId="1" type="noConversion"/>
  </si>
  <si>
    <t>向量</t>
    <phoneticPr fontId="1" type="noConversion"/>
  </si>
  <si>
    <r>
      <t>送電端</t>
    </r>
    <r>
      <rPr>
        <sz val="16"/>
        <color theme="1"/>
        <rFont val="新細明體"/>
        <family val="1"/>
        <charset val="136"/>
        <scheme val="minor"/>
      </rPr>
      <t>V</t>
    </r>
    <r>
      <rPr>
        <sz val="8"/>
        <color theme="1"/>
        <rFont val="新細明體"/>
        <family val="1"/>
        <charset val="136"/>
        <scheme val="minor"/>
      </rPr>
      <t>S</t>
    </r>
    <phoneticPr fontId="1" type="noConversion"/>
  </si>
  <si>
    <t>r</t>
    <phoneticPr fontId="1" type="noConversion"/>
  </si>
  <si>
    <t>rl</t>
    <phoneticPr fontId="1" type="noConversion"/>
  </si>
  <si>
    <r>
      <rPr>
        <sz val="16"/>
        <color theme="1"/>
        <rFont val="新細明體"/>
        <family val="1"/>
        <charset val="136"/>
        <scheme val="minor"/>
      </rPr>
      <t>Z</t>
    </r>
    <r>
      <rPr>
        <sz val="8"/>
        <color theme="1"/>
        <rFont val="新細明體"/>
        <family val="1"/>
        <charset val="136"/>
        <scheme val="minor"/>
      </rPr>
      <t>C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</si>
</sst>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2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rgb="FF222222"/>
      <name val="Arial"/>
      <family val="2"/>
    </font>
    <font>
      <b/>
      <sz val="12"/>
      <color rgb="FF222222"/>
      <name val="Arial"/>
      <family val="2"/>
    </font>
    <font>
      <sz val="12"/>
      <color rgb="FF222222"/>
      <name val="微軟正黑體"/>
      <family val="2"/>
      <charset val="136"/>
    </font>
    <font>
      <b/>
      <sz val="12"/>
      <color rgb="FF222222"/>
      <name val="微軟正黑體"/>
      <family val="2"/>
      <charset val="136"/>
    </font>
    <font>
      <sz val="12"/>
      <color rgb="FF222222"/>
      <name val="Arial"/>
      <family val="2"/>
      <charset val="136"/>
    </font>
    <font>
      <sz val="12"/>
      <color theme="1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theme="1"/>
      <name val="Calibri"/>
      <family val="2"/>
      <charset val="161"/>
    </font>
    <font>
      <b/>
      <sz val="12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22"/>
      <color theme="1"/>
      <name val="STXingkai"/>
      <charset val="134"/>
    </font>
    <font>
      <sz val="16"/>
      <color theme="1"/>
      <name val="新細明體"/>
      <family val="2"/>
      <charset val="136"/>
      <scheme val="minor"/>
    </font>
    <font>
      <sz val="8"/>
      <color theme="1"/>
      <name val="新細明體"/>
      <family val="1"/>
      <charset val="136"/>
      <scheme val="minor"/>
    </font>
    <font>
      <sz val="14"/>
      <color theme="1"/>
      <name val="新細明體"/>
      <family val="1"/>
      <charset val="136"/>
      <scheme val="minor"/>
    </font>
    <font>
      <sz val="16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</font>
    <font>
      <sz val="12"/>
      <color theme="1"/>
      <name val="新細明體"/>
      <family val="1"/>
      <charset val="136"/>
    </font>
    <font>
      <sz val="12"/>
      <color theme="1"/>
      <name val="Calibri"/>
      <family val="1"/>
      <charset val="161"/>
    </font>
    <font>
      <b/>
      <sz val="12"/>
      <color rgb="FF006100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8" fillId="4" borderId="1" applyNumberFormat="0" applyFont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3" fillId="0" borderId="0" xfId="0" applyFont="1">
      <alignment vertical="center"/>
    </xf>
    <xf numFmtId="0" fontId="7" fillId="0" borderId="0" xfId="0" applyFont="1">
      <alignment vertical="center"/>
    </xf>
    <xf numFmtId="176" fontId="0" fillId="0" borderId="0" xfId="0" applyNumberForma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3" borderId="0" xfId="3" applyFont="1" applyAlignment="1">
      <alignment horizontal="center" vertical="center"/>
    </xf>
    <xf numFmtId="0" fontId="12" fillId="3" borderId="1" xfId="3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2" borderId="0" xfId="2" applyFont="1" applyAlignment="1">
      <alignment horizontal="center" vertical="center"/>
    </xf>
    <xf numFmtId="0" fontId="0" fillId="4" borderId="1" xfId="4" applyFont="1" applyAlignment="1">
      <alignment horizontal="center" vertical="center"/>
    </xf>
    <xf numFmtId="0" fontId="0" fillId="4" borderId="1" xfId="4" applyFont="1">
      <alignment vertical="center"/>
    </xf>
    <xf numFmtId="0" fontId="14" fillId="3" borderId="0" xfId="3" applyFont="1" applyAlignment="1">
      <alignment horizontal="center" vertical="center"/>
    </xf>
    <xf numFmtId="0" fontId="14" fillId="2" borderId="0" xfId="2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11" fontId="14" fillId="3" borderId="0" xfId="3" applyNumberFormat="1" applyFont="1" applyAlignment="1">
      <alignment horizontal="center" vertical="center"/>
    </xf>
    <xf numFmtId="0" fontId="24" fillId="2" borderId="0" xfId="2" applyFont="1" applyAlignment="1">
      <alignment horizontal="center" vertical="center"/>
    </xf>
  </cellXfs>
  <cellStyles count="5">
    <cellStyle name="一般" xfId="0" builtinId="0"/>
    <cellStyle name="中等" xfId="3" builtinId="28"/>
    <cellStyle name="好" xfId="2" builtinId="26"/>
    <cellStyle name="備註" xfId="4" builtinId="10"/>
    <cellStyle name="超連結" xfId="1" builtinId="8"/>
  </cellStyles>
  <dxfs count="7">
    <dxf>
      <fill>
        <patternFill>
          <bgColor theme="8" tint="0.39994506668294322"/>
        </patternFill>
      </fill>
    </dxf>
    <dxf>
      <fill>
        <patternFill>
          <bgColor theme="9"/>
        </patternFill>
      </fill>
    </dxf>
    <dxf/>
    <dxf>
      <fill>
        <patternFill>
          <bgColor theme="9"/>
        </patternFill>
      </fill>
    </dxf>
    <dxf>
      <fill>
        <patternFill>
          <bgColor theme="8" tint="0.39994506668294322"/>
        </patternFill>
      </fill>
    </dxf>
    <dxf>
      <fill>
        <patternFill>
          <bgColor theme="9"/>
        </patternFill>
      </fill>
    </dxf>
    <dxf>
      <fill>
        <patternFill>
          <bgColor theme="8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readhouse.net/articles/9889392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readhouse.net/articles/9889392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CE655-6FB2-4B55-B1F6-585DBC619C3D}">
  <dimension ref="A1:S63"/>
  <sheetViews>
    <sheetView topLeftCell="A40" zoomScaleNormal="100" workbookViewId="0">
      <selection activeCell="A55" sqref="A55"/>
    </sheetView>
  </sheetViews>
  <sheetFormatPr defaultRowHeight="16.5"/>
  <cols>
    <col min="1" max="1" width="12.75" style="1" customWidth="1"/>
    <col min="2" max="2" width="42.125" style="1" customWidth="1"/>
    <col min="3" max="3" width="40.25" style="1" customWidth="1"/>
    <col min="4" max="4" width="39.75" style="1" customWidth="1"/>
    <col min="5" max="5" width="9" style="1"/>
    <col min="6" max="6" width="12.625" style="1" customWidth="1"/>
    <col min="7" max="7" width="14.5" style="1" customWidth="1"/>
    <col min="8" max="8" width="8" customWidth="1"/>
    <col min="9" max="9" width="9" style="1"/>
    <col min="10" max="10" width="37.875" style="1" customWidth="1"/>
    <col min="11" max="11" width="11.375" style="1" customWidth="1"/>
    <col min="12" max="12" width="39.5" style="1" customWidth="1"/>
    <col min="13" max="13" width="7.875" customWidth="1"/>
    <col min="14" max="14" width="20" style="1" customWidth="1"/>
    <col min="15" max="15" width="35.125" style="1" customWidth="1"/>
    <col min="16" max="18" width="13" style="1" customWidth="1"/>
    <col min="20" max="16384" width="9" style="1"/>
  </cols>
  <sheetData>
    <row r="1" spans="1:18">
      <c r="A1" s="5" t="s">
        <v>39</v>
      </c>
      <c r="H1" s="12"/>
      <c r="I1" s="11"/>
      <c r="J1" s="11"/>
      <c r="K1" s="11"/>
      <c r="L1" s="11"/>
      <c r="M1" s="12"/>
    </row>
    <row r="2" spans="1:18">
      <c r="A2" s="1" t="s">
        <v>0</v>
      </c>
      <c r="B2" s="1" t="s">
        <v>7</v>
      </c>
      <c r="C2" s="1" t="s">
        <v>8</v>
      </c>
      <c r="D2" s="1" t="s">
        <v>26</v>
      </c>
      <c r="F2" s="6" t="s">
        <v>43</v>
      </c>
      <c r="G2" s="1" t="s">
        <v>44</v>
      </c>
      <c r="H2" s="12"/>
      <c r="J2" s="1" t="s">
        <v>47</v>
      </c>
      <c r="K2" s="1" t="s">
        <v>48</v>
      </c>
      <c r="L2" s="1" t="s">
        <v>42</v>
      </c>
      <c r="M2" s="12"/>
      <c r="N2" s="1" t="s">
        <v>41</v>
      </c>
      <c r="O2" s="1" t="s">
        <v>28</v>
      </c>
      <c r="P2" s="1" t="s">
        <v>55</v>
      </c>
      <c r="Q2" s="1" t="s">
        <v>53</v>
      </c>
      <c r="R2" s="1" t="s">
        <v>54</v>
      </c>
    </row>
    <row r="3" spans="1:18">
      <c r="A3" s="1" t="s">
        <v>1</v>
      </c>
      <c r="B3" s="7">
        <v>1.05</v>
      </c>
      <c r="C3" s="7">
        <v>0</v>
      </c>
      <c r="D3" s="1" t="str">
        <f>COMPLEX(B3,C3,"j")</f>
        <v>1.05</v>
      </c>
      <c r="F3" s="6">
        <v>0</v>
      </c>
      <c r="G3" s="1">
        <v>0</v>
      </c>
      <c r="H3" s="12"/>
      <c r="I3" s="1">
        <v>0</v>
      </c>
      <c r="J3" s="1" t="str">
        <f>D4</f>
        <v>1</v>
      </c>
      <c r="K3" s="1">
        <f t="shared" ref="K3:K34" si="0">-IMAGINARY(IMPRODUCT((IMSUM((IMPRODUCT($D$50,$D$3)),(IMPRODUCT($D$51,J4)),(IMPRODUCT($D$52,O3)))),O3))</f>
        <v>1.1599999999999799</v>
      </c>
      <c r="L3" s="1" t="str">
        <f>D5</f>
        <v>1.04</v>
      </c>
      <c r="M3" s="12"/>
      <c r="N3" s="1" t="str">
        <f t="shared" ref="N3:N34" si="1">COMPLEX($B$9,-K3,"j")</f>
        <v>2-1.15999999999998j</v>
      </c>
      <c r="O3" s="1" t="str">
        <f>D5</f>
        <v>1.04</v>
      </c>
    </row>
    <row r="4" spans="1:18">
      <c r="A4" s="1" t="s">
        <v>2</v>
      </c>
      <c r="B4" s="7">
        <v>1</v>
      </c>
      <c r="C4" s="7">
        <v>0</v>
      </c>
      <c r="D4" s="1" t="str">
        <f t="shared" ref="D4:D13" si="2">COMPLEX(B4,C4,"j")</f>
        <v>1</v>
      </c>
      <c r="F4" s="1">
        <f>IMABS(IMSUB(0,J3))</f>
        <v>1</v>
      </c>
      <c r="G4" s="1">
        <f>IMABS(IMSUB(L3,0))</f>
        <v>1.04</v>
      </c>
      <c r="H4" s="12"/>
      <c r="I4" s="1">
        <v>1</v>
      </c>
      <c r="J4" s="1" t="str">
        <f t="shared" ref="J4:J34" si="3">IMDIV((IMSUB(IMSUB((IMDIV($D$8,IMCONJUGATE(J3))),(IMPRODUCT($D$46,$D$3))),(IMPRODUCT($D$48,O3)))),$D$47)</f>
        <v>0.974615384615385-0.0423076923076923j</v>
      </c>
      <c r="K4" s="1">
        <f t="shared" si="0"/>
        <v>1.4101672889842101</v>
      </c>
      <c r="L4" s="1" t="str">
        <f t="shared" ref="L4:L34" si="4">IMDIV((IMSUB(IMSUB((IMDIV(N3,IMCONJUGATE(O3))),(IMPRODUCT($D$50,$D$3))),(IMPRODUCT($D$51,J4)))),$D$52)</f>
        <v>1.03783185840708-0.00517018379850273j</v>
      </c>
      <c r="M4" s="12"/>
      <c r="N4" s="1" t="str">
        <f t="shared" si="1"/>
        <v>2-1.41016728898421j</v>
      </c>
      <c r="O4" s="1" t="str">
        <f>COMPLEX(Q4,R4,"j")</f>
        <v>1.04-0.0051809205762946j</v>
      </c>
      <c r="P4" s="1">
        <f t="shared" ref="P4:P34" si="5">(IMARGUMENT(L4))</f>
        <v>-4.9816750053670866E-3</v>
      </c>
      <c r="Q4" s="1">
        <f>B5</f>
        <v>1.04</v>
      </c>
      <c r="R4" s="1">
        <f t="shared" ref="R4:R34" si="6">$B$5*SIN(P4)</f>
        <v>-5.1809205762945966E-3</v>
      </c>
    </row>
    <row r="5" spans="1:18">
      <c r="A5" s="1" t="s">
        <v>3</v>
      </c>
      <c r="B5" s="7">
        <v>1.04</v>
      </c>
      <c r="C5" s="7">
        <v>0</v>
      </c>
      <c r="D5" s="1" t="str">
        <f t="shared" si="2"/>
        <v>1.04</v>
      </c>
      <c r="F5" s="1">
        <f t="shared" ref="F5:F33" si="7">IMABS(IMSUB(J4,J5))</f>
        <v>3.7261436459409968E-3</v>
      </c>
      <c r="G5" s="1">
        <f t="shared" ref="G5:G33" si="8">IMABS(IMSUB(L5,L4))</f>
        <v>2.7366371074740588E-3</v>
      </c>
      <c r="H5" s="12"/>
      <c r="I5" s="1">
        <v>2</v>
      </c>
      <c r="J5" s="1" t="str">
        <f t="shared" si="3"/>
        <v>0.971064968082678-0.0434384835857215j</v>
      </c>
      <c r="K5" s="1">
        <f t="shared" si="0"/>
        <v>1.4616819072463501</v>
      </c>
      <c r="L5" s="1" t="str">
        <f t="shared" si="4"/>
        <v>1.03937804225017-0.00742816922391444j</v>
      </c>
      <c r="M5" s="12"/>
      <c r="N5" s="1" t="str">
        <f t="shared" si="1"/>
        <v>2-1.46168190724635j</v>
      </c>
      <c r="O5" s="1" t="str">
        <f t="shared" ref="O5:O34" si="9">COMPLEX(Q5,R5,"j")</f>
        <v>1.04-0.00743242439032639j</v>
      </c>
      <c r="P5" s="1">
        <f t="shared" si="5"/>
        <v>-7.146622748313178E-3</v>
      </c>
      <c r="Q5" s="1">
        <f>B5</f>
        <v>1.04</v>
      </c>
      <c r="R5" s="1">
        <f t="shared" si="6"/>
        <v>-7.4324243903263858E-3</v>
      </c>
    </row>
    <row r="6" spans="1:18">
      <c r="F6" s="1">
        <f t="shared" si="7"/>
        <v>1.4680766198063645E-3</v>
      </c>
      <c r="G6" s="1">
        <f t="shared" si="8"/>
        <v>1.27683495739321E-3</v>
      </c>
      <c r="H6" s="12"/>
      <c r="I6" s="1">
        <v>3</v>
      </c>
      <c r="J6" s="1" t="str">
        <f t="shared" si="3"/>
        <v>0.970749832832218-0.04487233808864j</v>
      </c>
      <c r="K6" s="1">
        <f t="shared" si="0"/>
        <v>1.4866036096970601</v>
      </c>
      <c r="L6" s="1" t="str">
        <f t="shared" si="4"/>
        <v>1.039978276126-0.0085551238825975j</v>
      </c>
      <c r="M6" s="12"/>
      <c r="N6" s="1" t="str">
        <f t="shared" si="1"/>
        <v>2-1.48660360969706j</v>
      </c>
      <c r="O6" s="1" t="str">
        <f t="shared" si="9"/>
        <v>1.04-0.00855501312943637j</v>
      </c>
      <c r="P6" s="1">
        <f t="shared" si="5"/>
        <v>-8.2260669364316048E-3</v>
      </c>
      <c r="Q6" s="1">
        <f>B5</f>
        <v>1.04</v>
      </c>
      <c r="R6" s="1">
        <f t="shared" si="6"/>
        <v>-8.5550131294363681E-3</v>
      </c>
    </row>
    <row r="7" spans="1:18">
      <c r="B7" s="1" t="s">
        <v>21</v>
      </c>
      <c r="C7" s="1" t="s">
        <v>22</v>
      </c>
      <c r="D7" s="1" t="s">
        <v>40</v>
      </c>
      <c r="F7" s="1">
        <f t="shared" si="7"/>
        <v>5.9750605842550872E-4</v>
      </c>
      <c r="G7" s="1">
        <f t="shared" si="8"/>
        <v>5.8923630987545346E-4</v>
      </c>
      <c r="H7" s="12"/>
      <c r="I7" s="1">
        <v>4</v>
      </c>
      <c r="J7" s="1" t="str">
        <f t="shared" si="3"/>
        <v>0.970671134387739-0.0454646387257254j</v>
      </c>
      <c r="K7" s="1">
        <f t="shared" si="0"/>
        <v>1.4972086436538601</v>
      </c>
      <c r="L7" s="1" t="str">
        <f t="shared" si="4"/>
        <v>1.04030423795364-0.00904598874770516j</v>
      </c>
      <c r="M7" s="12"/>
      <c r="N7" s="1" t="str">
        <f t="shared" si="1"/>
        <v>2-1.49720864365386j</v>
      </c>
      <c r="O7" s="1" t="str">
        <f t="shared" si="9"/>
        <v>1.04-0.00904300136604123j</v>
      </c>
      <c r="P7" s="1">
        <f t="shared" si="5"/>
        <v>-8.6953031936245657E-3</v>
      </c>
      <c r="Q7" s="1">
        <f>B5</f>
        <v>1.04</v>
      </c>
      <c r="R7" s="1">
        <f t="shared" si="6"/>
        <v>-9.0430013660412287E-3</v>
      </c>
    </row>
    <row r="8" spans="1:18">
      <c r="A8" s="1" t="s">
        <v>19</v>
      </c>
      <c r="B8" s="7">
        <v>-4</v>
      </c>
      <c r="C8" s="7">
        <v>-2.5</v>
      </c>
      <c r="D8" s="1" t="str">
        <f>COMPLEX(B8,-C8,"j")</f>
        <v>-4+2.5j</v>
      </c>
      <c r="F8" s="1">
        <f t="shared" si="7"/>
        <v>2.5914314978433531E-4</v>
      </c>
      <c r="G8" s="1">
        <f t="shared" si="8"/>
        <v>2.5510118643310402E-4</v>
      </c>
      <c r="H8" s="12"/>
      <c r="I8" s="1">
        <v>5</v>
      </c>
      <c r="J8" s="1" t="str">
        <f t="shared" si="3"/>
        <v>0.970642672865438-0.0457222141784154j</v>
      </c>
      <c r="K8" s="1">
        <f t="shared" si="0"/>
        <v>1.5017768961319</v>
      </c>
      <c r="L8" s="1" t="str">
        <f t="shared" si="4"/>
        <v>1.04044586908482-0.00925816140852712j</v>
      </c>
      <c r="M8" s="12"/>
      <c r="N8" s="1" t="str">
        <f t="shared" si="1"/>
        <v>2-1.5017768961319j</v>
      </c>
      <c r="O8" s="1" t="str">
        <f t="shared" si="9"/>
        <v>1.04-0.00925382760038271j</v>
      </c>
      <c r="P8" s="1">
        <f t="shared" si="5"/>
        <v>-8.898028570521483E-3</v>
      </c>
      <c r="Q8" s="1">
        <f>B5</f>
        <v>1.04</v>
      </c>
      <c r="R8" s="1">
        <f t="shared" si="6"/>
        <v>-9.2538276003827098E-3</v>
      </c>
    </row>
    <row r="9" spans="1:18">
      <c r="A9" s="1" t="s">
        <v>20</v>
      </c>
      <c r="B9" s="7">
        <v>2</v>
      </c>
      <c r="C9" s="7"/>
      <c r="D9" s="1" t="str">
        <f t="shared" si="2"/>
        <v>2</v>
      </c>
      <c r="F9" s="1">
        <f t="shared" si="7"/>
        <v>1.1156793605607109E-4</v>
      </c>
      <c r="G9" s="1">
        <f t="shared" si="8"/>
        <v>1.1001248249992355E-4</v>
      </c>
      <c r="H9" s="12"/>
      <c r="I9" s="1">
        <v>6</v>
      </c>
      <c r="J9" s="1" t="str">
        <f t="shared" si="3"/>
        <v>0.970630756017958-0.0458331438547962j</v>
      </c>
      <c r="K9" s="1">
        <f t="shared" si="0"/>
        <v>1.5037430180367399</v>
      </c>
      <c r="L9" s="1" t="str">
        <f t="shared" si="4"/>
        <v>1.04050704845437-0.00934959352021259j</v>
      </c>
      <c r="M9" s="12"/>
      <c r="N9" s="1" t="str">
        <f t="shared" si="1"/>
        <v>2-1.50374301803674j</v>
      </c>
      <c r="O9" s="1" t="str">
        <f t="shared" si="9"/>
        <v>1.04-0.00934466013699601j</v>
      </c>
      <c r="P9" s="1">
        <f t="shared" si="5"/>
        <v>-8.985371039728466E-3</v>
      </c>
      <c r="Q9" s="1">
        <f>B5</f>
        <v>1.04</v>
      </c>
      <c r="R9" s="1">
        <f t="shared" si="6"/>
        <v>-9.3446601369960147E-3</v>
      </c>
    </row>
    <row r="10" spans="1:18">
      <c r="F10" s="1">
        <f t="shared" si="7"/>
        <v>4.8052994018652701E-5</v>
      </c>
      <c r="G10" s="1">
        <f t="shared" si="8"/>
        <v>4.7380259621750703E-5</v>
      </c>
      <c r="H10" s="12"/>
      <c r="I10" s="1">
        <v>7</v>
      </c>
      <c r="J10" s="1" t="str">
        <f t="shared" si="3"/>
        <v>0.970625653069555-0.0458809251288662j</v>
      </c>
      <c r="K10" s="1">
        <f t="shared" si="0"/>
        <v>1.5045895128345901</v>
      </c>
      <c r="L10" s="1" t="str">
        <f t="shared" si="4"/>
        <v>1.04053339198493-0.00938897508188115j</v>
      </c>
      <c r="M10" s="12"/>
      <c r="N10" s="1" t="str">
        <f t="shared" si="1"/>
        <v>2-1.50458951283459j</v>
      </c>
      <c r="O10" s="1" t="str">
        <f t="shared" si="9"/>
        <v>1.04-0.00938378016184075j</v>
      </c>
      <c r="P10" s="1">
        <f t="shared" si="5"/>
        <v>-9.0229879731260499E-3</v>
      </c>
      <c r="Q10" s="1">
        <f>B5</f>
        <v>1.04</v>
      </c>
      <c r="R10" s="1">
        <f t="shared" si="6"/>
        <v>-9.3837801618407522E-3</v>
      </c>
    </row>
    <row r="11" spans="1:18">
      <c r="A11" s="1" t="s">
        <v>4</v>
      </c>
      <c r="B11" s="8">
        <v>0.02</v>
      </c>
      <c r="C11" s="8">
        <v>0.04</v>
      </c>
      <c r="D11" s="1" t="str">
        <f t="shared" si="2"/>
        <v>0.02+0.04j</v>
      </c>
      <c r="F11" s="1">
        <f t="shared" si="7"/>
        <v>2.069339106246274E-5</v>
      </c>
      <c r="G11" s="1">
        <f t="shared" si="8"/>
        <v>2.0403097190949856E-5</v>
      </c>
      <c r="H11" s="12"/>
      <c r="I11" s="1">
        <v>8</v>
      </c>
      <c r="J11" s="1" t="str">
        <f t="shared" si="3"/>
        <v>0.970623457924329-0.0459015017605415j</v>
      </c>
      <c r="K11" s="1">
        <f t="shared" si="0"/>
        <v>1.5049539960500999</v>
      </c>
      <c r="L11" s="1" t="str">
        <f t="shared" si="4"/>
        <v>1.04054473456873-0.00940593480380469j</v>
      </c>
      <c r="M11" s="12"/>
      <c r="N11" s="1" t="str">
        <f t="shared" si="1"/>
        <v>2-1.5049539960501j</v>
      </c>
      <c r="O11" s="1" t="str">
        <f t="shared" si="9"/>
        <v>1.04-0.00940062665083356j</v>
      </c>
      <c r="P11" s="1">
        <f t="shared" si="5"/>
        <v>-9.0391871808382929E-3</v>
      </c>
      <c r="Q11" s="1">
        <f>B5</f>
        <v>1.04</v>
      </c>
      <c r="R11" s="1">
        <f t="shared" si="6"/>
        <v>-9.4006266508335594E-3</v>
      </c>
    </row>
    <row r="12" spans="1:18">
      <c r="A12" s="1" t="s">
        <v>5</v>
      </c>
      <c r="B12" s="8">
        <v>1.2500000000000001E-2</v>
      </c>
      <c r="C12" s="8">
        <v>2.5000000000000001E-2</v>
      </c>
      <c r="D12" s="1" t="str">
        <f t="shared" si="2"/>
        <v>0.0125+0.025j</v>
      </c>
      <c r="F12" s="1">
        <f t="shared" si="7"/>
        <v>8.9111047977599457E-6</v>
      </c>
      <c r="G12" s="1">
        <f t="shared" si="8"/>
        <v>8.7858677939801073E-6</v>
      </c>
      <c r="H12" s="12"/>
      <c r="I12" s="1">
        <v>9</v>
      </c>
      <c r="J12" s="1" t="str">
        <f t="shared" si="3"/>
        <v>0.970622512889928-0.0459103626125715j</v>
      </c>
      <c r="K12" s="1">
        <f t="shared" si="0"/>
        <v>1.5051109425036699</v>
      </c>
      <c r="L12" s="1" t="str">
        <f t="shared" si="4"/>
        <v>1.04054961846254-0.00941323816290483j</v>
      </c>
      <c r="M12" s="12"/>
      <c r="N12" s="1" t="str">
        <f t="shared" si="1"/>
        <v>2-1.50511094250367j</v>
      </c>
      <c r="O12" s="1" t="str">
        <f t="shared" si="9"/>
        <v>1.04-0.00940788113811883j</v>
      </c>
      <c r="P12" s="1">
        <f t="shared" si="5"/>
        <v>-9.0461629345834887E-3</v>
      </c>
      <c r="Q12" s="1">
        <f>B5</f>
        <v>1.04</v>
      </c>
      <c r="R12" s="1">
        <f t="shared" si="6"/>
        <v>-9.4078811381188322E-3</v>
      </c>
    </row>
    <row r="13" spans="1:18">
      <c r="A13" s="1" t="s">
        <v>6</v>
      </c>
      <c r="B13" s="8">
        <v>0.01</v>
      </c>
      <c r="C13" s="8">
        <v>0.03</v>
      </c>
      <c r="D13" s="1" t="str">
        <f t="shared" si="2"/>
        <v>0.01+0.03j</v>
      </c>
      <c r="F13" s="1">
        <f t="shared" si="7"/>
        <v>3.8372950881193754E-6</v>
      </c>
      <c r="G13" s="1">
        <f t="shared" si="8"/>
        <v>3.7833197207178382E-6</v>
      </c>
      <c r="H13" s="12"/>
      <c r="I13" s="1">
        <v>10</v>
      </c>
      <c r="J13" s="1" t="str">
        <f t="shared" si="3"/>
        <v>0.970622105971284-0.0459141782712054j</v>
      </c>
      <c r="K13" s="1">
        <f t="shared" si="0"/>
        <v>1.50517852499229</v>
      </c>
      <c r="L13" s="1" t="str">
        <f t="shared" si="4"/>
        <v>1.04055172146067-0.00941638314414071j</v>
      </c>
      <c r="M13" s="12"/>
      <c r="N13" s="1" t="str">
        <f t="shared" si="1"/>
        <v>2-1.50517852499229j</v>
      </c>
      <c r="O13" s="1" t="str">
        <f t="shared" si="9"/>
        <v>1.04-0.0094110050537114j</v>
      </c>
      <c r="P13" s="1">
        <f t="shared" si="5"/>
        <v>-9.0491668225250003E-3</v>
      </c>
      <c r="Q13" s="1">
        <f>B5</f>
        <v>1.04</v>
      </c>
      <c r="R13" s="1">
        <f t="shared" si="6"/>
        <v>-9.4110050537114017E-3</v>
      </c>
    </row>
    <row r="14" spans="1:18">
      <c r="F14" s="1">
        <f t="shared" si="7"/>
        <v>1.6524046112868203E-6</v>
      </c>
      <c r="G14" s="1">
        <f t="shared" si="8"/>
        <v>1.6291529191112552E-6</v>
      </c>
      <c r="H14" s="12"/>
      <c r="I14" s="1">
        <v>11</v>
      </c>
      <c r="J14" s="1" t="str">
        <f t="shared" si="3"/>
        <v>0.970621930750031-0.0459158213593077j</v>
      </c>
      <c r="K14" s="1">
        <f t="shared" si="0"/>
        <v>1.50520762684572</v>
      </c>
      <c r="L14" s="1" t="str">
        <f t="shared" si="4"/>
        <v>1.04055262702797-0.00941773742885943j</v>
      </c>
      <c r="M14" s="12"/>
      <c r="N14" s="1" t="str">
        <f t="shared" si="1"/>
        <v>2-1.50520762684572j</v>
      </c>
      <c r="O14" s="1" t="str">
        <f t="shared" si="9"/>
        <v>1.04-0.00941235026341243j</v>
      </c>
      <c r="P14" s="1">
        <f t="shared" si="5"/>
        <v>-9.050460346360251E-3</v>
      </c>
      <c r="Q14" s="1">
        <f>B5</f>
        <v>1.04</v>
      </c>
      <c r="R14" s="1">
        <f t="shared" si="6"/>
        <v>-9.4123502634124341E-3</v>
      </c>
    </row>
    <row r="15" spans="1:18">
      <c r="A15" s="1" t="s">
        <v>46</v>
      </c>
      <c r="B15" s="1" t="s">
        <v>56</v>
      </c>
      <c r="D15" s="9"/>
      <c r="F15" s="1">
        <f>IMABS(IMSUB(J14,J15))</f>
        <v>7.1155182436082771E-7</v>
      </c>
      <c r="G15" s="1">
        <f>IMABS(IMSUB(L15,L14))</f>
        <v>7.0153758494584891E-7</v>
      </c>
      <c r="H15" s="12"/>
      <c r="I15" s="1">
        <v>12</v>
      </c>
      <c r="J15" s="1" t="str">
        <f t="shared" si="3"/>
        <v>0.970621855297784-0.0459165288993823j</v>
      </c>
      <c r="K15" s="1">
        <f t="shared" si="0"/>
        <v>1.50522015851004</v>
      </c>
      <c r="L15" s="1" t="str">
        <f t="shared" si="4"/>
        <v>1.04055301697606-0.00941832060590816j</v>
      </c>
      <c r="M15" s="12"/>
      <c r="N15" s="1" t="str">
        <f t="shared" si="1"/>
        <v>2-1.50522015851004j</v>
      </c>
      <c r="O15" s="1" t="str">
        <f t="shared" si="9"/>
        <v>1.04-0.00941292953191061j</v>
      </c>
      <c r="P15" s="1">
        <f t="shared" si="5"/>
        <v>-9.0510173581147026E-3</v>
      </c>
      <c r="Q15" s="1">
        <f>B5</f>
        <v>1.04</v>
      </c>
      <c r="R15" s="1">
        <f t="shared" si="6"/>
        <v>-9.4129295319106115E-3</v>
      </c>
    </row>
    <row r="16" spans="1:18">
      <c r="A16" s="1" t="s">
        <v>2</v>
      </c>
      <c r="B16" s="14" t="str">
        <f>VLOOKUP(B21,I2:L34,2,0)</f>
        <v>0.970622512889928-0.0459103626125715j</v>
      </c>
      <c r="C16" s="1">
        <f>(IMABS(B16))</f>
        <v>0.97170768440101152</v>
      </c>
      <c r="D16" s="1">
        <f>DEGREES(IMARGUMENT(B16))</f>
        <v>-2.7080671494613049</v>
      </c>
      <c r="F16" s="1">
        <f t="shared" si="7"/>
        <v>3.0640526204171327E-7</v>
      </c>
      <c r="G16" s="1">
        <f t="shared" si="8"/>
        <v>3.0209266003081928E-7</v>
      </c>
      <c r="H16" s="12"/>
      <c r="I16" s="1">
        <v>13</v>
      </c>
      <c r="J16" s="1" t="str">
        <f t="shared" si="3"/>
        <v>0.970621822807023-0.0459168335771384j</v>
      </c>
      <c r="K16" s="1">
        <f t="shared" si="0"/>
        <v>1.5052255548284399</v>
      </c>
      <c r="L16" s="1" t="str">
        <f t="shared" si="4"/>
        <v>1.04055318489308-0.00941857173107539j</v>
      </c>
      <c r="M16" s="12"/>
      <c r="N16" s="1" t="str">
        <f t="shared" si="1"/>
        <v>2-1.50522555482844j</v>
      </c>
      <c r="O16" s="1" t="str">
        <f t="shared" si="9"/>
        <v>1.04-0.00941317897386498j</v>
      </c>
      <c r="P16" s="1">
        <f t="shared" si="5"/>
        <v>-9.051257215972627E-3</v>
      </c>
      <c r="Q16" s="1">
        <f>B5</f>
        <v>1.04</v>
      </c>
      <c r="R16" s="1">
        <f t="shared" si="6"/>
        <v>-9.413178973864976E-3</v>
      </c>
    </row>
    <row r="17" spans="1:18">
      <c r="A17" s="1" t="s">
        <v>48</v>
      </c>
      <c r="B17" s="14">
        <f>VLOOKUP(B21,I2:L34,3,0)</f>
        <v>1.5051109425036699</v>
      </c>
      <c r="C17" s="1">
        <f t="shared" ref="C17:C18" si="10">(IMABS(B17))</f>
        <v>1.5051109425036699</v>
      </c>
      <c r="D17" s="1">
        <f>IF(B17&gt;0,90,-90)</f>
        <v>90</v>
      </c>
      <c r="F17" s="1">
        <f t="shared" si="7"/>
        <v>1.3194280409473532E-7</v>
      </c>
      <c r="G17" s="1">
        <f t="shared" si="8"/>
        <v>1.3008567488669796E-7</v>
      </c>
      <c r="H17" s="12"/>
      <c r="I17" s="1">
        <v>14</v>
      </c>
      <c r="J17" s="1" t="str">
        <f t="shared" si="3"/>
        <v>0.970621808816029-0.0459169647760547j</v>
      </c>
      <c r="K17" s="1">
        <f t="shared" si="0"/>
        <v>1.5052278785637301</v>
      </c>
      <c r="L17" s="1" t="str">
        <f t="shared" si="4"/>
        <v>1.0405532572006-0.00941867986943753j</v>
      </c>
      <c r="M17" s="12"/>
      <c r="N17" s="1" t="str">
        <f t="shared" si="1"/>
        <v>2-1.50522787856373j</v>
      </c>
      <c r="O17" s="1" t="str">
        <f t="shared" si="9"/>
        <v>1.04-0.00941328638738566j</v>
      </c>
      <c r="P17" s="1">
        <f t="shared" si="5"/>
        <v>-9.0513605024349578E-3</v>
      </c>
      <c r="Q17" s="1">
        <f>B5</f>
        <v>1.04</v>
      </c>
      <c r="R17" s="1">
        <f t="shared" si="6"/>
        <v>-9.4132863873856581E-3</v>
      </c>
    </row>
    <row r="18" spans="1:18">
      <c r="A18" s="1" t="s">
        <v>3</v>
      </c>
      <c r="B18" s="14" t="str">
        <f>VLOOKUP(B21,I2:L34,4,0)</f>
        <v>1.04054961846254-0.00941323816290483j</v>
      </c>
      <c r="C18" s="1">
        <f t="shared" si="10"/>
        <v>1.0405921955959738</v>
      </c>
      <c r="D18" s="1">
        <f t="shared" ref="D18" si="11">DEGREES(IMARGUMENT(B18))</f>
        <v>-0.51830695693931328</v>
      </c>
      <c r="F18" s="1">
        <f t="shared" si="7"/>
        <v>5.6816583949319099E-8</v>
      </c>
      <c r="G18" s="1">
        <f t="shared" si="8"/>
        <v>5.6016859287343674E-8</v>
      </c>
      <c r="H18" s="12"/>
      <c r="I18" s="1">
        <v>15</v>
      </c>
      <c r="J18" s="1" t="str">
        <f t="shared" si="3"/>
        <v>0.970621802791301-0.04591702127231j</v>
      </c>
      <c r="K18" s="1">
        <f t="shared" si="0"/>
        <v>1.50522887919929</v>
      </c>
      <c r="L18" s="1" t="str">
        <f t="shared" si="4"/>
        <v>1.04055328833729-0.00941872643546649j</v>
      </c>
      <c r="M18" s="12"/>
      <c r="N18" s="1" t="str">
        <f t="shared" si="1"/>
        <v>2-1.50522887919929j</v>
      </c>
      <c r="O18" s="1" t="str">
        <f t="shared" si="9"/>
        <v>1.04-0.00941333264128242j</v>
      </c>
      <c r="P18" s="1">
        <f t="shared" si="5"/>
        <v>-9.0514049791576082E-3</v>
      </c>
      <c r="Q18" s="1">
        <f>B5</f>
        <v>1.04</v>
      </c>
      <c r="R18" s="1">
        <f t="shared" si="6"/>
        <v>-9.4133326412824177E-3</v>
      </c>
    </row>
    <row r="19" spans="1:18">
      <c r="A19" s="1" t="s">
        <v>57</v>
      </c>
      <c r="B19" s="7">
        <v>100</v>
      </c>
      <c r="D19" s="9"/>
      <c r="F19" s="1">
        <f>IMABS(IMSUB(J18,J19))</f>
        <v>2.4466083833918792E-8</v>
      </c>
      <c r="G19" s="1">
        <f>IMABS(IMSUB(L19,L18))</f>
        <v>2.4121711098715264E-8</v>
      </c>
      <c r="H19" s="12"/>
      <c r="I19" s="1">
        <v>16</v>
      </c>
      <c r="J19" s="1" t="str">
        <f t="shared" si="3"/>
        <v>0.970621800196961-0.0459170456004554j</v>
      </c>
      <c r="K19" s="1">
        <f t="shared" si="0"/>
        <v>1.5052293100881</v>
      </c>
      <c r="L19" s="1" t="str">
        <f t="shared" si="4"/>
        <v>1.04055330174522-0.00941874648750785j</v>
      </c>
      <c r="M19" s="12"/>
      <c r="N19" s="1" t="str">
        <f t="shared" si="1"/>
        <v>2-1.5052293100881j</v>
      </c>
      <c r="O19" s="1" t="str">
        <f t="shared" si="9"/>
        <v>1.04-0.00941335255891406j</v>
      </c>
      <c r="P19" s="1">
        <f t="shared" si="5"/>
        <v>-9.0514241315110457E-3</v>
      </c>
      <c r="Q19" s="1">
        <f>B5</f>
        <v>1.04</v>
      </c>
      <c r="R19" s="1">
        <f t="shared" si="6"/>
        <v>-9.4133525589140572E-3</v>
      </c>
    </row>
    <row r="20" spans="1:18">
      <c r="A20" s="1" t="s">
        <v>1</v>
      </c>
      <c r="B20" s="14" t="str">
        <f>D3</f>
        <v>1.05</v>
      </c>
      <c r="D20" s="9"/>
      <c r="F20" s="1">
        <f t="shared" si="7"/>
        <v>1.0535469267766623E-8</v>
      </c>
      <c r="G20" s="1">
        <f t="shared" si="8"/>
        <v>1.0387177636396363E-8</v>
      </c>
      <c r="H20" s="12"/>
      <c r="I20" s="1">
        <v>17</v>
      </c>
      <c r="J20" s="1" t="str">
        <f t="shared" si="3"/>
        <v>0.970621799079798-0.0459170560765262j</v>
      </c>
      <c r="K20" s="1">
        <f t="shared" si="0"/>
        <v>1.50522949563539</v>
      </c>
      <c r="L20" s="1" t="str">
        <f t="shared" si="4"/>
        <v>1.04055330751888-0.00941875512222322j</v>
      </c>
      <c r="M20" s="12"/>
      <c r="N20" s="1" t="str">
        <f t="shared" si="1"/>
        <v>2-1.50522949563539j</v>
      </c>
      <c r="O20" s="1" t="str">
        <f t="shared" si="9"/>
        <v>1.04-0.00941336113575038j</v>
      </c>
      <c r="P20" s="1">
        <f t="shared" si="5"/>
        <v>-9.0514323788068902E-3</v>
      </c>
      <c r="Q20" s="1">
        <f>B5</f>
        <v>1.04</v>
      </c>
      <c r="R20" s="1">
        <f t="shared" si="6"/>
        <v>-9.4133611357503817E-3</v>
      </c>
    </row>
    <row r="21" spans="1:18">
      <c r="A21" s="1" t="s">
        <v>64</v>
      </c>
      <c r="B21" s="13">
        <v>9</v>
      </c>
      <c r="D21" s="9"/>
      <c r="F21" s="1">
        <f t="shared" si="7"/>
        <v>4.5367323409938728E-9</v>
      </c>
      <c r="G21" s="1">
        <f t="shared" si="8"/>
        <v>4.4728784600845219E-9</v>
      </c>
      <c r="H21" s="12"/>
      <c r="I21" s="1">
        <v>18</v>
      </c>
      <c r="J21" s="1" t="str">
        <f t="shared" si="3"/>
        <v>0.970621798598731-0.0459170605876807j</v>
      </c>
      <c r="K21" s="1">
        <f t="shared" si="0"/>
        <v>1.5052295755348499</v>
      </c>
      <c r="L21" s="1" t="str">
        <f t="shared" si="4"/>
        <v>1.04055331000511-0.00941875884046226j</v>
      </c>
      <c r="M21" s="12"/>
      <c r="N21" s="1" t="str">
        <f t="shared" si="1"/>
        <v>2-1.50522957553485j</v>
      </c>
      <c r="O21" s="1" t="str">
        <f t="shared" si="9"/>
        <v>1.04-0.00941336482906576j</v>
      </c>
      <c r="P21" s="1">
        <f t="shared" si="5"/>
        <v>-9.0514359302171533E-3</v>
      </c>
      <c r="Q21" s="1">
        <f>B5</f>
        <v>1.04</v>
      </c>
      <c r="R21" s="1">
        <f t="shared" si="6"/>
        <v>-9.4133648290657557E-3</v>
      </c>
    </row>
    <row r="22" spans="1:18">
      <c r="D22" s="9"/>
      <c r="F22" s="1">
        <f t="shared" si="7"/>
        <v>1.9535872188075039E-9</v>
      </c>
      <c r="G22" s="1">
        <f t="shared" si="8"/>
        <v>1.9260841509738489E-9</v>
      </c>
      <c r="H22" s="12"/>
      <c r="I22" s="1">
        <v>19</v>
      </c>
      <c r="J22" s="1" t="str">
        <f t="shared" si="3"/>
        <v>0.970621798391577-0.0459170625302538j</v>
      </c>
      <c r="K22" s="1">
        <f t="shared" si="0"/>
        <v>1.5052296099407301</v>
      </c>
      <c r="L22" s="1" t="str">
        <f t="shared" si="4"/>
        <v>1.04055331107571-0.00941876044159191j</v>
      </c>
      <c r="M22" s="12"/>
      <c r="N22" s="1" t="str">
        <f t="shared" si="1"/>
        <v>2-1.50522960994073j</v>
      </c>
      <c r="O22" s="1" t="str">
        <f t="shared" si="9"/>
        <v>1.04-0.00941336641946297j</v>
      </c>
      <c r="P22" s="1">
        <f t="shared" si="5"/>
        <v>-9.0514374595078891E-3</v>
      </c>
      <c r="Q22" s="1">
        <f>B5</f>
        <v>1.04</v>
      </c>
      <c r="R22" s="1">
        <f t="shared" si="6"/>
        <v>-9.413366419462969E-3</v>
      </c>
    </row>
    <row r="23" spans="1:18">
      <c r="B23"/>
      <c r="C23" s="9"/>
      <c r="F23" s="1">
        <f t="shared" si="7"/>
        <v>8.4124289098622804E-10</v>
      </c>
      <c r="G23" s="1">
        <f t="shared" si="8"/>
        <v>8.2940308150921566E-10</v>
      </c>
      <c r="H23" s="12"/>
      <c r="I23" s="1">
        <v>20</v>
      </c>
      <c r="J23" s="1" t="str">
        <f t="shared" si="3"/>
        <v>0.970621798302373-0.0459170633667538j</v>
      </c>
      <c r="K23" s="1">
        <f t="shared" si="0"/>
        <v>1.5052296247564101</v>
      </c>
      <c r="L23" s="1" t="str">
        <f t="shared" si="4"/>
        <v>1.04055331153673-0.00941876113106267j</v>
      </c>
      <c r="M23" s="12"/>
      <c r="N23" s="1" t="str">
        <f t="shared" si="1"/>
        <v>2-1.50522962475641j</v>
      </c>
      <c r="O23" s="1" t="str">
        <f t="shared" si="9"/>
        <v>1.04-0.00941336710431215j</v>
      </c>
      <c r="P23" s="1">
        <f t="shared" si="5"/>
        <v>-9.0514381180436913E-3</v>
      </c>
      <c r="Q23" s="1">
        <f>B5</f>
        <v>1.04</v>
      </c>
      <c r="R23" s="1">
        <f t="shared" si="6"/>
        <v>-9.4133671043121481E-3</v>
      </c>
    </row>
    <row r="24" spans="1:18">
      <c r="B24" s="1" t="s">
        <v>49</v>
      </c>
      <c r="C24" s="9"/>
      <c r="F24" s="1">
        <f t="shared" si="7"/>
        <v>3.622532014243422E-10</v>
      </c>
      <c r="G24" s="1">
        <f t="shared" si="8"/>
        <v>3.5715216451995388E-10</v>
      </c>
      <c r="H24" s="12"/>
      <c r="I24" s="1">
        <v>21</v>
      </c>
      <c r="J24" s="1" t="str">
        <f t="shared" si="3"/>
        <v>0.97062179826396-0.0459170637269646j</v>
      </c>
      <c r="K24" s="1">
        <f t="shared" si="0"/>
        <v>1.5052296311364</v>
      </c>
      <c r="L24" s="1" t="str">
        <f t="shared" si="4"/>
        <v>1.04055331173525-0.00941876142795917j</v>
      </c>
      <c r="M24" s="12"/>
      <c r="N24" s="1" t="str">
        <f t="shared" si="1"/>
        <v>2-1.5052296311364j</v>
      </c>
      <c r="O24" s="1" t="str">
        <f t="shared" si="9"/>
        <v>1.04-0.00941336739921854j</v>
      </c>
      <c r="P24" s="1">
        <f t="shared" si="5"/>
        <v>-9.0514384016191496E-3</v>
      </c>
      <c r="Q24" s="1">
        <f>B5</f>
        <v>1.04</v>
      </c>
      <c r="R24" s="1">
        <f t="shared" si="6"/>
        <v>-9.4133673992185442E-3</v>
      </c>
    </row>
    <row r="25" spans="1:18">
      <c r="A25" s="1">
        <v>12</v>
      </c>
      <c r="B25" s="1" t="str">
        <f>IMPRODUCT(D37,IMSUB(B20,B16))</f>
        <v>1.71198212335215-1.12844611607573j</v>
      </c>
      <c r="C25" s="1" t="s">
        <v>50</v>
      </c>
      <c r="D25" s="1" t="s">
        <v>51</v>
      </c>
      <c r="F25" s="1">
        <f t="shared" si="7"/>
        <v>1.5599176058143772E-10</v>
      </c>
      <c r="G25" s="1">
        <f t="shared" si="8"/>
        <v>1.5379870845714675E-10</v>
      </c>
      <c r="H25" s="12"/>
      <c r="I25" s="1">
        <v>22</v>
      </c>
      <c r="J25" s="1" t="str">
        <f t="shared" si="3"/>
        <v>0.970621798247419-0.0459170638820769j</v>
      </c>
      <c r="K25" s="1">
        <f t="shared" si="0"/>
        <v>1.5052296338836599</v>
      </c>
      <c r="L25" s="1" t="str">
        <f t="shared" si="4"/>
        <v>1.04055331182074-0.00941876155580866j</v>
      </c>
      <c r="M25" s="12"/>
      <c r="N25" s="1" t="str">
        <f t="shared" si="1"/>
        <v>2-1.50522963388366j</v>
      </c>
      <c r="O25" s="1" t="str">
        <f t="shared" si="9"/>
        <v>1.04-0.00941336752621103j</v>
      </c>
      <c r="P25" s="1">
        <f t="shared" si="5"/>
        <v>-9.0514385237323077E-3</v>
      </c>
      <c r="Q25" s="1">
        <f>B5</f>
        <v>1.04</v>
      </c>
      <c r="R25" s="1">
        <f t="shared" si="6"/>
        <v>-9.413367526211025E-3</v>
      </c>
    </row>
    <row r="26" spans="1:18">
      <c r="A26" s="1">
        <v>21</v>
      </c>
      <c r="B26" s="1" t="str">
        <f>IMPRODUCT(-1,B25)</f>
        <v>-1.71198212335215+1.12844611607573j</v>
      </c>
      <c r="C26" s="10" t="str">
        <f>IMPRODUCT(B19,IMPRODUCT(B20,IMCONJUGATE(B25)))</f>
        <v>179.758122951976+118.486842187952j</v>
      </c>
      <c r="D26" s="10" t="str">
        <f>IMSUM(C26,C27)</f>
        <v>8.40854685512798+16.817093710255j</v>
      </c>
      <c r="F26" s="1">
        <f t="shared" si="7"/>
        <v>6.7173221239875596E-11</v>
      </c>
      <c r="G26" s="1">
        <f t="shared" si="8"/>
        <v>6.6225725285667685E-11</v>
      </c>
      <c r="H26" s="12"/>
      <c r="I26" s="1">
        <v>23</v>
      </c>
      <c r="J26" s="1" t="str">
        <f t="shared" si="3"/>
        <v>0.970621798240297-0.0459170639488715j</v>
      </c>
      <c r="K26" s="1">
        <f t="shared" si="0"/>
        <v>1.50522963506673</v>
      </c>
      <c r="L26" s="1" t="str">
        <f t="shared" si="4"/>
        <v>1.04055331185755-0.00941876161086193j</v>
      </c>
      <c r="M26" s="12"/>
      <c r="N26" s="1" t="str">
        <f t="shared" si="1"/>
        <v>2-1.50522963506673j</v>
      </c>
      <c r="O26" s="1" t="str">
        <f t="shared" si="9"/>
        <v>1.04-0.00941336758089528j</v>
      </c>
      <c r="P26" s="1">
        <f t="shared" si="5"/>
        <v>-9.0514385763154782E-3</v>
      </c>
      <c r="Q26" s="1">
        <f>B5</f>
        <v>1.04</v>
      </c>
      <c r="R26" s="1">
        <f t="shared" si="6"/>
        <v>-9.4133675808952821E-3</v>
      </c>
    </row>
    <row r="27" spans="1:18">
      <c r="A27" s="1">
        <v>23</v>
      </c>
      <c r="B27" s="1" t="str">
        <f>IMPRODUCT(D38,IMSUB(B16,B18))</f>
        <v>-2.28674167155113+1.65371338712892j</v>
      </c>
      <c r="C27" s="10" t="str">
        <f>IMPRODUCT(B19,IMPRODUCT(B16,IMCONJUGATE(B26)))</f>
        <v>-171.349576096848-101.669748477697j</v>
      </c>
      <c r="F27" s="1">
        <f t="shared" si="7"/>
        <v>2.8923277367495399E-11</v>
      </c>
      <c r="G27" s="1">
        <f t="shared" si="8"/>
        <v>2.8517640291929609E-11</v>
      </c>
      <c r="H27" s="12"/>
      <c r="I27" s="1">
        <v>24</v>
      </c>
      <c r="J27" s="1" t="str">
        <f t="shared" si="3"/>
        <v>0.970621798237228-0.0459170639776315j</v>
      </c>
      <c r="K27" s="1">
        <f t="shared" si="0"/>
        <v>1.5052296355761099</v>
      </c>
      <c r="L27" s="1" t="str">
        <f t="shared" si="4"/>
        <v>1.0405533118734-0.00941876163456918j</v>
      </c>
      <c r="M27" s="12"/>
      <c r="N27" s="1" t="str">
        <f t="shared" si="1"/>
        <v>2-1.50522963557611j</v>
      </c>
      <c r="O27" s="1" t="str">
        <f t="shared" si="9"/>
        <v>1.04-0.00941336760444364j</v>
      </c>
      <c r="P27" s="1">
        <f t="shared" si="5"/>
        <v>-9.0514385989590562E-3</v>
      </c>
      <c r="Q27" s="1">
        <f>B5</f>
        <v>1.04</v>
      </c>
      <c r="R27" s="1">
        <f t="shared" si="6"/>
        <v>-9.4133676044436381E-3</v>
      </c>
    </row>
    <row r="28" spans="1:18">
      <c r="A28" s="1">
        <v>32</v>
      </c>
      <c r="B28" s="1" t="str">
        <f>IMPRODUCT(-1,B27)</f>
        <v>2.28674167155113-1.65371338712892j</v>
      </c>
      <c r="C28" s="10" t="str">
        <f>IMPRODUCT(B19,IMPRODUCT(B16,IMCONJUGATE(B27)))</f>
        <v>-229.548552883142-150.01463040726j</v>
      </c>
      <c r="D28" s="10" t="str">
        <f>IMSUM(C28,C29)</f>
        <v>10.559322629727+23.625275241277j</v>
      </c>
      <c r="F28" s="1">
        <f t="shared" si="7"/>
        <v>1.2456346765474296E-11</v>
      </c>
      <c r="G28" s="1">
        <f t="shared" si="8"/>
        <v>1.2281684997395284E-11</v>
      </c>
      <c r="H28" s="12"/>
      <c r="I28" s="1">
        <v>25</v>
      </c>
      <c r="J28" s="1" t="str">
        <f t="shared" si="3"/>
        <v>0.970621798235908-0.0459170639900177j</v>
      </c>
      <c r="K28" s="1">
        <f t="shared" si="0"/>
        <v>1.50522963579547</v>
      </c>
      <c r="L28" s="1" t="str">
        <f t="shared" si="4"/>
        <v>1.04055331188023-0.00941876164477666j</v>
      </c>
      <c r="M28" s="12"/>
      <c r="N28" s="1" t="str">
        <f t="shared" si="1"/>
        <v>2-1.50522963579547j</v>
      </c>
      <c r="O28" s="1" t="str">
        <f t="shared" si="9"/>
        <v>1.04-0.00941336761458266j</v>
      </c>
      <c r="P28" s="1">
        <f t="shared" si="5"/>
        <v>-9.0514386087085109E-3</v>
      </c>
      <c r="Q28" s="1">
        <f>B5</f>
        <v>1.04</v>
      </c>
      <c r="R28" s="1">
        <f t="shared" si="6"/>
        <v>-9.4133676145826562E-3</v>
      </c>
    </row>
    <row r="29" spans="1:18">
      <c r="A29" s="1">
        <v>31</v>
      </c>
      <c r="B29" s="1" t="str">
        <f>IMPRODUCT(D39,IMSUB(B18,B20))</f>
        <v>-0.376900960261745+0.189379064494753j</v>
      </c>
      <c r="C29" s="10" t="str">
        <f>IMPRODUCT(B19,IMPRODUCT(B20,IMCONJUGATE(B28)))</f>
        <v>240.107875512869+173.639905648537j</v>
      </c>
      <c r="F29" s="1">
        <f t="shared" si="7"/>
        <v>5.3631594883365551E-12</v>
      </c>
      <c r="G29" s="1">
        <f t="shared" si="8"/>
        <v>5.2886186538672279E-12</v>
      </c>
      <c r="H29" s="12"/>
      <c r="I29" s="1">
        <v>26</v>
      </c>
      <c r="J29" s="1" t="str">
        <f t="shared" si="3"/>
        <v>0.97062179823534-0.0459170639953507j</v>
      </c>
      <c r="K29" s="1">
        <f t="shared" si="0"/>
        <v>1.50522963588991</v>
      </c>
      <c r="L29" s="1" t="str">
        <f t="shared" si="4"/>
        <v>1.04055331188317-0.00941876164917272j</v>
      </c>
      <c r="M29" s="12"/>
      <c r="N29" s="1" t="str">
        <f t="shared" si="1"/>
        <v>2-1.50522963588991j</v>
      </c>
      <c r="O29" s="1" t="str">
        <f t="shared" si="9"/>
        <v>1.04-0.00941336761894924j</v>
      </c>
      <c r="P29" s="1">
        <f t="shared" si="5"/>
        <v>-9.0514386129073258E-3</v>
      </c>
      <c r="Q29" s="1">
        <f>B5</f>
        <v>1.04</v>
      </c>
      <c r="R29" s="1">
        <f t="shared" si="6"/>
        <v>-9.4133676189492449E-3</v>
      </c>
    </row>
    <row r="30" spans="1:18">
      <c r="A30" s="1">
        <v>13</v>
      </c>
      <c r="B30" s="1" t="str">
        <f>IMPRODUCT(-1,B29)</f>
        <v>0.376900960261745-0.189379064494753j</v>
      </c>
      <c r="C30" s="10" t="str">
        <f>IMPRODUCT(B19,IMPRODUCT(B18,IMCONJUGATE(B29)))</f>
        <v>-39.3966820635681-19.3510454802037j</v>
      </c>
      <c r="D30" s="10" t="str">
        <f>IMSUM(C30,C31)</f>
        <v>0.177918763915102+0.533756291745398j</v>
      </c>
      <c r="F30" s="1">
        <f t="shared" si="7"/>
        <v>2.3100346348566768E-12</v>
      </c>
      <c r="G30" s="1">
        <f t="shared" si="8"/>
        <v>2.2799935037459668E-12</v>
      </c>
      <c r="H30" s="12"/>
      <c r="I30" s="1">
        <v>27</v>
      </c>
      <c r="J30" s="1" t="str">
        <f t="shared" si="3"/>
        <v>0.970621798235095-0.0459170639976477j</v>
      </c>
      <c r="K30" s="1">
        <f t="shared" si="0"/>
        <v>1.5052296359306501</v>
      </c>
      <c r="L30" s="1" t="str">
        <f t="shared" si="4"/>
        <v>1.04055331188444-0.00941876165106634j</v>
      </c>
      <c r="M30" s="12"/>
      <c r="N30" s="1" t="str">
        <f t="shared" si="1"/>
        <v>2-1.50522963593065j</v>
      </c>
      <c r="O30" s="1" t="str">
        <f t="shared" si="9"/>
        <v>1.04-0.00941336762083013j</v>
      </c>
      <c r="P30" s="1">
        <f t="shared" si="5"/>
        <v>-9.0514386147159485E-3</v>
      </c>
      <c r="Q30" s="1">
        <f>B5</f>
        <v>1.04</v>
      </c>
      <c r="R30" s="1">
        <f t="shared" si="6"/>
        <v>-9.4133676208301344E-3</v>
      </c>
    </row>
    <row r="31" spans="1:18">
      <c r="A31" s="1" t="s">
        <v>52</v>
      </c>
      <c r="B31" s="10" t="str">
        <f>IMPRODUCT(B19,IMPRODUCT(IMCONJUGATE(B20),IMSUB(IMPRODUCT(B20,IMSUM(D37,D39)),(IMSUM((IMPRODUCT(D37,B16)),(IMPRODUCT(D39,B18)))))))</f>
        <v>219.33272377946-138.371643959902j</v>
      </c>
      <c r="C31" s="10" t="str">
        <f>IMPRODUCT(B19,IMPRODUCT(B20,IMCONJUGATE(B30)))</f>
        <v>39.5746008274832+19.8848017719491j</v>
      </c>
      <c r="F31" s="1">
        <f t="shared" si="7"/>
        <v>9.9486769461217752E-13</v>
      </c>
      <c r="G31" s="1">
        <f t="shared" si="8"/>
        <v>9.781956197378648E-13</v>
      </c>
      <c r="H31" s="12"/>
      <c r="I31" s="1">
        <v>28</v>
      </c>
      <c r="J31" s="1" t="str">
        <f t="shared" si="3"/>
        <v>0.970621798234989-0.0459170639986369j</v>
      </c>
      <c r="K31" s="1">
        <f t="shared" si="0"/>
        <v>1.5052296359480699</v>
      </c>
      <c r="L31" s="1" t="str">
        <f t="shared" si="4"/>
        <v>1.04055331188498-0.00941876165188197j</v>
      </c>
      <c r="M31" s="12"/>
      <c r="N31" s="1" t="str">
        <f t="shared" si="1"/>
        <v>2-1.50522963594807j</v>
      </c>
      <c r="O31" s="1" t="str">
        <f t="shared" si="9"/>
        <v>1.04-0.00941336762164035j</v>
      </c>
      <c r="P31" s="1">
        <f t="shared" si="5"/>
        <v>-9.0514386154950301E-3</v>
      </c>
      <c r="Q31" s="1">
        <f>B5</f>
        <v>1.04</v>
      </c>
      <c r="R31" s="1">
        <f t="shared" si="6"/>
        <v>-9.4133676216403474E-3</v>
      </c>
    </row>
    <row r="32" spans="1:18">
      <c r="A32" s="1" t="s">
        <v>19</v>
      </c>
      <c r="B32" s="10" t="str">
        <f>IMPRODUCT(B19,COMPLEX(B8,C8,"j"))</f>
        <v>-400-250j</v>
      </c>
      <c r="F32" s="1">
        <f t="shared" si="7"/>
        <v>4.2936190396499382E-13</v>
      </c>
      <c r="G32" s="1">
        <f t="shared" si="8"/>
        <v>4.1979873204006559E-13</v>
      </c>
      <c r="H32" s="12"/>
      <c r="I32" s="1">
        <v>29</v>
      </c>
      <c r="J32" s="1" t="str">
        <f t="shared" si="3"/>
        <v>0.970621798234943-0.0459170639990638j</v>
      </c>
      <c r="K32" s="1">
        <f t="shared" si="0"/>
        <v>1.5052296359556601</v>
      </c>
      <c r="L32" s="1" t="str">
        <f t="shared" si="4"/>
        <v>1.04055331188521-0.00941876165223313j</v>
      </c>
      <c r="M32" s="12"/>
      <c r="N32" s="1" t="str">
        <f t="shared" si="1"/>
        <v>2-1.50522963595566j</v>
      </c>
      <c r="O32" s="1" t="str">
        <f t="shared" si="9"/>
        <v>1.04-0.0094133676219892j</v>
      </c>
      <c r="P32" s="1">
        <f t="shared" si="5"/>
        <v>-9.0514386158304771E-3</v>
      </c>
      <c r="Q32" s="1">
        <f>B5</f>
        <v>1.04</v>
      </c>
      <c r="R32" s="1">
        <f t="shared" si="6"/>
        <v>-9.4133676219891986E-3</v>
      </c>
    </row>
    <row r="33" spans="1:18">
      <c r="A33" s="1" t="s">
        <v>58</v>
      </c>
      <c r="B33" s="10" t="str">
        <f>IMPRODUCT(B19,COMPLEX(B9,B17,"j"))</f>
        <v>200+150.511094250367j</v>
      </c>
      <c r="F33" s="1">
        <f t="shared" si="7"/>
        <v>1.8339069747883343E-13</v>
      </c>
      <c r="G33" s="1">
        <f t="shared" si="8"/>
        <v>1.8083987953816845E-13</v>
      </c>
      <c r="H33" s="12"/>
      <c r="I33" s="1">
        <v>30</v>
      </c>
      <c r="J33" s="1" t="str">
        <f t="shared" si="3"/>
        <v>0.970621798234923-0.0459170639992461j</v>
      </c>
      <c r="K33" s="1">
        <f t="shared" si="0"/>
        <v>1.5052296359588999</v>
      </c>
      <c r="L33" s="1" t="str">
        <f t="shared" si="4"/>
        <v>1.04055331188531-0.00941876165238371j</v>
      </c>
      <c r="M33" s="12"/>
      <c r="N33" s="1" t="str">
        <f t="shared" si="1"/>
        <v>2-1.5052296359589j</v>
      </c>
      <c r="O33" s="1" t="str">
        <f t="shared" si="9"/>
        <v>1.04-0.00941336762213878j</v>
      </c>
      <c r="P33" s="1">
        <f t="shared" si="5"/>
        <v>-9.0514386159743065E-3</v>
      </c>
      <c r="Q33" s="1">
        <f>B5</f>
        <v>1.04</v>
      </c>
      <c r="R33" s="1">
        <f t="shared" si="6"/>
        <v>-9.4133676221387751E-3</v>
      </c>
    </row>
    <row r="34" spans="1:18">
      <c r="F34" s="1">
        <f t="shared" ref="F34" si="12">IMABS(IMSUB(J33,J34))</f>
        <v>7.8912553761805781E-14</v>
      </c>
      <c r="G34" s="1">
        <f t="shared" ref="G34" si="13">IMABS(IMSUB(L34,L33))</f>
        <v>8.0914567239034318E-14</v>
      </c>
      <c r="H34" s="12"/>
      <c r="I34" s="1">
        <v>31</v>
      </c>
      <c r="J34" s="1" t="str">
        <f t="shared" si="3"/>
        <v>0.970621798234915-0.0459170639993246j</v>
      </c>
      <c r="K34" s="1">
        <f t="shared" si="0"/>
        <v>34.703940648596202</v>
      </c>
      <c r="L34" s="1" t="str">
        <f t="shared" si="4"/>
        <v>1.04055331188536-0.00941876165244736j</v>
      </c>
      <c r="M34" s="12"/>
      <c r="N34" s="1" t="str">
        <f t="shared" si="1"/>
        <v>2-34.7039406485962j</v>
      </c>
      <c r="O34" s="1" t="str">
        <f t="shared" si="9"/>
        <v>1.04-0.00941336762220193j</v>
      </c>
      <c r="P34" s="1">
        <f t="shared" si="5"/>
        <v>-9.0514386160350357E-3</v>
      </c>
      <c r="Q34" s="1">
        <f>B5</f>
        <v>1.04</v>
      </c>
      <c r="R34" s="1">
        <f t="shared" si="6"/>
        <v>-9.4133676222019295E-3</v>
      </c>
    </row>
    <row r="35" spans="1:18">
      <c r="H35" s="12"/>
      <c r="I35" s="11"/>
      <c r="J35" s="11"/>
      <c r="K35" s="11"/>
      <c r="L35" s="11"/>
      <c r="M35" s="12"/>
    </row>
    <row r="36" spans="1:18">
      <c r="A36" s="1" t="s">
        <v>23</v>
      </c>
      <c r="B36" s="1">
        <f>B11/(B11^2+C11^2)</f>
        <v>10</v>
      </c>
    </row>
    <row r="37" spans="1:18">
      <c r="A37" s="1" t="s">
        <v>24</v>
      </c>
      <c r="B37" s="1">
        <f>B12/(B12^2+C12^2)</f>
        <v>15.999999999999998</v>
      </c>
      <c r="C37" s="1">
        <f>-1*C11/(B11^2+C11^2)</f>
        <v>-20</v>
      </c>
      <c r="D37" s="1" t="str">
        <f>COMPLEX(B36,C37,"j")</f>
        <v>10-20j</v>
      </c>
    </row>
    <row r="38" spans="1:18">
      <c r="A38" s="1" t="s">
        <v>25</v>
      </c>
      <c r="B38" s="1">
        <f>B13/(B13^2+C13^2)</f>
        <v>10</v>
      </c>
      <c r="C38" s="1">
        <f>-1*C12/(B12^2+C12^2)</f>
        <v>-31.999999999999996</v>
      </c>
      <c r="D38" s="1" t="str">
        <f>COMPLEX(B37,C38,"j")</f>
        <v>16-32j</v>
      </c>
      <c r="H38" s="1"/>
    </row>
    <row r="39" spans="1:18">
      <c r="C39" s="1">
        <f>-1*C13/(B13^2+C13^2)</f>
        <v>-30</v>
      </c>
      <c r="D39" s="1" t="str">
        <f>COMPLEX(B38,C39,"j")</f>
        <v>10-30j</v>
      </c>
      <c r="H39" s="1"/>
    </row>
    <row r="40" spans="1:18">
      <c r="A40" s="1" t="s">
        <v>18</v>
      </c>
      <c r="H40" s="1"/>
    </row>
    <row r="41" spans="1:18">
      <c r="A41" s="1" t="s">
        <v>12</v>
      </c>
      <c r="B41" s="1">
        <f>B36+B38</f>
        <v>20</v>
      </c>
      <c r="H41" s="1"/>
    </row>
    <row r="42" spans="1:18">
      <c r="A42" s="1" t="s">
        <v>9</v>
      </c>
      <c r="B42" s="1">
        <f>-1*B36</f>
        <v>-10</v>
      </c>
      <c r="C42" s="1">
        <f>C37+C39</f>
        <v>-50</v>
      </c>
      <c r="D42" s="1" t="str">
        <f>COMPLEX(B41,C42,"j")</f>
        <v>20-50j</v>
      </c>
    </row>
    <row r="43" spans="1:18">
      <c r="A43" s="1" t="s">
        <v>13</v>
      </c>
      <c r="B43" s="1">
        <f>-1*B38</f>
        <v>-10</v>
      </c>
      <c r="C43" s="1">
        <f>-1*C37</f>
        <v>20</v>
      </c>
      <c r="D43" s="1" t="str">
        <f>COMPLEX(B42,C43,"j")</f>
        <v>-10+20j</v>
      </c>
    </row>
    <row r="44" spans="1:18">
      <c r="C44" s="1">
        <f>-1*C39</f>
        <v>30</v>
      </c>
      <c r="D44" s="1" t="str">
        <f>COMPLEX(B43,C44,"j")</f>
        <v>-10+30j</v>
      </c>
    </row>
    <row r="45" spans="1:18">
      <c r="A45" s="1" t="s">
        <v>14</v>
      </c>
      <c r="B45" s="1">
        <f>B42</f>
        <v>-10</v>
      </c>
    </row>
    <row r="46" spans="1:18">
      <c r="A46" s="1" t="s">
        <v>15</v>
      </c>
      <c r="B46" s="1">
        <f>B37+B36</f>
        <v>26</v>
      </c>
      <c r="C46" s="1">
        <f>C43</f>
        <v>20</v>
      </c>
      <c r="D46" s="1" t="str">
        <f>COMPLEX(B45,C46,"j")</f>
        <v>-10+20j</v>
      </c>
    </row>
    <row r="47" spans="1:18">
      <c r="A47" s="1" t="s">
        <v>10</v>
      </c>
      <c r="B47" s="1">
        <f>-1*B37</f>
        <v>-15.999999999999998</v>
      </c>
      <c r="C47" s="1">
        <f>C38+C37</f>
        <v>-52</v>
      </c>
      <c r="D47" s="1" t="str">
        <f>COMPLEX(B46,C47,"j")</f>
        <v>26-52j</v>
      </c>
    </row>
    <row r="48" spans="1:18">
      <c r="C48" s="1">
        <f>-1*C38</f>
        <v>31.999999999999996</v>
      </c>
      <c r="D48" s="1" t="str">
        <f>COMPLEX(B47,C48,"j")</f>
        <v>-16+32j</v>
      </c>
    </row>
    <row r="49" spans="1:4">
      <c r="A49" s="1" t="s">
        <v>11</v>
      </c>
      <c r="B49" s="1">
        <f>B43</f>
        <v>-10</v>
      </c>
    </row>
    <row r="50" spans="1:4">
      <c r="A50" s="1" t="s">
        <v>16</v>
      </c>
      <c r="B50" s="1">
        <f>B47</f>
        <v>-15.999999999999998</v>
      </c>
      <c r="C50" s="1">
        <f>C44</f>
        <v>30</v>
      </c>
      <c r="D50" s="1" t="str">
        <f>COMPLEX(B49,C50,"j")</f>
        <v>-10+30j</v>
      </c>
    </row>
    <row r="51" spans="1:4">
      <c r="A51" s="1" t="s">
        <v>17</v>
      </c>
      <c r="B51" s="1">
        <f>B37+B38</f>
        <v>26</v>
      </c>
      <c r="C51" s="1">
        <f>C48</f>
        <v>31.999999999999996</v>
      </c>
      <c r="D51" s="1" t="str">
        <f>COMPLEX(B50,C51,"j")</f>
        <v>-16+32j</v>
      </c>
    </row>
    <row r="52" spans="1:4">
      <c r="C52" s="1">
        <f>C38+C39</f>
        <v>-62</v>
      </c>
      <c r="D52" s="1" t="str">
        <f>COMPLEX(B51,C52,"j")</f>
        <v>26-62j</v>
      </c>
    </row>
    <row r="53" spans="1:4">
      <c r="A53" s="3" t="s">
        <v>30</v>
      </c>
    </row>
    <row r="54" spans="1:4">
      <c r="A54" s="3" t="s">
        <v>31</v>
      </c>
    </row>
    <row r="55" spans="1:4">
      <c r="A55" s="3" t="s">
        <v>32</v>
      </c>
    </row>
    <row r="56" spans="1:4">
      <c r="A56" s="3" t="s">
        <v>33</v>
      </c>
    </row>
    <row r="57" spans="1:4">
      <c r="A57" s="4" t="s">
        <v>45</v>
      </c>
    </row>
    <row r="58" spans="1:4">
      <c r="A58" s="3" t="s">
        <v>34</v>
      </c>
    </row>
    <row r="59" spans="1:4">
      <c r="A59" s="3" t="s">
        <v>35</v>
      </c>
    </row>
    <row r="60" spans="1:4">
      <c r="A60" s="3" t="s">
        <v>36</v>
      </c>
    </row>
    <row r="61" spans="1:4">
      <c r="A61" s="3" t="s">
        <v>37</v>
      </c>
    </row>
    <row r="62" spans="1:4">
      <c r="A62" s="3" t="s">
        <v>38</v>
      </c>
    </row>
    <row r="63" spans="1:4">
      <c r="A63" s="2" t="s">
        <v>29</v>
      </c>
    </row>
  </sheetData>
  <phoneticPr fontId="1" type="noConversion"/>
  <conditionalFormatting sqref="F4:F14 F19:F34">
    <cfRule type="expression" dxfId="6" priority="21">
      <formula>$F4&lt;0.00001</formula>
    </cfRule>
  </conditionalFormatting>
  <conditionalFormatting sqref="G4:G14 G19:G34">
    <cfRule type="expression" dxfId="5" priority="22">
      <formula>$G4&lt;0.00001</formula>
    </cfRule>
  </conditionalFormatting>
  <conditionalFormatting sqref="F15:F18">
    <cfRule type="expression" dxfId="4" priority="24">
      <formula>$F15&lt;0.00001</formula>
    </cfRule>
  </conditionalFormatting>
  <conditionalFormatting sqref="G15:G18">
    <cfRule type="expression" dxfId="3" priority="26">
      <formula>$G15&lt;0.00001</formula>
    </cfRule>
  </conditionalFormatting>
  <hyperlinks>
    <hyperlink ref="A63" r:id="rId1" xr:uid="{95A42B13-3CEF-443F-AFAB-FB321835FBE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476D3-BBF1-4F92-991E-74D24C34528E}">
  <dimension ref="A1:S62"/>
  <sheetViews>
    <sheetView zoomScale="85" zoomScaleNormal="85" workbookViewId="0">
      <selection activeCell="F11" sqref="F11"/>
    </sheetView>
  </sheetViews>
  <sheetFormatPr defaultRowHeight="16.5"/>
  <cols>
    <col min="1" max="1" width="13.5" style="1" customWidth="1"/>
    <col min="2" max="2" width="42.125" style="1" customWidth="1"/>
    <col min="3" max="3" width="40.25" style="1" customWidth="1"/>
    <col min="4" max="4" width="39.75" style="1" customWidth="1"/>
    <col min="5" max="5" width="9" style="1"/>
    <col min="6" max="6" width="12.625" style="1" customWidth="1"/>
    <col min="7" max="7" width="14.5" style="1" customWidth="1"/>
    <col min="8" max="8" width="8" customWidth="1"/>
    <col min="9" max="9" width="9" style="1"/>
    <col min="10" max="10" width="39.75" style="1" customWidth="1"/>
    <col min="11" max="11" width="47.75" style="1" customWidth="1"/>
    <col min="12" max="12" width="15.75" style="1" customWidth="1"/>
    <col min="13" max="13" width="7.875" customWidth="1"/>
    <col min="14" max="14" width="21.5" style="1" customWidth="1"/>
    <col min="15" max="15" width="29.875" style="1" customWidth="1"/>
    <col min="16" max="18" width="13" style="1" customWidth="1"/>
    <col min="20" max="16384" width="9" style="1"/>
  </cols>
  <sheetData>
    <row r="1" spans="1:18">
      <c r="A1" s="5" t="s">
        <v>59</v>
      </c>
      <c r="H1" s="12"/>
      <c r="I1" s="11"/>
      <c r="J1" s="11"/>
      <c r="K1" s="11"/>
      <c r="L1" s="11"/>
      <c r="M1" s="12"/>
    </row>
    <row r="2" spans="1:18">
      <c r="A2" s="1" t="s">
        <v>0</v>
      </c>
      <c r="B2" s="1" t="s">
        <v>7</v>
      </c>
      <c r="C2" s="1" t="s">
        <v>8</v>
      </c>
      <c r="D2" s="1" t="s">
        <v>26</v>
      </c>
      <c r="F2" s="6" t="s">
        <v>43</v>
      </c>
      <c r="G2" s="1" t="s">
        <v>44</v>
      </c>
      <c r="H2" s="12"/>
      <c r="J2" s="1" t="s">
        <v>3</v>
      </c>
      <c r="K2" s="1" t="s">
        <v>2</v>
      </c>
      <c r="L2" s="1" t="s">
        <v>60</v>
      </c>
      <c r="M2" s="12"/>
      <c r="N2" s="1" t="s">
        <v>61</v>
      </c>
      <c r="O2" s="1" t="s">
        <v>27</v>
      </c>
      <c r="P2" s="1" t="s">
        <v>62</v>
      </c>
      <c r="R2" s="1" t="s">
        <v>63</v>
      </c>
    </row>
    <row r="3" spans="1:18">
      <c r="A3" s="1" t="s">
        <v>1</v>
      </c>
      <c r="B3" s="7">
        <v>1</v>
      </c>
      <c r="C3" s="7">
        <v>0</v>
      </c>
      <c r="D3" s="1" t="str">
        <f>COMPLEX(B3,C3,"j")</f>
        <v>1</v>
      </c>
      <c r="F3" s="6">
        <v>0</v>
      </c>
      <c r="G3" s="1">
        <v>0</v>
      </c>
      <c r="H3" s="12"/>
      <c r="I3" s="1">
        <v>0</v>
      </c>
      <c r="J3" s="1" t="str">
        <f>D5</f>
        <v>1</v>
      </c>
      <c r="K3" s="1" t="str">
        <f>D4</f>
        <v>1.05</v>
      </c>
      <c r="L3" s="1">
        <f>-IMAGINARY(IMPRODUCT((IMSUM((IMPRODUCT($D$44,$D$3)),(IMPRODUCT($D$45,O3)),(IMPRODUCT($D$46,J4)))),O3))</f>
        <v>0.44848304580607501</v>
      </c>
      <c r="M3" s="12"/>
      <c r="N3" s="1" t="str">
        <f>COMPLEX($B$8,-L3,"j")</f>
        <v>4-0.448483045806075j</v>
      </c>
      <c r="O3" s="1" t="str">
        <f>K3</f>
        <v>1.05</v>
      </c>
      <c r="P3" s="1" t="s">
        <v>67</v>
      </c>
      <c r="Q3" s="1" t="s">
        <v>66</v>
      </c>
    </row>
    <row r="4" spans="1:18">
      <c r="A4" s="1" t="s">
        <v>2</v>
      </c>
      <c r="B4" s="7">
        <v>1.05</v>
      </c>
      <c r="C4" s="7">
        <v>0</v>
      </c>
      <c r="D4" s="1" t="str">
        <f t="shared" ref="D4:D13" si="0">COMPLEX(B4,C4,"j")</f>
        <v>1.05</v>
      </c>
      <c r="F4" s="1">
        <f>IMABS(IMSUB(0,K3))</f>
        <v>1.05</v>
      </c>
      <c r="G4" s="1">
        <f>IMABS(IMSUB(J3,0))</f>
        <v>1</v>
      </c>
      <c r="H4" s="12"/>
      <c r="I4" s="1">
        <v>1</v>
      </c>
      <c r="J4" s="1" t="str">
        <f>IMDIV((IMSUB(IMSUB((IMDIV($D$9,IMCONJUGATE(J3))),(IMPRODUCT($D$48,$D$3))),(IMPRODUCT($D$49,O3)))),$D$50)</f>
        <v>1.09681737061273-0.146966091612135j</v>
      </c>
      <c r="K4" s="1" t="str">
        <f>IMDIV((IMSUB(IMSUB((IMDIV(N3,IMCONJUGATE(O3))),(IMPRODUCT($D$44,$D$3))),(IMPRODUCT($D$46,J4)))),$D$45)</f>
        <v>1.05170732472933+0.0213415591166931j</v>
      </c>
      <c r="L4" s="1">
        <f t="shared" ref="L4:L34" si="1">-IMAGINARY(IMPRODUCT((IMSUM((IMPRODUCT($D$44,$D$3)),(IMPRODUCT($D$45,O4)),(IMPRODUCT($D$46,J5)))),O4))</f>
        <v>0.68482206416256497</v>
      </c>
      <c r="M4" s="12"/>
      <c r="N4" s="1" t="str">
        <f t="shared" ref="N4:N34" si="2">COMPLEX($B$8,-L4,"j")</f>
        <v>4-0.684822064162565j</v>
      </c>
      <c r="O4" s="1" t="str">
        <f>COMPLEX($B$4,R4,"j")</f>
        <v>1.05-0.139446625227355j</v>
      </c>
      <c r="P4" s="1">
        <f t="shared" ref="P4:P34" si="3">(IMARGUMENT(J4))</f>
        <v>-0.13319983675623381</v>
      </c>
      <c r="Q4" s="1">
        <f>DEGREES(P4)</f>
        <v>-7.6317884779637311</v>
      </c>
      <c r="R4" s="1">
        <f>$B$4*SIN(P4)</f>
        <v>-0.13944662522735526</v>
      </c>
    </row>
    <row r="5" spans="1:18">
      <c r="A5" s="1" t="s">
        <v>3</v>
      </c>
      <c r="B5" s="7">
        <v>1</v>
      </c>
      <c r="C5" s="7">
        <v>0</v>
      </c>
      <c r="D5" s="1" t="str">
        <f t="shared" si="0"/>
        <v>1</v>
      </c>
      <c r="F5" s="1">
        <f t="shared" ref="F5:F34" si="4">IMABS(IMSUB(K4,K5))</f>
        <v>2.6196421073674762E-2</v>
      </c>
      <c r="G5" s="1">
        <f t="shared" ref="G5:G34" si="5">IMABS(IMSUB(J5,J4))</f>
        <v>6.6873574789654736E-2</v>
      </c>
      <c r="H5" s="12"/>
      <c r="I5" s="1">
        <v>2</v>
      </c>
      <c r="J5" s="1" t="str">
        <f t="shared" ref="J5:J34" si="6">IMDIV((IMSUB(IMSUB((IMDIV($D$9,IMCONJUGATE(J4))),(IMPRODUCT($D$48,$D$3))),(IMPRODUCT($D$49,O4)))),$D$50)</f>
        <v>1.07325931297253-0.20955277490314j</v>
      </c>
      <c r="K5" s="1" t="str">
        <f t="shared" ref="K5:K34" si="7">IMDIV((IMSUB(IMSUB((IMDIV(N4,IMCONJUGATE(O4))),(IMPRODUCT($D$44,$D$3))),(IMPRODUCT($D$46,J5)))),$D$45)</f>
        <v>1.05925482756874-0.00374404787134632j</v>
      </c>
      <c r="L5" s="1">
        <f t="shared" si="1"/>
        <v>9.9626240039092595E-2</v>
      </c>
      <c r="M5" s="12"/>
      <c r="N5" s="1" t="str">
        <f t="shared" si="2"/>
        <v>4-0.0996262400390926j</v>
      </c>
      <c r="O5" s="1" t="str">
        <f t="shared" ref="O5:O34" si="8">COMPLEX($B$4,R5,"j")</f>
        <v>1.05-0.201211972580337j</v>
      </c>
      <c r="P5" s="1">
        <f t="shared" si="3"/>
        <v>-0.19282311550585168</v>
      </c>
      <c r="Q5" s="1">
        <f t="shared" ref="Q5:Q34" si="9">DEGREES(P5)</f>
        <v>-11.047950711048884</v>
      </c>
      <c r="R5" s="1">
        <f t="shared" ref="R5:R34" si="10">$B$4*SIN(P5)</f>
        <v>-0.20121197258033677</v>
      </c>
    </row>
    <row r="6" spans="1:18">
      <c r="F6" s="1">
        <f t="shared" si="4"/>
        <v>1.2911382367403829E-2</v>
      </c>
      <c r="G6" s="1">
        <f t="shared" si="5"/>
        <v>3.5717992190202115E-2</v>
      </c>
      <c r="H6" s="12"/>
      <c r="I6" s="1">
        <v>3</v>
      </c>
      <c r="J6" s="1" t="str">
        <f t="shared" si="6"/>
        <v>1.06597944536703-0.244521024698429j</v>
      </c>
      <c r="K6" s="1" t="str">
        <f t="shared" si="7"/>
        <v>1.05299864826377-0.0150384719443734j</v>
      </c>
      <c r="L6" s="1">
        <f t="shared" si="1"/>
        <v>-0.36131825505328602</v>
      </c>
      <c r="M6" s="12"/>
      <c r="N6" s="1" t="str">
        <f t="shared" si="2"/>
        <v>4+0.361318255053286j</v>
      </c>
      <c r="O6" s="1" t="str">
        <f t="shared" si="8"/>
        <v>1.05-0.234758469281499j</v>
      </c>
      <c r="P6" s="1">
        <f t="shared" si="3"/>
        <v>-0.22548539349992494</v>
      </c>
      <c r="Q6" s="1">
        <f t="shared" si="9"/>
        <v>-12.919361389392305</v>
      </c>
      <c r="R6" s="1">
        <f t="shared" si="10"/>
        <v>-0.23475846928149932</v>
      </c>
    </row>
    <row r="7" spans="1:18">
      <c r="B7" s="1" t="s">
        <v>21</v>
      </c>
      <c r="C7" s="1" t="s">
        <v>22</v>
      </c>
      <c r="D7" s="1" t="s">
        <v>40</v>
      </c>
      <c r="F7" s="1">
        <f t="shared" si="4"/>
        <v>7.4594101187617683E-3</v>
      </c>
      <c r="G7" s="1">
        <f t="shared" si="5"/>
        <v>1.8377222970952518E-2</v>
      </c>
      <c r="H7" s="12"/>
      <c r="I7" s="1">
        <v>4</v>
      </c>
      <c r="J7" s="1" t="str">
        <f t="shared" si="6"/>
        <v>1.06161681780445-0.262372909889476j</v>
      </c>
      <c r="K7" s="1" t="str">
        <f t="shared" si="7"/>
        <v>1.04733451018699-0.0198923713218899j</v>
      </c>
      <c r="L7" s="1">
        <f t="shared" si="1"/>
        <v>-0.63862722650971204</v>
      </c>
      <c r="M7" s="12"/>
      <c r="N7" s="1" t="str">
        <f t="shared" si="2"/>
        <v>4+0.638627226509712j</v>
      </c>
      <c r="O7" s="1" t="str">
        <f t="shared" si="8"/>
        <v>1.05-0.251922141610284j</v>
      </c>
      <c r="P7" s="1">
        <f t="shared" si="3"/>
        <v>-0.24228946844914795</v>
      </c>
      <c r="Q7" s="1">
        <f t="shared" si="9"/>
        <v>-13.882163962604297</v>
      </c>
      <c r="R7" s="1">
        <f t="shared" si="10"/>
        <v>-0.25192214161028376</v>
      </c>
    </row>
    <row r="8" spans="1:18">
      <c r="A8" s="1" t="s">
        <v>19</v>
      </c>
      <c r="B8" s="7">
        <v>4</v>
      </c>
      <c r="C8" s="7"/>
      <c r="D8" s="1" t="str">
        <f>COMPLEX(B8,-C8,"j")</f>
        <v>4</v>
      </c>
      <c r="F8" s="1">
        <f t="shared" si="4"/>
        <v>4.0849270463715536E-3</v>
      </c>
      <c r="G8" s="1">
        <f t="shared" si="5"/>
        <v>9.3752328710688462E-3</v>
      </c>
      <c r="H8" s="12"/>
      <c r="I8" s="1">
        <v>5</v>
      </c>
      <c r="J8" s="1" t="str">
        <f t="shared" si="6"/>
        <v>1.0593623723314-0.271473045437687j</v>
      </c>
      <c r="K8" s="1" t="str">
        <f t="shared" si="7"/>
        <v>1.0438653021578-0.0220490411214608j</v>
      </c>
      <c r="L8" s="1">
        <f t="shared" si="1"/>
        <v>-0.79035406732922198</v>
      </c>
      <c r="M8" s="12"/>
      <c r="N8" s="1" t="str">
        <f t="shared" si="2"/>
        <v>4+0.790354067329222j</v>
      </c>
      <c r="O8" s="1" t="str">
        <f t="shared" si="8"/>
        <v>1.05-0.260651472830816j</v>
      </c>
      <c r="P8" s="1">
        <f t="shared" si="3"/>
        <v>-0.25086244202752933</v>
      </c>
      <c r="Q8" s="1">
        <f t="shared" si="9"/>
        <v>-14.373359166522716</v>
      </c>
      <c r="R8" s="1">
        <f t="shared" si="10"/>
        <v>-0.26065147283081574</v>
      </c>
    </row>
    <row r="9" spans="1:18">
      <c r="A9" s="1" t="s">
        <v>20</v>
      </c>
      <c r="B9" s="7">
        <v>-5</v>
      </c>
      <c r="C9" s="7">
        <v>-4</v>
      </c>
      <c r="D9" s="1" t="str">
        <f t="shared" si="0"/>
        <v>-5-4j</v>
      </c>
      <c r="F9" s="1">
        <f t="shared" si="4"/>
        <v>2.1538099035376488E-3</v>
      </c>
      <c r="G9" s="1">
        <f t="shared" si="5"/>
        <v>4.7443798864539718E-3</v>
      </c>
      <c r="H9" s="12"/>
      <c r="I9" s="1">
        <v>6</v>
      </c>
      <c r="J9" s="1" t="str">
        <f t="shared" si="6"/>
        <v>1.05820577086536-0.276074285874324j</v>
      </c>
      <c r="K9" s="1" t="str">
        <f t="shared" si="7"/>
        <v>1.04195771470327-0.0230490447234026j</v>
      </c>
      <c r="L9" s="1">
        <f t="shared" si="1"/>
        <v>-0.86975647730700201</v>
      </c>
      <c r="M9" s="12"/>
      <c r="N9" s="1" t="str">
        <f t="shared" si="2"/>
        <v>4+0.869756477307002j</v>
      </c>
      <c r="O9" s="1" t="str">
        <f t="shared" si="8"/>
        <v>1.05-0.265061515865935j</v>
      </c>
      <c r="P9" s="1">
        <f t="shared" si="3"/>
        <v>-0.25520062284485329</v>
      </c>
      <c r="Q9" s="1">
        <f t="shared" si="9"/>
        <v>-14.621918618119993</v>
      </c>
      <c r="R9" s="1">
        <f t="shared" si="10"/>
        <v>-0.26506151586593479</v>
      </c>
    </row>
    <row r="10" spans="1:18">
      <c r="F10" s="1">
        <f t="shared" si="4"/>
        <v>1.1087555575027949E-3</v>
      </c>
      <c r="G10" s="1">
        <f t="shared" si="5"/>
        <v>2.3917357708921868E-3</v>
      </c>
      <c r="H10" s="12"/>
      <c r="I10" s="1">
        <v>7</v>
      </c>
      <c r="J10" s="1" t="str">
        <f t="shared" si="6"/>
        <v>1.05761919744415-0.278392977664816j</v>
      </c>
      <c r="K10" s="1" t="str">
        <f t="shared" si="7"/>
        <v>1.04095817089138-0.0235288895466589j</v>
      </c>
      <c r="L10" s="1">
        <f t="shared" si="1"/>
        <v>-0.91044865534951003</v>
      </c>
      <c r="M10" s="12"/>
      <c r="N10" s="1" t="str">
        <f t="shared" si="2"/>
        <v>4+0.91044865534951j</v>
      </c>
      <c r="O10" s="1" t="str">
        <f t="shared" si="8"/>
        <v>1.05-0.267282735502458j</v>
      </c>
      <c r="P10" s="1">
        <f t="shared" si="3"/>
        <v>-0.25738750264058857</v>
      </c>
      <c r="Q10" s="1">
        <f t="shared" si="9"/>
        <v>-14.747217600718058</v>
      </c>
      <c r="R10" s="1">
        <f t="shared" si="10"/>
        <v>-0.2672827355024579</v>
      </c>
    </row>
    <row r="11" spans="1:18">
      <c r="A11" s="1" t="s">
        <v>4</v>
      </c>
      <c r="B11" s="8">
        <v>0</v>
      </c>
      <c r="C11" s="8">
        <v>2.5000000000000001E-2</v>
      </c>
      <c r="D11" s="1" t="str">
        <f t="shared" si="0"/>
        <v>0.025j</v>
      </c>
      <c r="F11" s="1">
        <f t="shared" si="4"/>
        <v>5.6381058498702723E-4</v>
      </c>
      <c r="G11" s="1">
        <f t="shared" si="5"/>
        <v>1.2032813399066029E-3</v>
      </c>
      <c r="H11" s="12"/>
      <c r="I11" s="1">
        <v>8</v>
      </c>
      <c r="J11" s="1" t="str">
        <f t="shared" si="6"/>
        <v>1.05732317318695-0.279559277635714j</v>
      </c>
      <c r="K11" s="1" t="str">
        <f t="shared" si="7"/>
        <v>1.04044572197954-0.0237640033244292j</v>
      </c>
      <c r="L11" s="1">
        <f t="shared" si="1"/>
        <v>-0.93108869614475898</v>
      </c>
      <c r="M11" s="12"/>
      <c r="N11" s="1" t="str">
        <f t="shared" si="2"/>
        <v>4+0.931088696144759j</v>
      </c>
      <c r="O11" s="1" t="str">
        <f t="shared" si="8"/>
        <v>1.05-0.26839972272047j</v>
      </c>
      <c r="P11" s="1">
        <f t="shared" si="3"/>
        <v>-0.25848769652055864</v>
      </c>
      <c r="Q11" s="1">
        <f t="shared" si="9"/>
        <v>-14.810254066686465</v>
      </c>
      <c r="R11" s="1">
        <f t="shared" si="10"/>
        <v>-0.26839972272047019</v>
      </c>
    </row>
    <row r="12" spans="1:18">
      <c r="A12" s="1" t="s">
        <v>5</v>
      </c>
      <c r="B12" s="8">
        <v>1.2500000000000001E-2</v>
      </c>
      <c r="C12" s="8">
        <v>0.05</v>
      </c>
      <c r="D12" s="1" t="str">
        <f t="shared" si="0"/>
        <v>0.0125+0.05j</v>
      </c>
      <c r="F12" s="1">
        <f t="shared" si="4"/>
        <v>2.8489537992814414E-4</v>
      </c>
      <c r="G12" s="1">
        <f t="shared" si="5"/>
        <v>6.047511771138229E-4</v>
      </c>
      <c r="H12" s="12"/>
      <c r="I12" s="1">
        <v>9</v>
      </c>
      <c r="J12" s="1" t="str">
        <f t="shared" si="6"/>
        <v>1.05717416517497-0.280145383938859j</v>
      </c>
      <c r="K12" s="1" t="str">
        <f t="shared" si="7"/>
        <v>1.0401857604871-0.0238805597483312j</v>
      </c>
      <c r="L12" s="1">
        <f t="shared" si="1"/>
        <v>-0.94150443107525705</v>
      </c>
      <c r="M12" s="12"/>
      <c r="N12" s="1" t="str">
        <f t="shared" si="2"/>
        <v>4+0.941504431075257j</v>
      </c>
      <c r="O12" s="1" t="str">
        <f t="shared" si="8"/>
        <v>1.05-0.268960974412836j</v>
      </c>
      <c r="P12" s="1">
        <f t="shared" si="3"/>
        <v>-0.25904063081812745</v>
      </c>
      <c r="Q12" s="1">
        <f t="shared" si="9"/>
        <v>-14.841934868285188</v>
      </c>
      <c r="R12" s="1">
        <f t="shared" si="10"/>
        <v>-0.26896097441283578</v>
      </c>
    </row>
    <row r="13" spans="1:18">
      <c r="A13" s="1" t="s">
        <v>6</v>
      </c>
      <c r="B13" s="8">
        <v>0.01</v>
      </c>
      <c r="C13" s="8">
        <v>0.05</v>
      </c>
      <c r="D13" s="1" t="str">
        <f t="shared" si="0"/>
        <v>0.01+0.05j</v>
      </c>
      <c r="F13" s="1">
        <f t="shared" si="4"/>
        <v>1.4349928952412722E-4</v>
      </c>
      <c r="G13" s="1">
        <f t="shared" si="5"/>
        <v>3.0378154167655044E-4</v>
      </c>
      <c r="H13" s="12"/>
      <c r="I13" s="1">
        <v>10</v>
      </c>
      <c r="J13" s="1" t="str">
        <f t="shared" si="6"/>
        <v>1.05709925641601-0.280439784860893j</v>
      </c>
      <c r="K13" s="1" t="str">
        <f t="shared" si="7"/>
        <v>1.04005456724241-0.0239387007720718j</v>
      </c>
      <c r="L13" s="1">
        <f t="shared" si="1"/>
        <v>-0.94674719842437705</v>
      </c>
      <c r="M13" s="12"/>
      <c r="N13" s="1" t="str">
        <f t="shared" si="2"/>
        <v>4+0.946747198424377j</v>
      </c>
      <c r="O13" s="1" t="str">
        <f t="shared" si="8"/>
        <v>1.05-0.269242872299047j</v>
      </c>
      <c r="P13" s="1">
        <f t="shared" si="3"/>
        <v>-0.25931838171353383</v>
      </c>
      <c r="Q13" s="1">
        <f t="shared" si="9"/>
        <v>-14.857848822347954</v>
      </c>
      <c r="R13" s="1">
        <f t="shared" si="10"/>
        <v>-0.26924287229904653</v>
      </c>
    </row>
    <row r="14" spans="1:18">
      <c r="B14"/>
      <c r="C14"/>
      <c r="F14" s="1">
        <f t="shared" si="4"/>
        <v>7.2162942455032748E-5</v>
      </c>
      <c r="G14" s="1">
        <f t="shared" si="5"/>
        <v>1.5255723896460925E-4</v>
      </c>
      <c r="H14" s="12"/>
      <c r="I14" s="1">
        <v>11</v>
      </c>
      <c r="J14" s="1" t="str">
        <f t="shared" si="6"/>
        <v>1.05706162298531-0.280587627466573j</v>
      </c>
      <c r="K14" s="1" t="str">
        <f t="shared" si="7"/>
        <v>1.03998852952005-0.023967795608199j</v>
      </c>
      <c r="L14" s="1">
        <f t="shared" si="1"/>
        <v>-0.94938277847196195</v>
      </c>
      <c r="M14" s="12"/>
      <c r="N14" s="1" t="str">
        <f t="shared" si="2"/>
        <v>4+0.949382778471962j</v>
      </c>
      <c r="O14" s="1" t="str">
        <f t="shared" si="8"/>
        <v>1.05-0.269384431413194j</v>
      </c>
      <c r="P14" s="1">
        <f t="shared" si="3"/>
        <v>-0.25945786607414634</v>
      </c>
      <c r="Q14" s="1">
        <f t="shared" si="9"/>
        <v>-14.86584068751913</v>
      </c>
      <c r="R14" s="1">
        <f t="shared" si="10"/>
        <v>-0.26938443141319429</v>
      </c>
    </row>
    <row r="15" spans="1:18">
      <c r="F15" s="1">
        <f>IMABS(IMSUB(K14,K15))</f>
        <v>3.6259906594015429E-5</v>
      </c>
      <c r="G15" s="1">
        <f t="shared" si="5"/>
        <v>7.6603271880536691E-5</v>
      </c>
      <c r="H15" s="12"/>
      <c r="I15" s="1">
        <v>12</v>
      </c>
      <c r="J15" s="1" t="str">
        <f t="shared" si="6"/>
        <v>1.05704272247415-0.280661862444452j</v>
      </c>
      <c r="K15" s="1" t="str">
        <f t="shared" si="7"/>
        <v>1.03995533149135-0.0239823788765793j</v>
      </c>
      <c r="L15" s="1">
        <f t="shared" si="1"/>
        <v>-0.95070685643669595</v>
      </c>
      <c r="M15" s="12"/>
      <c r="N15" s="1" t="str">
        <f t="shared" si="2"/>
        <v>4+0.950706856436696j</v>
      </c>
      <c r="O15" s="1" t="str">
        <f t="shared" si="8"/>
        <v>1.05-0.269455510126295j</v>
      </c>
      <c r="P15" s="1">
        <f t="shared" si="3"/>
        <v>-0.25952790497335465</v>
      </c>
      <c r="Q15" s="1">
        <f t="shared" si="9"/>
        <v>-14.869853620845509</v>
      </c>
      <c r="R15" s="1">
        <f t="shared" si="10"/>
        <v>-0.26945551012629537</v>
      </c>
    </row>
    <row r="16" spans="1:18">
      <c r="A16" s="1" t="s">
        <v>46</v>
      </c>
      <c r="B16" s="1" t="s">
        <v>56</v>
      </c>
      <c r="C16" s="1" t="s">
        <v>65</v>
      </c>
      <c r="D16" s="9" t="s">
        <v>66</v>
      </c>
      <c r="F16" s="1">
        <f t="shared" si="4"/>
        <v>1.821219155138948E-5</v>
      </c>
      <c r="G16" s="1">
        <f t="shared" si="5"/>
        <v>3.8462119265025609E-5</v>
      </c>
      <c r="H16" s="12"/>
      <c r="I16" s="1">
        <v>13</v>
      </c>
      <c r="J16" s="1" t="str">
        <f t="shared" si="6"/>
        <v>1.05703323168699-0.280699135217054j</v>
      </c>
      <c r="K16" s="1" t="str">
        <f t="shared" si="7"/>
        <v>1.03993865318903-0.0239896944867947j</v>
      </c>
      <c r="L16" s="1">
        <f t="shared" si="1"/>
        <v>-0.95137184058256996</v>
      </c>
      <c r="M16" s="12"/>
      <c r="N16" s="1" t="str">
        <f t="shared" si="2"/>
        <v>4+0.95137184058257j</v>
      </c>
      <c r="O16" s="1" t="str">
        <f t="shared" si="8"/>
        <v>1.05-0.269491197864673j</v>
      </c>
      <c r="P16" s="1">
        <f t="shared" si="3"/>
        <v>-0.25956307112523408</v>
      </c>
      <c r="Q16" s="1">
        <f t="shared" si="9"/>
        <v>-14.871868492929917</v>
      </c>
      <c r="R16" s="1">
        <f t="shared" si="10"/>
        <v>-0.2694911978646729</v>
      </c>
    </row>
    <row r="17" spans="1:18">
      <c r="A17" s="1" t="s">
        <v>2</v>
      </c>
      <c r="B17" s="14" t="str">
        <f>VLOOKUP(B22,I2:L34,3,0)</f>
        <v>1.03998852952005-0.023967795608199j</v>
      </c>
      <c r="C17" s="1">
        <f>(IMABS(B17))</f>
        <v>1.0402646763009846</v>
      </c>
      <c r="D17" s="1">
        <f>DEGREES(IMARGUMENT(B17))</f>
        <v>-1.3202169511032569</v>
      </c>
      <c r="F17" s="1">
        <f t="shared" si="4"/>
        <v>9.1455298346085783E-6</v>
      </c>
      <c r="G17" s="1">
        <f t="shared" si="5"/>
        <v>1.931099856249996E-5</v>
      </c>
      <c r="H17" s="12"/>
      <c r="I17" s="1">
        <v>14</v>
      </c>
      <c r="J17" s="1" t="str">
        <f t="shared" si="6"/>
        <v>1.05702846633221-0.280717849010344j</v>
      </c>
      <c r="K17" s="1" t="str">
        <f t="shared" si="7"/>
        <v>1.03993027691932-0.0239933658382761j</v>
      </c>
      <c r="L17" s="1">
        <f t="shared" si="1"/>
        <v>-0.95170575790855905</v>
      </c>
      <c r="M17" s="12"/>
      <c r="N17" s="1" t="str">
        <f t="shared" si="2"/>
        <v>4+0.951705757908559j</v>
      </c>
      <c r="O17" s="1" t="str">
        <f t="shared" si="8"/>
        <v>1.05-0.269509115773539j</v>
      </c>
      <c r="P17" s="1">
        <f t="shared" si="3"/>
        <v>-0.25958072728256976</v>
      </c>
      <c r="Q17" s="1">
        <f t="shared" si="9"/>
        <v>-14.87288011622767</v>
      </c>
      <c r="R17" s="1">
        <f t="shared" si="10"/>
        <v>-0.26950911577353909</v>
      </c>
    </row>
    <row r="18" spans="1:18">
      <c r="A18" s="1" t="s">
        <v>60</v>
      </c>
      <c r="B18" s="14">
        <f>VLOOKUP(B22,I2:L34,4,0)</f>
        <v>-0.94938277847196195</v>
      </c>
      <c r="C18" s="1">
        <f t="shared" ref="C18:C19" si="11">(IMABS(B18))</f>
        <v>0.94938277847196195</v>
      </c>
      <c r="D18" s="1">
        <f>IF(B18&gt;0,90,-90)</f>
        <v>-90</v>
      </c>
      <c r="F18" s="1">
        <f t="shared" si="4"/>
        <v>4.5920954282660704E-6</v>
      </c>
      <c r="G18" s="1">
        <f t="shared" si="5"/>
        <v>9.6954738010434205E-6</v>
      </c>
      <c r="H18" s="12"/>
      <c r="I18" s="1">
        <v>15</v>
      </c>
      <c r="J18" s="1" t="str">
        <f t="shared" si="6"/>
        <v>1.05702607373092-0.280727244630137j</v>
      </c>
      <c r="K18" s="1" t="str">
        <f t="shared" si="7"/>
        <v>1.03992607082652-0.0239952086957805j</v>
      </c>
      <c r="L18" s="1">
        <f t="shared" si="1"/>
        <v>-0.95187341867350395</v>
      </c>
      <c r="M18" s="12"/>
      <c r="N18" s="1" t="str">
        <f t="shared" si="2"/>
        <v>4+0.951873418673504j</v>
      </c>
      <c r="O18" s="1" t="str">
        <f t="shared" si="8"/>
        <v>1.05-0.269518111785203j</v>
      </c>
      <c r="P18" s="1">
        <f t="shared" si="3"/>
        <v>-0.25958959190833997</v>
      </c>
      <c r="Q18" s="1">
        <f t="shared" si="9"/>
        <v>-14.873388021871266</v>
      </c>
      <c r="R18" s="1">
        <f t="shared" si="10"/>
        <v>-0.2695181117852033</v>
      </c>
    </row>
    <row r="19" spans="1:18">
      <c r="A19" s="1" t="s">
        <v>3</v>
      </c>
      <c r="B19" s="14" t="str">
        <f>VLOOKUP(B22,I2:L34,2,0)</f>
        <v>1.05706162298531-0.280587627466573j</v>
      </c>
      <c r="C19" s="1">
        <f t="shared" si="11"/>
        <v>1.0936675415662926</v>
      </c>
      <c r="D19" s="1">
        <f t="shared" ref="D19" si="12">DEGREES(IMARGUMENT(B19))</f>
        <v>-14.86584068751913</v>
      </c>
      <c r="F19" s="1">
        <f>IMABS(IMSUB(K18,K19))</f>
        <v>2.3056348578661887E-6</v>
      </c>
      <c r="G19" s="1">
        <f t="shared" si="5"/>
        <v>4.8677662999302641E-6</v>
      </c>
      <c r="H19" s="12"/>
      <c r="I19" s="1">
        <v>16</v>
      </c>
      <c r="J19" s="1" t="str">
        <f t="shared" si="6"/>
        <v>1.05702487247254-0.280731961846165j</v>
      </c>
      <c r="K19" s="1" t="str">
        <f t="shared" si="7"/>
        <v>1.039923958935-0.0239961338262065j</v>
      </c>
      <c r="L19" s="1">
        <f t="shared" si="1"/>
        <v>-0.95195759816080205</v>
      </c>
      <c r="M19" s="12"/>
      <c r="N19" s="1" t="str">
        <f t="shared" si="2"/>
        <v>4+0.951957598160802j</v>
      </c>
      <c r="O19" s="1" t="str">
        <f t="shared" si="8"/>
        <v>1.05-0.269522628366996j</v>
      </c>
      <c r="P19" s="1">
        <f t="shared" si="3"/>
        <v>-0.25959404253375473</v>
      </c>
      <c r="Q19" s="1">
        <f t="shared" si="9"/>
        <v>-14.873643023923725</v>
      </c>
      <c r="R19" s="1">
        <f t="shared" si="10"/>
        <v>-0.26952262836699586</v>
      </c>
    </row>
    <row r="20" spans="1:18">
      <c r="A20" s="1" t="s">
        <v>57</v>
      </c>
      <c r="B20" s="7">
        <v>100</v>
      </c>
      <c r="D20" s="9"/>
      <c r="F20" s="1">
        <f t="shared" si="4"/>
        <v>1.1576010322269662E-6</v>
      </c>
      <c r="G20" s="1">
        <f t="shared" si="5"/>
        <v>2.443928991236034E-6</v>
      </c>
      <c r="H20" s="12"/>
      <c r="I20" s="1">
        <v>17</v>
      </c>
      <c r="J20" s="1" t="str">
        <f t="shared" si="6"/>
        <v>1.05702426936048-0.280734330188361j</v>
      </c>
      <c r="K20" s="1" t="str">
        <f t="shared" si="7"/>
        <v>1.03992289859151-0.0239965982740865j</v>
      </c>
      <c r="L20" s="1">
        <f t="shared" si="1"/>
        <v>-0.95199986232075595</v>
      </c>
      <c r="M20" s="12"/>
      <c r="N20" s="1" t="str">
        <f t="shared" si="2"/>
        <v>4+0.951999862320756j</v>
      </c>
      <c r="O20" s="1" t="str">
        <f t="shared" si="8"/>
        <v>1.05-0.269524895976846j</v>
      </c>
      <c r="P20" s="1">
        <f t="shared" si="3"/>
        <v>-0.25959627703131338</v>
      </c>
      <c r="Q20" s="1">
        <f t="shared" si="9"/>
        <v>-14.873771051203169</v>
      </c>
      <c r="R20" s="1">
        <f t="shared" si="10"/>
        <v>-0.26952489597684598</v>
      </c>
    </row>
    <row r="21" spans="1:18">
      <c r="A21" s="1" t="s">
        <v>1</v>
      </c>
      <c r="B21" s="14" t="str">
        <f>D3</f>
        <v>1</v>
      </c>
      <c r="D21" s="9"/>
      <c r="F21" s="1">
        <f t="shared" si="4"/>
        <v>5.8119467521074878E-7</v>
      </c>
      <c r="G21" s="1">
        <f t="shared" si="5"/>
        <v>1.227005568244024E-6</v>
      </c>
      <c r="H21" s="12"/>
      <c r="I21" s="1">
        <v>18</v>
      </c>
      <c r="J21" s="1" t="str">
        <f t="shared" si="6"/>
        <v>1.05702396655946-0.280735519244376j</v>
      </c>
      <c r="K21" s="1" t="str">
        <f t="shared" si="7"/>
        <v>1.0399223662227-0.0239968314493435j</v>
      </c>
      <c r="L21" s="1">
        <f t="shared" si="1"/>
        <v>-0.95202108175293598</v>
      </c>
      <c r="M21" s="12"/>
      <c r="N21" s="1" t="str">
        <f t="shared" si="2"/>
        <v>4+0.952021081752936j</v>
      </c>
      <c r="O21" s="1" t="str">
        <f t="shared" si="8"/>
        <v>1.05-0.269526034458614j</v>
      </c>
      <c r="P21" s="1">
        <f t="shared" si="3"/>
        <v>-0.25959739888914346</v>
      </c>
      <c r="Q21" s="1">
        <f t="shared" si="9"/>
        <v>-14.873835328922045</v>
      </c>
      <c r="R21" s="1">
        <f t="shared" si="10"/>
        <v>-0.26952603445861439</v>
      </c>
    </row>
    <row r="22" spans="1:18">
      <c r="A22" s="1" t="s">
        <v>64</v>
      </c>
      <c r="B22" s="13">
        <v>11</v>
      </c>
      <c r="C22" s="9"/>
      <c r="F22" s="1">
        <f t="shared" si="4"/>
        <v>2.9179746239595472E-7</v>
      </c>
      <c r="G22" s="1">
        <f t="shared" si="5"/>
        <v>6.1603306769381231E-7</v>
      </c>
      <c r="H22" s="12"/>
      <c r="I22" s="1">
        <v>19</v>
      </c>
      <c r="J22" s="1" t="str">
        <f t="shared" si="6"/>
        <v>1.05702381453429-0.280736116224349j</v>
      </c>
      <c r="K22" s="1" t="str">
        <f t="shared" si="7"/>
        <v>1.03992209893797-0.0239969485161288j</v>
      </c>
      <c r="L22" s="1">
        <f t="shared" si="1"/>
        <v>-0.952031735270919</v>
      </c>
      <c r="M22" s="12"/>
      <c r="N22" s="1" t="str">
        <f t="shared" si="2"/>
        <v>4+0.952031735270919j</v>
      </c>
      <c r="O22" s="1" t="str">
        <f t="shared" si="8"/>
        <v>1.05-0.269526606047096j</v>
      </c>
      <c r="P22" s="1">
        <f t="shared" si="3"/>
        <v>-0.25959796213150305</v>
      </c>
      <c r="Q22" s="1">
        <f t="shared" si="9"/>
        <v>-14.873867600332092</v>
      </c>
      <c r="R22" s="1">
        <f t="shared" si="10"/>
        <v>-0.26952660604709633</v>
      </c>
    </row>
    <row r="23" spans="1:18">
      <c r="B23" s="1" t="s">
        <v>49</v>
      </c>
      <c r="C23" s="9"/>
      <c r="F23" s="1">
        <f t="shared" si="4"/>
        <v>1.4650079514366425E-7</v>
      </c>
      <c r="G23" s="1">
        <f t="shared" si="5"/>
        <v>3.0928673038461737E-7</v>
      </c>
      <c r="H23" s="12"/>
      <c r="I23" s="1">
        <v>20</v>
      </c>
      <c r="J23" s="1" t="str">
        <f t="shared" si="6"/>
        <v>1.05702373820818-0.28073641594523j</v>
      </c>
      <c r="K23" s="1" t="str">
        <f t="shared" si="7"/>
        <v>1.03992196474386-0.0239970072904753j</v>
      </c>
      <c r="L23" s="1">
        <f t="shared" si="1"/>
        <v>-0.952037084007468</v>
      </c>
      <c r="M23" s="12"/>
      <c r="N23" s="1" t="str">
        <f t="shared" si="2"/>
        <v>4+0.952037084007468j</v>
      </c>
      <c r="O23" s="1" t="str">
        <f t="shared" si="8"/>
        <v>1.05-0.26952689301986j</v>
      </c>
      <c r="P23" s="1">
        <f t="shared" si="3"/>
        <v>-0.25959824491402855</v>
      </c>
      <c r="Q23" s="1">
        <f t="shared" si="9"/>
        <v>-14.873883802577325</v>
      </c>
      <c r="R23" s="1">
        <f t="shared" si="10"/>
        <v>-0.2695268930198596</v>
      </c>
    </row>
    <row r="24" spans="1:18">
      <c r="A24" s="1">
        <v>12</v>
      </c>
      <c r="B24" s="1" t="str">
        <f>IMPRODUCT(D35,IMSUB(B21,B17))</f>
        <v>0.95871182432796+1.599541180802j</v>
      </c>
      <c r="C24" s="1" t="s">
        <v>50</v>
      </c>
      <c r="D24" s="1" t="s">
        <v>51</v>
      </c>
      <c r="F24" s="1">
        <f t="shared" si="4"/>
        <v>7.3552549543448347E-8</v>
      </c>
      <c r="G24" s="1">
        <f t="shared" si="5"/>
        <v>1.5528104037436785E-7</v>
      </c>
      <c r="H24" s="12"/>
      <c r="I24" s="1">
        <v>21</v>
      </c>
      <c r="J24" s="1" t="str">
        <f t="shared" si="6"/>
        <v>1.05702369988775-0.280736566423621j</v>
      </c>
      <c r="K24" s="1" t="str">
        <f t="shared" si="7"/>
        <v>1.03992189736997-0.0239970367987197j</v>
      </c>
      <c r="L24" s="1">
        <f t="shared" si="1"/>
        <v>-0.95203976940632395</v>
      </c>
      <c r="M24" s="12"/>
      <c r="N24" s="1" t="str">
        <f t="shared" si="2"/>
        <v>4+0.952039769406324j</v>
      </c>
      <c r="O24" s="1" t="str">
        <f t="shared" si="8"/>
        <v>1.05-0.269527037097902j</v>
      </c>
      <c r="P24" s="1">
        <f t="shared" si="3"/>
        <v>-0.2595983868883206</v>
      </c>
      <c r="Q24" s="1">
        <f t="shared" si="9"/>
        <v>-14.873891937105059</v>
      </c>
      <c r="R24" s="1">
        <f t="shared" si="10"/>
        <v>-0.26952703709790166</v>
      </c>
    </row>
    <row r="25" spans="1:18">
      <c r="A25" s="1">
        <v>21</v>
      </c>
      <c r="B25" s="1" t="str">
        <f>IMPRODUCT(-1,B24)</f>
        <v>-0.95871182432796-1.599541180802j</v>
      </c>
      <c r="C25" s="10" t="str">
        <f>IMPRODUCT(B20,IMPRODUCT(B21,IMCONJUGATE(B24)))</f>
        <v>95.871182432796-159.9541180802j</v>
      </c>
      <c r="D25" s="10" t="str">
        <f>IMSUM(C25,C26)</f>
        <v>8.69415087796901j</v>
      </c>
      <c r="F25" s="1">
        <f t="shared" si="4"/>
        <v>3.6927944072913132E-8</v>
      </c>
      <c r="G25" s="1">
        <f t="shared" si="5"/>
        <v>7.7960661844315858E-8</v>
      </c>
      <c r="H25" s="12"/>
      <c r="I25" s="1">
        <v>22</v>
      </c>
      <c r="J25" s="1" t="str">
        <f t="shared" si="6"/>
        <v>1.05702368064852-0.280736641973054j</v>
      </c>
      <c r="K25" s="1" t="str">
        <f t="shared" si="7"/>
        <v>1.03992186354408-0.0239970516136518j</v>
      </c>
      <c r="L25" s="1">
        <f t="shared" si="1"/>
        <v>-0.95204111764285304</v>
      </c>
      <c r="M25" s="12"/>
      <c r="N25" s="1" t="str">
        <f t="shared" si="2"/>
        <v>4+0.952041117642853j</v>
      </c>
      <c r="O25" s="1" t="str">
        <f t="shared" si="8"/>
        <v>1.05-0.269527109433965j</v>
      </c>
      <c r="P25" s="1">
        <f t="shared" si="3"/>
        <v>-0.25959845816817384</v>
      </c>
      <c r="Q25" s="1">
        <f t="shared" si="9"/>
        <v>-14.873896021139814</v>
      </c>
      <c r="R25" s="1">
        <f t="shared" si="10"/>
        <v>-0.26952710943396518</v>
      </c>
    </row>
    <row r="26" spans="1:18">
      <c r="A26" s="1">
        <v>23</v>
      </c>
      <c r="B26" s="1" t="str">
        <f>IMPRODUCT(D36,IMSUB(B17,B19))</f>
        <v>4.75014698337993+1.52899861515019j</v>
      </c>
      <c r="C26" s="10" t="str">
        <f>IMPRODUCT(B20,IMPRODUCT(B17,IMCONJUGATE(B25)))</f>
        <v>-95.871182432796+168.648268958169j</v>
      </c>
      <c r="F26" s="1">
        <f t="shared" si="4"/>
        <v>1.8540109303533639E-8</v>
      </c>
      <c r="G26" s="1">
        <f t="shared" si="5"/>
        <v>3.9141060634529896E-8</v>
      </c>
      <c r="H26" s="12"/>
      <c r="I26" s="1">
        <v>23</v>
      </c>
      <c r="J26" s="1" t="str">
        <f t="shared" si="6"/>
        <v>1.05702367098924-0.280736679903529j</v>
      </c>
      <c r="K26" s="1" t="str">
        <f t="shared" si="7"/>
        <v>1.03992184656139-0.0239970590516553j</v>
      </c>
      <c r="L26" s="1">
        <f t="shared" si="1"/>
        <v>-0.95204179454101401</v>
      </c>
      <c r="M26" s="12"/>
      <c r="N26" s="1" t="str">
        <f t="shared" si="2"/>
        <v>4+0.952041794541014j</v>
      </c>
      <c r="O26" s="1" t="str">
        <f t="shared" si="8"/>
        <v>1.05-0.26952714575113j</v>
      </c>
      <c r="P26" s="1">
        <f t="shared" si="3"/>
        <v>-0.25959849395505646</v>
      </c>
      <c r="Q26" s="1">
        <f t="shared" si="9"/>
        <v>-14.87389807157715</v>
      </c>
      <c r="R26" s="1">
        <f t="shared" si="10"/>
        <v>-0.26952714575112996</v>
      </c>
    </row>
    <row r="27" spans="1:18">
      <c r="A27" s="1">
        <v>32</v>
      </c>
      <c r="B27" s="1" t="str">
        <f>IMPRODUCT(-1,B26)</f>
        <v>-4.75014698337993-1.52899861515019j</v>
      </c>
      <c r="C27" s="10" t="str">
        <f>IMPRODUCT(B20,IMPRODUCT(B17,IMCONJUGATE(B26)))</f>
        <v>490.345164995626-170.399157341479j</v>
      </c>
      <c r="D27" s="10" t="str">
        <f>IMSUM(C27,C28)</f>
        <v>15.330466657633-17.49929582646j</v>
      </c>
      <c r="F27" s="1">
        <f t="shared" si="4"/>
        <v>9.3082885236203978E-9</v>
      </c>
      <c r="G27" s="1">
        <f t="shared" si="5"/>
        <v>1.9651224609842067E-8</v>
      </c>
      <c r="H27" s="12"/>
      <c r="I27" s="1">
        <v>24</v>
      </c>
      <c r="J27" s="1" t="str">
        <f t="shared" si="6"/>
        <v>1.05702366613969-0.280736698946966j</v>
      </c>
      <c r="K27" s="1" t="str">
        <f t="shared" si="7"/>
        <v>1.03992183803502-0.0239970627859891j</v>
      </c>
      <c r="L27" s="1">
        <f t="shared" si="1"/>
        <v>-0.95204213438575802</v>
      </c>
      <c r="M27" s="12"/>
      <c r="N27" s="1" t="str">
        <f t="shared" si="2"/>
        <v>4+0.952042134385758j</v>
      </c>
      <c r="O27" s="1" t="str">
        <f t="shared" si="8"/>
        <v>1.05-0.269527163984585j</v>
      </c>
      <c r="P27" s="1">
        <f t="shared" si="3"/>
        <v>-0.25959851192227695</v>
      </c>
      <c r="Q27" s="1">
        <f t="shared" si="9"/>
        <v>-14.873899101023053</v>
      </c>
      <c r="R27" s="1">
        <f t="shared" si="10"/>
        <v>-0.26952716398458465</v>
      </c>
    </row>
    <row r="28" spans="1:18">
      <c r="A28" s="1">
        <v>31</v>
      </c>
      <c r="B28" s="1" t="str">
        <f>IMPRODUCT(D37,IMSUB(B19,B21))</f>
        <v>-5.17644813210597-2.1765220861274j</v>
      </c>
      <c r="C28" s="10" t="str">
        <f>IMPRODUCT(B20,IMPRODUCT(B21,IMCONJUGATE(B27)))</f>
        <v>-475.014698337993+152.899861515019j</v>
      </c>
      <c r="F28" s="1">
        <f t="shared" si="4"/>
        <v>4.6733308981355435E-9</v>
      </c>
      <c r="G28" s="1">
        <f t="shared" si="5"/>
        <v>9.8661241204971256E-9</v>
      </c>
      <c r="H28" s="12"/>
      <c r="I28" s="1">
        <v>25</v>
      </c>
      <c r="J28" s="1" t="str">
        <f t="shared" si="6"/>
        <v>1.05702366370492-0.280736708507944j</v>
      </c>
      <c r="K28" s="1" t="str">
        <f t="shared" si="7"/>
        <v>1.03992183375426-0.0239970646608533j</v>
      </c>
      <c r="L28" s="1">
        <f t="shared" si="1"/>
        <v>-0.95204230500864595</v>
      </c>
      <c r="M28" s="12"/>
      <c r="N28" s="1" t="str">
        <f t="shared" si="2"/>
        <v>4+0.952042305008646j</v>
      </c>
      <c r="O28" s="1" t="str">
        <f t="shared" si="8"/>
        <v>1.05-0.269527173138901j</v>
      </c>
      <c r="P28" s="1">
        <f t="shared" si="3"/>
        <v>-0.25959852094292735</v>
      </c>
      <c r="Q28" s="1">
        <f t="shared" si="9"/>
        <v>-14.873899617868249</v>
      </c>
      <c r="R28" s="1">
        <f t="shared" si="10"/>
        <v>-0.26952717313890096</v>
      </c>
    </row>
    <row r="29" spans="1:18">
      <c r="A29" s="1">
        <v>13</v>
      </c>
      <c r="B29" s="1" t="str">
        <f>IMPRODUCT(-1,B28)</f>
        <v>5.17644813210597+2.1765220861274j</v>
      </c>
      <c r="C29" s="10" t="str">
        <f>IMPRODUCT(B20,IMPRODUCT(B19,IMCONJUGATE(B28)))</f>
        <v>-486.111949554813+375.316526891659j</v>
      </c>
      <c r="D29" s="10" t="str">
        <f>IMSUM(C29,C30)</f>
        <v>31.532863655784+157.664318278919j</v>
      </c>
      <c r="F29" s="1">
        <f t="shared" si="4"/>
        <v>2.3462953127209246E-9</v>
      </c>
      <c r="G29" s="1">
        <f t="shared" si="5"/>
        <v>4.9534015137544853E-9</v>
      </c>
      <c r="H29" s="12"/>
      <c r="I29" s="1">
        <v>26</v>
      </c>
      <c r="J29" s="1" t="str">
        <f t="shared" si="6"/>
        <v>1.05702366248251-0.280736713308142j</v>
      </c>
      <c r="K29" s="1" t="str">
        <f t="shared" si="7"/>
        <v>1.03992183160506-0.023997065602151j</v>
      </c>
      <c r="L29" s="1">
        <f t="shared" si="1"/>
        <v>-0.95204239067181795</v>
      </c>
      <c r="M29" s="12"/>
      <c r="N29" s="1" t="str">
        <f t="shared" si="2"/>
        <v>4+0.952042390671818j</v>
      </c>
      <c r="O29" s="1" t="str">
        <f t="shared" si="8"/>
        <v>1.05-0.269527177734931j</v>
      </c>
      <c r="P29" s="1">
        <f t="shared" si="3"/>
        <v>-0.25959852547184908</v>
      </c>
      <c r="Q29" s="1">
        <f t="shared" si="9"/>
        <v>-14.873899877356351</v>
      </c>
      <c r="R29" s="1">
        <f t="shared" si="10"/>
        <v>-0.26952717773493118</v>
      </c>
    </row>
    <row r="30" spans="1:18">
      <c r="A30" s="1" t="s">
        <v>52</v>
      </c>
      <c r="B30" s="10" t="str">
        <f>IMPRODUCT(B20,IMPRODUCT(IMCONJUGATE(B21),IMSUB(IMPRODUCT(B21,IMSUM(D35,D37)),(IMSUM((IMPRODUCT(D35,B17)),(IMPRODUCT(D37,B19)))))))</f>
        <v>613.515995643393+377.606326692941j</v>
      </c>
      <c r="C30" s="10" t="str">
        <f>IMPRODUCT(B20,IMPRODUCT(B21,IMCONJUGATE(B29)))</f>
        <v>517.644813210597-217.65220861274j</v>
      </c>
      <c r="F30" s="1">
        <f t="shared" si="4"/>
        <v>1.177984174215304E-9</v>
      </c>
      <c r="G30" s="1">
        <f t="shared" si="5"/>
        <v>2.4869133285851102E-9</v>
      </c>
      <c r="H30" s="12"/>
      <c r="I30" s="1">
        <v>27</v>
      </c>
      <c r="J30" s="1" t="str">
        <f t="shared" si="6"/>
        <v>1.05702366186879-0.280736715718139j</v>
      </c>
      <c r="K30" s="1" t="str">
        <f t="shared" si="7"/>
        <v>1.03992183052603-0.0239970660747407j</v>
      </c>
      <c r="L30" s="1">
        <f t="shared" si="1"/>
        <v>-0.95204243367999397</v>
      </c>
      <c r="M30" s="12"/>
      <c r="N30" s="1" t="str">
        <f t="shared" si="2"/>
        <v>4+0.952042433679994j</v>
      </c>
      <c r="O30" s="1" t="str">
        <f t="shared" si="8"/>
        <v>1.05-0.269527180042422j</v>
      </c>
      <c r="P30" s="1">
        <f t="shared" si="3"/>
        <v>-0.25959852774564729</v>
      </c>
      <c r="Q30" s="1">
        <f t="shared" si="9"/>
        <v>-14.873900007635392</v>
      </c>
      <c r="R30" s="1">
        <f t="shared" si="10"/>
        <v>-0.26952718004242204</v>
      </c>
    </row>
    <row r="31" spans="1:18">
      <c r="A31" s="1" t="s">
        <v>19</v>
      </c>
      <c r="B31" s="10" t="str">
        <f>IMPRODUCT(B20,COMPLEX(B8,L14,"j"))</f>
        <v>400-94.9382778471962j</v>
      </c>
      <c r="F31" s="1">
        <f t="shared" si="4"/>
        <v>5.9143022627106037E-10</v>
      </c>
      <c r="G31" s="1">
        <f t="shared" si="5"/>
        <v>1.2485838786928542E-9</v>
      </c>
      <c r="H31" s="12"/>
      <c r="I31" s="1">
        <v>28</v>
      </c>
      <c r="J31" s="1" t="str">
        <f t="shared" si="6"/>
        <v>1.05702366156066-0.280736716928105j</v>
      </c>
      <c r="K31" s="1" t="str">
        <f t="shared" si="7"/>
        <v>1.03992182998428-0.0239970663120099j</v>
      </c>
      <c r="L31" s="1">
        <f t="shared" si="1"/>
        <v>-0.95204245527272302</v>
      </c>
      <c r="M31" s="12"/>
      <c r="N31" s="1" t="str">
        <f t="shared" si="2"/>
        <v>4+0.952042455272723j</v>
      </c>
      <c r="O31" s="1" t="str">
        <f t="shared" si="8"/>
        <v>1.05-0.269527181200925j</v>
      </c>
      <c r="P31" s="1">
        <f t="shared" si="3"/>
        <v>-0.25959852888723428</v>
      </c>
      <c r="Q31" s="1">
        <f t="shared" si="9"/>
        <v>-14.873900073043508</v>
      </c>
      <c r="R31" s="1">
        <f t="shared" si="10"/>
        <v>-0.26952718120092478</v>
      </c>
    </row>
    <row r="32" spans="1:18">
      <c r="A32" s="1" t="s">
        <v>20</v>
      </c>
      <c r="B32" s="10" t="str">
        <f>IMPRODUCT(B20,COMPLEX(B9,C9,"j"))</f>
        <v>-500-400j</v>
      </c>
      <c r="F32" s="1">
        <f t="shared" si="4"/>
        <v>2.9692359339414623E-10</v>
      </c>
      <c r="G32" s="1">
        <f t="shared" si="5"/>
        <v>6.268665208241359E-10</v>
      </c>
      <c r="H32" s="12"/>
      <c r="I32" s="1">
        <v>29</v>
      </c>
      <c r="J32" s="1" t="str">
        <f t="shared" si="6"/>
        <v>1.05702366140596-0.280736717535583j</v>
      </c>
      <c r="K32" s="1" t="str">
        <f t="shared" si="7"/>
        <v>1.0399218297123-0.0239970664311338j</v>
      </c>
      <c r="L32" s="1">
        <f t="shared" si="1"/>
        <v>-0.95204246611367704</v>
      </c>
      <c r="M32" s="12"/>
      <c r="N32" s="1" t="str">
        <f t="shared" si="2"/>
        <v>4+0.952042466113677j</v>
      </c>
      <c r="O32" s="1" t="str">
        <f t="shared" si="8"/>
        <v>1.05-0.269527181782565j</v>
      </c>
      <c r="P32" s="1">
        <f t="shared" si="3"/>
        <v>-0.2595985294603817</v>
      </c>
      <c r="Q32" s="1">
        <f t="shared" si="9"/>
        <v>-14.873900105882436</v>
      </c>
      <c r="R32" s="1">
        <f t="shared" si="10"/>
        <v>-0.26952718178256496</v>
      </c>
    </row>
    <row r="33" spans="1:18">
      <c r="F33" s="1">
        <f t="shared" si="4"/>
        <v>1.4908263830093079E-10</v>
      </c>
      <c r="G33" s="1">
        <f t="shared" si="5"/>
        <v>3.1472652039376032E-10</v>
      </c>
      <c r="H33" s="12"/>
      <c r="I33" s="1">
        <v>30</v>
      </c>
      <c r="J33" s="1" t="str">
        <f t="shared" si="6"/>
        <v>1.05702366132829-0.280736717840575j</v>
      </c>
      <c r="K33" s="1" t="str">
        <f t="shared" si="7"/>
        <v>1.03992182957574-0.0239970664909416j</v>
      </c>
      <c r="L33" s="1">
        <f t="shared" si="1"/>
        <v>-0.95204247155656496</v>
      </c>
      <c r="M33" s="12"/>
      <c r="N33" s="1" t="str">
        <f t="shared" si="2"/>
        <v>4+0.952042471556565j</v>
      </c>
      <c r="O33" s="1" t="str">
        <f t="shared" si="8"/>
        <v>1.05-0.269527182074585j</v>
      </c>
      <c r="P33" s="1">
        <f t="shared" si="3"/>
        <v>-0.25959852974813791</v>
      </c>
      <c r="Q33" s="1">
        <f t="shared" si="9"/>
        <v>-14.873900122369651</v>
      </c>
      <c r="R33" s="1">
        <f t="shared" si="10"/>
        <v>-0.26952718207458509</v>
      </c>
    </row>
    <row r="34" spans="1:18">
      <c r="F34" s="1">
        <f t="shared" si="4"/>
        <v>7.484690190773696E-11</v>
      </c>
      <c r="G34" s="1">
        <f t="shared" si="5"/>
        <v>1.5801096972578167E-10</v>
      </c>
      <c r="H34" s="12"/>
      <c r="I34" s="1">
        <v>31</v>
      </c>
      <c r="J34" s="1" t="str">
        <f t="shared" si="6"/>
        <v>1.0570236612893-0.2807367179937j</v>
      </c>
      <c r="K34" s="1" t="str">
        <f t="shared" si="7"/>
        <v>1.03992182950718-0.0239970665209679j</v>
      </c>
      <c r="L34" s="1">
        <f t="shared" si="1"/>
        <v>21.2432743915919</v>
      </c>
      <c r="M34" s="12"/>
      <c r="N34" s="1" t="str">
        <f t="shared" si="2"/>
        <v>4-21.2432743915919j</v>
      </c>
      <c r="O34" s="1" t="str">
        <f t="shared" si="8"/>
        <v>1.05-0.269527182221196j</v>
      </c>
      <c r="P34" s="1">
        <f t="shared" si="3"/>
        <v>-0.25959852989260812</v>
      </c>
      <c r="Q34" s="1">
        <f t="shared" si="9"/>
        <v>-14.873900130647185</v>
      </c>
      <c r="R34" s="1">
        <f t="shared" si="10"/>
        <v>-0.26952718222119598</v>
      </c>
    </row>
    <row r="35" spans="1:18">
      <c r="A35" s="1" t="s">
        <v>23</v>
      </c>
      <c r="B35" s="1">
        <f>B11/(B11^2+C11^2)</f>
        <v>0</v>
      </c>
      <c r="C35" s="1">
        <f>-1*C11/(B11^2+C11^2)</f>
        <v>-39.999999999999993</v>
      </c>
      <c r="D35" s="1" t="str">
        <f>COMPLEX(B35,C35,"j")</f>
        <v>-40j</v>
      </c>
      <c r="H35" s="12"/>
      <c r="I35" s="11"/>
      <c r="J35" s="11"/>
      <c r="K35" s="11"/>
      <c r="L35" s="11"/>
      <c r="M35" s="12"/>
    </row>
    <row r="36" spans="1:18">
      <c r="A36" s="1" t="s">
        <v>24</v>
      </c>
      <c r="B36" s="1">
        <f>B12/(B12^2+C12^2)</f>
        <v>4.7058823529411757</v>
      </c>
      <c r="C36" s="1">
        <f>-1*C12/(B12^2+C12^2)</f>
        <v>-18.823529411764703</v>
      </c>
      <c r="D36" s="1" t="str">
        <f>COMPLEX(B36,C36,"j")</f>
        <v>4.70588235294118-18.8235294117647j</v>
      </c>
    </row>
    <row r="37" spans="1:18">
      <c r="A37" s="1" t="s">
        <v>25</v>
      </c>
      <c r="B37" s="1">
        <f>B13/(B13^2+C13^2)</f>
        <v>3.8461538461538458</v>
      </c>
      <c r="C37" s="1">
        <f>-1*C13/(B13^2+C13^2)</f>
        <v>-19.23076923076923</v>
      </c>
      <c r="D37" s="1" t="str">
        <f>COMPLEX(B37,C37,"j")</f>
        <v>3.84615384615385-19.2307692307692j</v>
      </c>
    </row>
    <row r="38" spans="1:18">
      <c r="H38" s="1"/>
    </row>
    <row r="39" spans="1:18">
      <c r="A39" s="1" t="s">
        <v>18</v>
      </c>
      <c r="H39" s="1"/>
    </row>
    <row r="40" spans="1:18">
      <c r="A40" s="1" t="s">
        <v>12</v>
      </c>
      <c r="B40" s="1">
        <f>B35+B37</f>
        <v>3.8461538461538458</v>
      </c>
      <c r="C40" s="1">
        <f>C35+C37</f>
        <v>-59.230769230769226</v>
      </c>
      <c r="D40" s="1" t="str">
        <f>COMPLEX(B40,C40,"j")</f>
        <v>3.84615384615385-59.2307692307692j</v>
      </c>
      <c r="H40" s="1"/>
    </row>
    <row r="41" spans="1:18">
      <c r="A41" s="1" t="s">
        <v>9</v>
      </c>
      <c r="B41" s="1">
        <f>-1*B35</f>
        <v>0</v>
      </c>
      <c r="C41" s="1">
        <f>-1*C35</f>
        <v>39.999999999999993</v>
      </c>
      <c r="D41" s="1" t="str">
        <f>COMPLEX(B41,C41,"j")</f>
        <v>40j</v>
      </c>
      <c r="H41" s="1"/>
    </row>
    <row r="42" spans="1:18">
      <c r="A42" s="1" t="s">
        <v>13</v>
      </c>
      <c r="B42" s="1">
        <f>-1*B37</f>
        <v>-3.8461538461538458</v>
      </c>
      <c r="C42" s="1">
        <f>-1*C37</f>
        <v>19.23076923076923</v>
      </c>
      <c r="D42" s="1" t="str">
        <f>COMPLEX(B42,C42,"j")</f>
        <v>-3.84615384615385+19.2307692307692j</v>
      </c>
    </row>
    <row r="44" spans="1:18">
      <c r="A44" s="1" t="s">
        <v>14</v>
      </c>
      <c r="B44" s="1">
        <f>B41</f>
        <v>0</v>
      </c>
      <c r="C44" s="1">
        <f>C41</f>
        <v>39.999999999999993</v>
      </c>
      <c r="D44" s="1" t="str">
        <f>COMPLEX(B44,C44,"j")</f>
        <v>40j</v>
      </c>
    </row>
    <row r="45" spans="1:18">
      <c r="A45" s="1" t="s">
        <v>15</v>
      </c>
      <c r="B45" s="1">
        <f>B36+B35</f>
        <v>4.7058823529411757</v>
      </c>
      <c r="C45" s="1">
        <f>C36+C35</f>
        <v>-58.823529411764696</v>
      </c>
      <c r="D45" s="1" t="str">
        <f>COMPLEX(B45,C45,"j")</f>
        <v>4.70588235294118-58.8235294117647j</v>
      </c>
    </row>
    <row r="46" spans="1:18">
      <c r="A46" s="1" t="s">
        <v>10</v>
      </c>
      <c r="B46" s="1">
        <f>-1*B36</f>
        <v>-4.7058823529411757</v>
      </c>
      <c r="C46" s="1">
        <f>-1*C36</f>
        <v>18.823529411764703</v>
      </c>
      <c r="D46" s="1" t="str">
        <f>COMPLEX(B46,C46,"j")</f>
        <v>-4.70588235294118+18.8235294117647j</v>
      </c>
    </row>
    <row r="48" spans="1:18">
      <c r="A48" s="1" t="s">
        <v>11</v>
      </c>
      <c r="B48" s="1">
        <f>B42</f>
        <v>-3.8461538461538458</v>
      </c>
      <c r="C48" s="1">
        <f>C42</f>
        <v>19.23076923076923</v>
      </c>
      <c r="D48" s="1" t="str">
        <f>COMPLEX(B48,C48,"j")</f>
        <v>-3.84615384615385+19.2307692307692j</v>
      </c>
    </row>
    <row r="49" spans="1:4">
      <c r="A49" s="1" t="s">
        <v>16</v>
      </c>
      <c r="B49" s="1">
        <f>B46</f>
        <v>-4.7058823529411757</v>
      </c>
      <c r="C49" s="1">
        <f>C46</f>
        <v>18.823529411764703</v>
      </c>
      <c r="D49" s="1" t="str">
        <f>COMPLEX(B49,C49,"j")</f>
        <v>-4.70588235294118+18.8235294117647j</v>
      </c>
    </row>
    <row r="50" spans="1:4">
      <c r="A50" s="1" t="s">
        <v>17</v>
      </c>
      <c r="B50" s="1">
        <f>B36+B37</f>
        <v>8.5520361990950207</v>
      </c>
      <c r="C50" s="1">
        <f>C36+C37</f>
        <v>-38.054298642533936</v>
      </c>
      <c r="D50" s="1" t="str">
        <f>COMPLEX(B50,C50,"j")</f>
        <v>8.55203619909502-38.0542986425339j</v>
      </c>
    </row>
    <row r="52" spans="1:4">
      <c r="A52" s="3" t="s">
        <v>30</v>
      </c>
    </row>
    <row r="53" spans="1:4">
      <c r="A53" s="3" t="s">
        <v>31</v>
      </c>
    </row>
    <row r="54" spans="1:4">
      <c r="A54" s="3" t="s">
        <v>32</v>
      </c>
    </row>
    <row r="55" spans="1:4">
      <c r="A55" s="3" t="s">
        <v>33</v>
      </c>
    </row>
    <row r="56" spans="1:4">
      <c r="A56" s="4" t="s">
        <v>45</v>
      </c>
    </row>
    <row r="57" spans="1:4">
      <c r="A57" s="3" t="s">
        <v>34</v>
      </c>
    </row>
    <row r="58" spans="1:4">
      <c r="A58" s="3" t="s">
        <v>35</v>
      </c>
    </row>
    <row r="59" spans="1:4">
      <c r="A59" s="3" t="s">
        <v>36</v>
      </c>
    </row>
    <row r="60" spans="1:4">
      <c r="A60" s="3" t="s">
        <v>37</v>
      </c>
    </row>
    <row r="61" spans="1:4">
      <c r="A61" s="3" t="s">
        <v>38</v>
      </c>
    </row>
    <row r="62" spans="1:4">
      <c r="A62" s="2" t="s">
        <v>29</v>
      </c>
    </row>
  </sheetData>
  <phoneticPr fontId="1" type="noConversion"/>
  <conditionalFormatting sqref="G3:G34">
    <cfRule type="expression" dxfId="1" priority="2">
      <formula>$G3&lt;0.002</formula>
    </cfRule>
  </conditionalFormatting>
  <conditionalFormatting sqref="F3:F34">
    <cfRule type="expression" dxfId="0" priority="3">
      <formula>$F3&lt;0.002</formula>
    </cfRule>
  </conditionalFormatting>
  <hyperlinks>
    <hyperlink ref="A62" r:id="rId1" xr:uid="{F3EF8697-35B4-4155-B585-565AAC5C8AC9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ED669-05A8-4EDF-93C0-1D64392C99A5}">
  <dimension ref="A1:N20"/>
  <sheetViews>
    <sheetView tabSelected="1" workbookViewId="0">
      <selection activeCell="D21" sqref="D21"/>
    </sheetView>
  </sheetViews>
  <sheetFormatPr defaultRowHeight="16.5"/>
  <cols>
    <col min="1" max="1" width="10.125" style="1" customWidth="1"/>
    <col min="2" max="2" width="16.25" style="1" customWidth="1"/>
    <col min="3" max="3" width="12.875" style="1" customWidth="1"/>
    <col min="4" max="4" width="36.625" style="1" customWidth="1"/>
    <col min="5" max="5" width="7" style="1" customWidth="1"/>
    <col min="6" max="6" width="13.875" style="1" customWidth="1"/>
    <col min="7" max="7" width="47.5" style="1" customWidth="1"/>
    <col min="8" max="8" width="39.25" style="1" customWidth="1"/>
    <col min="9" max="10" width="9" style="1"/>
    <col min="11" max="11" width="36" style="1" customWidth="1"/>
    <col min="12" max="12" width="18.75" style="1" customWidth="1"/>
    <col min="13" max="13" width="44.75" customWidth="1"/>
    <col min="14" max="14" width="30" customWidth="1"/>
  </cols>
  <sheetData>
    <row r="1" spans="1:14" ht="21">
      <c r="A1" s="16" t="s">
        <v>68</v>
      </c>
      <c r="C1" s="19" t="s">
        <v>85</v>
      </c>
      <c r="K1" s="1" t="s">
        <v>93</v>
      </c>
      <c r="L1" s="1" t="s">
        <v>94</v>
      </c>
      <c r="M1" s="1" t="s">
        <v>95</v>
      </c>
      <c r="N1" s="1" t="s">
        <v>96</v>
      </c>
    </row>
    <row r="2" spans="1:14" ht="28.5">
      <c r="A2" s="15" t="s">
        <v>69</v>
      </c>
      <c r="B2" s="13">
        <v>300</v>
      </c>
      <c r="C2" s="18" t="s">
        <v>99</v>
      </c>
      <c r="D2" s="22">
        <v>500000</v>
      </c>
      <c r="E2" s="1" t="s">
        <v>98</v>
      </c>
      <c r="F2" s="13">
        <v>0</v>
      </c>
      <c r="J2" s="1" t="s">
        <v>91</v>
      </c>
      <c r="K2" s="1" t="str">
        <f>IMSUM(1,IMPRODUCT(0.5,IMPRODUCT(B8,D8)))</f>
        <v>0.928654795225</v>
      </c>
      <c r="L2" s="1" t="str">
        <f>B8</f>
        <v>109.707j</v>
      </c>
      <c r="M2" s="1" t="str">
        <f>IMPRODUCT(IMPRODUCT(D8,0.5),IMSUM(2,IMPRODUCT(0.5,IMPRODUCT(B8,D8))))</f>
        <v>0.0012542524297047j</v>
      </c>
      <c r="N2" s="1" t="str">
        <f>K2</f>
        <v>0.928654795225</v>
      </c>
    </row>
    <row r="3" spans="1:14" ht="28.5">
      <c r="A3" s="15" t="s">
        <v>70</v>
      </c>
      <c r="B3" s="1" t="str">
        <f>COMPLEX(F2,D4*F3,"j")</f>
        <v>0.36569j</v>
      </c>
      <c r="C3" s="18" t="s">
        <v>100</v>
      </c>
      <c r="D3" s="22">
        <v>1000000000</v>
      </c>
      <c r="E3" s="1" t="s">
        <v>97</v>
      </c>
      <c r="F3" s="22">
        <v>9.7000000000000005E-4</v>
      </c>
      <c r="J3" s="1" t="s">
        <v>92</v>
      </c>
      <c r="K3" s="1">
        <f>COS(D9)</f>
        <v>0.92949912678704971</v>
      </c>
      <c r="L3" s="1" t="str">
        <f>COMPLEX(0,B10*SIN(D9),"j")</f>
        <v>107.116528218835j</v>
      </c>
      <c r="M3" s="1" t="str">
        <f>COMPLEX(0,1/B10*SIN(D9),"j")</f>
        <v>0.00126993822115113j</v>
      </c>
      <c r="N3" s="1">
        <f>K3</f>
        <v>0.92949912678704971</v>
      </c>
    </row>
    <row r="4" spans="1:14" ht="28.5">
      <c r="A4" s="15" t="s">
        <v>71</v>
      </c>
      <c r="B4" s="1" t="str">
        <f>COMPLEX(0,D4*F4,"j")</f>
        <v>0.0000043355j</v>
      </c>
      <c r="C4" s="1" t="s">
        <v>101</v>
      </c>
      <c r="D4" s="13">
        <v>377</v>
      </c>
      <c r="E4" s="1" t="s">
        <v>95</v>
      </c>
      <c r="F4" s="22">
        <v>1.15E-8</v>
      </c>
    </row>
    <row r="5" spans="1:14" ht="28.5">
      <c r="A5" s="15"/>
      <c r="B5" s="23" t="str">
        <f>IF(B2&lt;240,"中程","長程")</f>
        <v>長程</v>
      </c>
      <c r="C5" s="1" t="s">
        <v>104</v>
      </c>
      <c r="D5" s="13">
        <v>-0.8</v>
      </c>
      <c r="F5">
        <f>ACOS(D5)</f>
        <v>2.4980915447965089</v>
      </c>
    </row>
    <row r="6" spans="1:14" ht="26.25" customHeight="1">
      <c r="A6" s="1" t="s">
        <v>72</v>
      </c>
      <c r="B6" s="1" t="s">
        <v>74</v>
      </c>
      <c r="C6" s="1" t="s">
        <v>75</v>
      </c>
      <c r="D6" s="1" t="s">
        <v>78</v>
      </c>
      <c r="E6" s="17" t="s">
        <v>81</v>
      </c>
      <c r="F6" s="1" t="s">
        <v>72</v>
      </c>
      <c r="G6" s="14">
        <f>VLOOKUP(B5,J2:N3,2,0)</f>
        <v>0.92949912678704971</v>
      </c>
      <c r="H6" s="14" t="str">
        <f>VLOOKUP(B5,J2:N3,3,0)</f>
        <v>107.116528218835j</v>
      </c>
      <c r="I6" s="1" t="s">
        <v>78</v>
      </c>
    </row>
    <row r="7" spans="1:14" ht="28.5" customHeight="1">
      <c r="A7" s="1" t="s">
        <v>73</v>
      </c>
      <c r="B7" s="1" t="s">
        <v>76</v>
      </c>
      <c r="C7" s="1" t="s">
        <v>77</v>
      </c>
      <c r="D7" s="1" t="s">
        <v>79</v>
      </c>
      <c r="E7" s="1" t="s">
        <v>80</v>
      </c>
      <c r="F7" s="1" t="s">
        <v>73</v>
      </c>
      <c r="G7" s="14" t="str">
        <f>VLOOKUP(B5,J2:N3,4,0)</f>
        <v>0.00126993822115113j</v>
      </c>
      <c r="H7" s="14">
        <f>VLOOKUP(B5,J2:N3,5,0)</f>
        <v>0.92949912678704971</v>
      </c>
      <c r="I7" s="1" t="s">
        <v>79</v>
      </c>
    </row>
    <row r="8" spans="1:14" ht="28.5" customHeight="1">
      <c r="A8" s="1" t="s">
        <v>102</v>
      </c>
      <c r="B8" s="1" t="str">
        <f>IMPRODUCT(B3,B2)</f>
        <v>109.707j</v>
      </c>
      <c r="C8" s="1" t="s">
        <v>103</v>
      </c>
      <c r="D8" s="1" t="str">
        <f>IMPRODUCT(B4,B2)</f>
        <v>0.00130065j</v>
      </c>
    </row>
    <row r="9" spans="1:14" ht="28.5" customHeight="1">
      <c r="A9" s="1" t="s">
        <v>109</v>
      </c>
      <c r="B9" s="21">
        <f>D4*(F3*F4)^0.5</f>
        <v>1.259146137269221E-3</v>
      </c>
      <c r="C9" s="1" t="s">
        <v>110</v>
      </c>
      <c r="D9" s="1">
        <f>B9*B2</f>
        <v>0.37774384118076632</v>
      </c>
    </row>
    <row r="10" spans="1:14" ht="28.5" customHeight="1">
      <c r="A10" s="18" t="s">
        <v>111</v>
      </c>
      <c r="B10" s="1">
        <f>(F3/F4)^0.5</f>
        <v>290.4269720376476</v>
      </c>
    </row>
    <row r="11" spans="1:14" ht="28.5" customHeight="1">
      <c r="B11" s="1" t="s">
        <v>106</v>
      </c>
      <c r="C11" s="1" t="s">
        <v>105</v>
      </c>
      <c r="D11" s="1" t="s">
        <v>107</v>
      </c>
    </row>
    <row r="12" spans="1:14" ht="20.25" customHeight="1">
      <c r="A12" s="18" t="s">
        <v>82</v>
      </c>
      <c r="B12" s="1">
        <f>D2/1.732</f>
        <v>288683.60277136258</v>
      </c>
      <c r="C12" s="1">
        <v>0</v>
      </c>
      <c r="D12" s="1">
        <f>B12</f>
        <v>288683.60277136258</v>
      </c>
    </row>
    <row r="13" spans="1:14" ht="23.25" customHeight="1">
      <c r="A13" s="18" t="s">
        <v>83</v>
      </c>
      <c r="B13" s="1">
        <f>D3</f>
        <v>1000000000</v>
      </c>
      <c r="C13" s="1">
        <f>DEGREES(F5)</f>
        <v>143.13010235415598</v>
      </c>
      <c r="D13" s="1" t="str">
        <f>COMPLEX(B13*COS(F5),B13*SIN(F5),"j")</f>
        <v>-800000000+600000000j</v>
      </c>
    </row>
    <row r="14" spans="1:14" ht="22.5" customHeight="1">
      <c r="A14" s="18" t="s">
        <v>84</v>
      </c>
      <c r="B14" s="1" t="str">
        <f>IMDIV(B13,IMPRODUCT(3,B12))</f>
        <v>1154.66666666667</v>
      </c>
      <c r="C14" s="1">
        <f>-DEGREES(F5)</f>
        <v>-143.13010235415598</v>
      </c>
      <c r="D14" s="1" t="str">
        <f>COMPLEX(B14*COS(-F5),B14*SIN(-F5),"j")</f>
        <v>-923.733333333336-692.800000000002j</v>
      </c>
    </row>
    <row r="15" spans="1:14" ht="21">
      <c r="A15" s="18" t="s">
        <v>86</v>
      </c>
      <c r="B15" s="1">
        <f>IMABS(D15)</f>
        <v>356546.21122059948</v>
      </c>
      <c r="C15" s="1">
        <f>DEGREES(IMARGUMENT(D15))</f>
        <v>-16.111979063618577</v>
      </c>
      <c r="D15" s="1" t="str">
        <f>IMSUM(IMPRODUCT(G6,B12),IMPRODUCT(H6,D14))</f>
        <v>342541.48744373-98947.1076666788j</v>
      </c>
    </row>
    <row r="16" spans="1:14" ht="21">
      <c r="A16" s="18" t="s">
        <v>87</v>
      </c>
      <c r="B16" s="14">
        <f>IMABS(D16)</f>
        <v>902.29216024740742</v>
      </c>
      <c r="C16" s="1">
        <f>DEGREES(IMARGUMENT(D16))</f>
        <v>-162.09858614999303</v>
      </c>
      <c r="D16" s="1" t="str">
        <f>IMSUM(IMPRODUCT(G7,D12),IMPRODUCT(H7,D14))</f>
        <v>-858.609326717426-277.346654059106j</v>
      </c>
    </row>
    <row r="17" spans="1:7" ht="21">
      <c r="A17" s="18" t="s">
        <v>88</v>
      </c>
      <c r="B17" s="14">
        <f>IMABS(D17)</f>
        <v>965126553.45078969</v>
      </c>
      <c r="C17" s="1">
        <f>DEGREES(IMARGUMENT(D17))</f>
        <v>145.98660708637436</v>
      </c>
      <c r="D17" s="1" t="str">
        <f t="shared" ref="D17" si="0">IMPRODUCT(3,IMPRODUCT(D15,IMCONJUGATE(D16)))</f>
        <v>-800000000.000001+539878934.739816j</v>
      </c>
      <c r="G17" s="21"/>
    </row>
    <row r="18" spans="1:7" ht="24" customHeight="1">
      <c r="A18" s="18" t="s">
        <v>108</v>
      </c>
      <c r="B18" s="14">
        <f>B15*1.732</f>
        <v>617538.03783407831</v>
      </c>
      <c r="G18" s="21"/>
    </row>
    <row r="19" spans="1:7" ht="21">
      <c r="A19" s="18" t="s">
        <v>89</v>
      </c>
      <c r="B19" s="14">
        <f>B18/IMREAL(G6)</f>
        <v>664377.21137908893</v>
      </c>
    </row>
    <row r="20" spans="1:7" ht="21">
      <c r="A20" s="20" t="s">
        <v>90</v>
      </c>
      <c r="B20" s="14" t="str">
        <f>ROUND(((B19-D2)/D2*100),2)&amp;"%"</f>
        <v>32.88%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2019-01-01T06:42:35Z</dcterms:created>
  <dcterms:modified xsi:type="dcterms:W3CDTF">2019-01-08T11:42:04Z</dcterms:modified>
</cp:coreProperties>
</file>