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quanj\Desktop\"/>
    </mc:Choice>
  </mc:AlternateContent>
  <xr:revisionPtr revIDLastSave="0" documentId="13_ncr:1_{F1542A95-471C-405B-8948-E6FBC9DD6C9C}" xr6:coauthVersionLast="47" xr6:coauthVersionMax="47" xr10:uidLastSave="{00000000-0000-0000-0000-000000000000}"/>
  <bookViews>
    <workbookView xWindow="11390" yWindow="410" windowWidth="11250" windowHeight="13590" firstSheet="7" activeTab="7" xr2:uid="{00000000-000D-0000-FFFF-FFFF00000000}"/>
  </bookViews>
  <sheets>
    <sheet name="London Olympics Spectators" sheetId="1" r:id="rId1"/>
    <sheet name="Paris Olympics Spectators" sheetId="11" r:id="rId2"/>
    <sheet name="London Olympics Operation" sheetId="12" r:id="rId3"/>
    <sheet name="Paris Olympics Operation" sheetId="19" r:id="rId4"/>
    <sheet name="London Olympics Venues" sheetId="20" r:id="rId5"/>
    <sheet name="Paris Olympics Venues" sheetId="14" r:id="rId6"/>
    <sheet name="London &amp; Rio Infrastructure" sheetId="21" r:id="rId7"/>
    <sheet name="Paris Infrastructure" sheetId="2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2" l="1"/>
  <c r="C6" i="14"/>
  <c r="E73" i="14"/>
  <c r="C11" i="14"/>
  <c r="C12" i="14"/>
  <c r="C13" i="14"/>
  <c r="C14" i="14"/>
  <c r="C15" i="14"/>
  <c r="C16" i="14"/>
  <c r="C17" i="14"/>
  <c r="C18" i="14"/>
  <c r="C19" i="14"/>
  <c r="E74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47" i="14"/>
  <c r="C61" i="14"/>
  <c r="C66" i="14"/>
  <c r="C65" i="14"/>
  <c r="C63" i="14"/>
  <c r="C62" i="14"/>
  <c r="C55" i="14"/>
  <c r="C54" i="14"/>
  <c r="C37" i="14"/>
  <c r="C53" i="14"/>
  <c r="D66" i="14"/>
  <c r="D65" i="14"/>
  <c r="D64" i="14"/>
  <c r="D61" i="14"/>
  <c r="D63" i="14"/>
  <c r="D58" i="14"/>
  <c r="D59" i="14"/>
  <c r="D60" i="14"/>
  <c r="D57" i="14"/>
  <c r="D55" i="14"/>
  <c r="D54" i="14"/>
  <c r="D53" i="14"/>
  <c r="D48" i="14"/>
  <c r="D49" i="14"/>
  <c r="D50" i="14"/>
  <c r="D51" i="14"/>
  <c r="D52" i="14"/>
  <c r="D47" i="14"/>
  <c r="D62" i="14"/>
  <c r="D56" i="14"/>
  <c r="C48" i="14"/>
  <c r="C49" i="14"/>
  <c r="C50" i="14"/>
  <c r="C51" i="14"/>
  <c r="C52" i="14"/>
  <c r="C59" i="14"/>
  <c r="C64" i="14"/>
  <c r="C47" i="14"/>
  <c r="C39" i="14"/>
  <c r="C60" i="14" s="1"/>
  <c r="C38" i="14"/>
  <c r="C35" i="14"/>
  <c r="C34" i="14"/>
  <c r="C56" i="14" s="1"/>
  <c r="C36" i="14"/>
  <c r="C21" i="14"/>
  <c r="C30" i="14"/>
  <c r="C29" i="14"/>
  <c r="C32" i="14"/>
  <c r="C42" i="14"/>
  <c r="C58" i="14" s="1"/>
  <c r="C20" i="14"/>
  <c r="C22" i="14"/>
  <c r="C23" i="14"/>
  <c r="C24" i="14"/>
  <c r="C25" i="14"/>
  <c r="C26" i="14"/>
  <c r="C27" i="14"/>
  <c r="C28" i="14"/>
  <c r="C31" i="14"/>
  <c r="C33" i="14"/>
  <c r="C40" i="14"/>
  <c r="C41" i="14"/>
  <c r="B98" i="14"/>
  <c r="B13" i="14" s="1"/>
  <c r="C32" i="19"/>
  <c r="C31" i="19"/>
  <c r="D31" i="19" s="1"/>
  <c r="C30" i="19"/>
  <c r="D30" i="19" s="1"/>
  <c r="C29" i="19"/>
  <c r="D29" i="19" s="1"/>
  <c r="C28" i="19"/>
  <c r="D28" i="19" s="1"/>
  <c r="C18" i="19"/>
  <c r="B32" i="19" s="1"/>
  <c r="C21" i="19"/>
  <c r="B21" i="19"/>
  <c r="B24" i="19" s="1"/>
  <c r="B49" i="19"/>
  <c r="D40" i="19" s="1"/>
  <c r="E40" i="19" s="1"/>
  <c r="F50" i="14" l="1"/>
  <c r="B29" i="14"/>
  <c r="F29" i="14" s="1"/>
  <c r="B21" i="14"/>
  <c r="F21" i="14" s="1"/>
  <c r="F47" i="14"/>
  <c r="F65" i="14"/>
  <c r="E72" i="14"/>
  <c r="E71" i="14"/>
  <c r="E75" i="14" s="1"/>
  <c r="F48" i="14"/>
  <c r="F66" i="14"/>
  <c r="B22" i="14"/>
  <c r="F22" i="14" s="1"/>
  <c r="F56" i="14"/>
  <c r="F49" i="14"/>
  <c r="F54" i="14"/>
  <c r="B38" i="14"/>
  <c r="F38" i="14" s="1"/>
  <c r="F60" i="14"/>
  <c r="F59" i="14"/>
  <c r="F64" i="14"/>
  <c r="F51" i="14"/>
  <c r="B37" i="14"/>
  <c r="F37" i="14" s="1"/>
  <c r="B30" i="14"/>
  <c r="F30" i="14" s="1"/>
  <c r="F58" i="14"/>
  <c r="B16" i="14"/>
  <c r="F16" i="14" s="1"/>
  <c r="B12" i="14"/>
  <c r="F12" i="14" s="1"/>
  <c r="B36" i="14"/>
  <c r="F36" i="14" s="1"/>
  <c r="B28" i="14"/>
  <c r="F28" i="14" s="1"/>
  <c r="B20" i="14"/>
  <c r="F20" i="14" s="1"/>
  <c r="C57" i="14"/>
  <c r="F57" i="14" s="1"/>
  <c r="B27" i="14"/>
  <c r="F27" i="14" s="1"/>
  <c r="F62" i="14"/>
  <c r="B35" i="14"/>
  <c r="F35" i="14" s="1"/>
  <c r="F55" i="14"/>
  <c r="B15" i="14"/>
  <c r="F15" i="14" s="1"/>
  <c r="F61" i="14"/>
  <c r="F53" i="14"/>
  <c r="B18" i="14"/>
  <c r="F18" i="14" s="1"/>
  <c r="B14" i="14"/>
  <c r="F14" i="14" s="1"/>
  <c r="F52" i="14"/>
  <c r="F13" i="14"/>
  <c r="F63" i="14"/>
  <c r="B19" i="14"/>
  <c r="F19" i="14" s="1"/>
  <c r="B11" i="14"/>
  <c r="F11" i="14" s="1"/>
  <c r="B42" i="14"/>
  <c r="F42" i="14" s="1"/>
  <c r="B34" i="14"/>
  <c r="F34" i="14" s="1"/>
  <c r="B26" i="14"/>
  <c r="F26" i="14" s="1"/>
  <c r="B41" i="14"/>
  <c r="F41" i="14" s="1"/>
  <c r="B33" i="14"/>
  <c r="F33" i="14" s="1"/>
  <c r="B25" i="14"/>
  <c r="F25" i="14" s="1"/>
  <c r="B40" i="14"/>
  <c r="F40" i="14" s="1"/>
  <c r="B32" i="14"/>
  <c r="F32" i="14" s="1"/>
  <c r="B24" i="14"/>
  <c r="F24" i="14" s="1"/>
  <c r="B39" i="14"/>
  <c r="F39" i="14" s="1"/>
  <c r="B31" i="14"/>
  <c r="F31" i="14" s="1"/>
  <c r="B23" i="14"/>
  <c r="F23" i="14" s="1"/>
  <c r="B17" i="14"/>
  <c r="F17" i="14" s="1"/>
  <c r="D32" i="19"/>
  <c r="D33" i="19" s="1"/>
  <c r="C10" i="19"/>
  <c r="D39" i="19"/>
  <c r="E39" i="19" s="1"/>
  <c r="D38" i="19"/>
  <c r="E38" i="19" s="1"/>
  <c r="D44" i="19"/>
  <c r="E44" i="19" s="1"/>
  <c r="D43" i="19"/>
  <c r="E43" i="19" s="1"/>
  <c r="D42" i="19"/>
  <c r="E42" i="19" s="1"/>
  <c r="D37" i="19"/>
  <c r="E37" i="19" s="1"/>
  <c r="D41" i="19"/>
  <c r="E41" i="19" s="1"/>
  <c r="B14" i="12"/>
  <c r="C24" i="11"/>
  <c r="D24" i="11"/>
  <c r="E24" i="11"/>
  <c r="C26" i="11"/>
  <c r="D26" i="11"/>
  <c r="E26" i="11"/>
  <c r="B26" i="11"/>
  <c r="B24" i="11"/>
  <c r="B63" i="11"/>
  <c r="E23" i="11" s="1"/>
  <c r="B52" i="11"/>
  <c r="B56" i="11" s="1"/>
  <c r="A52" i="11"/>
  <c r="E56" i="11" s="1"/>
  <c r="A41" i="11"/>
  <c r="B104" i="11" s="1"/>
  <c r="F43" i="14" l="1"/>
  <c r="C4" i="14" s="1"/>
  <c r="F67" i="14"/>
  <c r="C5" i="14" s="1"/>
  <c r="C9" i="19"/>
  <c r="E45" i="19"/>
  <c r="C7" i="19" s="1"/>
  <c r="B109" i="11"/>
  <c r="B37" i="11"/>
  <c r="C16" i="11"/>
  <c r="B6" i="11"/>
  <c r="B5" i="11"/>
  <c r="E16" i="11"/>
  <c r="E35" i="11" s="1"/>
  <c r="E15" i="11"/>
  <c r="E34" i="11" s="1"/>
  <c r="E37" i="11"/>
  <c r="E5" i="11"/>
  <c r="E7" i="11"/>
  <c r="B111" i="11"/>
  <c r="E14" i="11"/>
  <c r="E33" i="11" s="1"/>
  <c r="D14" i="11"/>
  <c r="D5" i="11"/>
  <c r="C6" i="11"/>
  <c r="B110" i="11"/>
  <c r="D23" i="11"/>
  <c r="C5" i="11"/>
  <c r="D16" i="11"/>
  <c r="D35" i="11" s="1"/>
  <c r="B108" i="11"/>
  <c r="E25" i="11"/>
  <c r="C23" i="11"/>
  <c r="B100" i="11"/>
  <c r="B107" i="11"/>
  <c r="B23" i="11"/>
  <c r="D25" i="11"/>
  <c r="D7" i="11"/>
  <c r="D15" i="11"/>
  <c r="D34" i="11" s="1"/>
  <c r="B117" i="11"/>
  <c r="B103" i="11"/>
  <c r="A56" i="11"/>
  <c r="C25" i="11"/>
  <c r="E6" i="11"/>
  <c r="C15" i="11"/>
  <c r="C34" i="11" s="1"/>
  <c r="B116" i="11"/>
  <c r="B102" i="11"/>
  <c r="B25" i="11"/>
  <c r="D6" i="11"/>
  <c r="B15" i="11"/>
  <c r="B34" i="11" s="1"/>
  <c r="B115" i="11"/>
  <c r="B101" i="11"/>
  <c r="B114" i="11"/>
  <c r="B106" i="11"/>
  <c r="D37" i="11"/>
  <c r="C7" i="11"/>
  <c r="C35" i="11"/>
  <c r="C14" i="11"/>
  <c r="B113" i="11"/>
  <c r="B105" i="11"/>
  <c r="C37" i="11"/>
  <c r="B7" i="11"/>
  <c r="B16" i="11"/>
  <c r="B14" i="11"/>
  <c r="B112" i="11"/>
  <c r="C7" i="14" l="1"/>
  <c r="B6" i="14" s="1"/>
  <c r="B8" i="11"/>
  <c r="D8" i="11"/>
  <c r="C8" i="11"/>
  <c r="F37" i="11"/>
  <c r="E8" i="11"/>
  <c r="F5" i="11"/>
  <c r="F8" i="11" s="1"/>
  <c r="E10" i="11"/>
  <c r="E29" i="11" s="1"/>
  <c r="E12" i="11"/>
  <c r="E31" i="11" s="1"/>
  <c r="F34" i="11"/>
  <c r="D33" i="11"/>
  <c r="C13" i="11"/>
  <c r="C32" i="11" s="1"/>
  <c r="D12" i="11"/>
  <c r="D31" i="11" s="1"/>
  <c r="E36" i="11"/>
  <c r="B33" i="11"/>
  <c r="F14" i="11"/>
  <c r="F15" i="11"/>
  <c r="B35" i="11"/>
  <c r="F35" i="11" s="1"/>
  <c r="F16" i="11"/>
  <c r="B36" i="11"/>
  <c r="D13" i="11"/>
  <c r="D32" i="11" s="1"/>
  <c r="C10" i="11"/>
  <c r="C29" i="11" s="1"/>
  <c r="C11" i="11"/>
  <c r="C30" i="11" s="1"/>
  <c r="D10" i="11"/>
  <c r="D29" i="11" s="1"/>
  <c r="E11" i="11"/>
  <c r="E30" i="11" s="1"/>
  <c r="F6" i="11"/>
  <c r="B12" i="11"/>
  <c r="F7" i="11"/>
  <c r="D11" i="11"/>
  <c r="D30" i="11" s="1"/>
  <c r="E13" i="11"/>
  <c r="E32" i="11" s="1"/>
  <c r="D36" i="11"/>
  <c r="B13" i="11"/>
  <c r="B11" i="11"/>
  <c r="B10" i="11"/>
  <c r="C36" i="11"/>
  <c r="C33" i="11"/>
  <c r="C12" i="11"/>
  <c r="C31" i="11" s="1"/>
  <c r="B5" i="14" l="1"/>
  <c r="B4" i="14"/>
  <c r="B7" i="14" s="1"/>
  <c r="E38" i="11"/>
  <c r="F33" i="11"/>
  <c r="D38" i="11"/>
  <c r="C38" i="11"/>
  <c r="F36" i="11"/>
  <c r="B31" i="11"/>
  <c r="F31" i="11" s="1"/>
  <c r="F12" i="11"/>
  <c r="B29" i="11"/>
  <c r="F10" i="11"/>
  <c r="B30" i="11"/>
  <c r="F30" i="11" s="1"/>
  <c r="F11" i="11"/>
  <c r="B32" i="11"/>
  <c r="F32" i="11" s="1"/>
  <c r="F13" i="11"/>
  <c r="B38" i="11" l="1"/>
  <c r="F29" i="11"/>
  <c r="F38" i="11" s="1"/>
  <c r="C6" i="12"/>
  <c r="C5" i="12"/>
  <c r="C6" i="19" s="1"/>
  <c r="C7" i="12"/>
  <c r="C8" i="12"/>
  <c r="C9" i="12"/>
  <c r="C13" i="12"/>
  <c r="C4" i="12"/>
  <c r="C5" i="19" s="1"/>
  <c r="C12" i="12"/>
  <c r="C12" i="19" s="1"/>
  <c r="C10" i="12"/>
  <c r="C3" i="12"/>
  <c r="C4" i="19" s="1"/>
  <c r="C11" i="12"/>
  <c r="C11" i="19" s="1"/>
  <c r="C8" i="19" l="1"/>
  <c r="C13" i="19"/>
  <c r="B5" i="19" s="1"/>
  <c r="B12" i="19" l="1"/>
  <c r="B11" i="19"/>
  <c r="B9" i="19"/>
  <c r="B4" i="19"/>
  <c r="B10" i="19"/>
  <c r="B8" i="19"/>
  <c r="B7" i="19"/>
  <c r="B6" i="19"/>
  <c r="B13" i="19" l="1"/>
</calcChain>
</file>

<file path=xl/sharedStrings.xml><?xml version="1.0" encoding="utf-8"?>
<sst xmlns="http://schemas.openxmlformats.org/spreadsheetml/2006/main" count="696" uniqueCount="348">
  <si>
    <t>Visitors from...</t>
  </si>
  <si>
    <t>London</t>
  </si>
  <si>
    <t>Rest of UK</t>
  </si>
  <si>
    <t>Rest of Europe</t>
    <phoneticPr fontId="2" type="noConversion"/>
  </si>
  <si>
    <t>Overseas</t>
    <phoneticPr fontId="2" type="noConversion"/>
  </si>
  <si>
    <t>Visitor numbers</t>
  </si>
  <si>
    <t>Olympic Games</t>
  </si>
  <si>
    <t>Paralympic Games</t>
  </si>
  <si>
    <t>Non-ticketed events</t>
  </si>
  <si>
    <t>Consumption data</t>
  </si>
  <si>
    <t>Rail – passenger km</t>
  </si>
  <si>
    <t>Car – passenger km</t>
  </si>
  <si>
    <t>Plane – passenger km</t>
  </si>
  <si>
    <t>Coach/bus – passenger km</t>
  </si>
  <si>
    <t>Catering – number meals</t>
  </si>
  <si>
    <t>Catering – number drinks</t>
  </si>
  <si>
    <t>Accommodation – bed nights</t>
  </si>
  <si>
    <t>Composite conversion factors</t>
  </si>
  <si>
    <t>Rail – kgCO2e/pass-km</t>
  </si>
  <si>
    <t>Car – kgCO2e/pass-km</t>
  </si>
  <si>
    <t>Plane – kgCO2e/pass-km</t>
  </si>
  <si>
    <t>Coach/bus – kgCO2/pass-km</t>
  </si>
  <si>
    <t>Accommodation – kgCO2e/bed night</t>
  </si>
  <si>
    <t>Catering – kgCO2e/meal</t>
  </si>
  <si>
    <t>Catering – kgCO2e/drink</t>
  </si>
  <si>
    <t>Waste – kgCO2e/meal</t>
  </si>
  <si>
    <t>Waste – kgCO2e/drink</t>
  </si>
  <si>
    <t>Merchandise – kgCO2e/item</t>
  </si>
  <si>
    <t>Results (kgCO2e)</t>
  </si>
  <si>
    <t>Rail</t>
  </si>
  <si>
    <t>Car</t>
  </si>
  <si>
    <t>Plane</t>
  </si>
  <si>
    <t>Coach/bus</t>
  </si>
  <si>
    <t>Meals</t>
  </si>
  <si>
    <t>Drinks</t>
  </si>
  <si>
    <t>Accommodation</t>
  </si>
  <si>
    <t>Waste</t>
  </si>
  <si>
    <t>Merchandising</t>
    <phoneticPr fontId="2" type="noConversion"/>
  </si>
  <si>
    <t>Origin of Visitors</t>
  </si>
  <si>
    <t>Coach</t>
  </si>
  <si>
    <t xml:space="preserve">Rest of world </t>
  </si>
  <si>
    <t>Europe</t>
  </si>
  <si>
    <t>London Area</t>
  </si>
  <si>
    <t>Rest of world</t>
  </si>
  <si>
    <t>Local travel</t>
  </si>
  <si>
    <t>- Sandwich and soft drink</t>
  </si>
  <si>
    <t>- Sandwich and tea</t>
  </si>
  <si>
    <t>- Meal with dessert and wine</t>
  </si>
  <si>
    <t>Drink</t>
  </si>
  <si>
    <t>- Soft drink</t>
  </si>
  <si>
    <t>- Tea coffee</t>
  </si>
  <si>
    <t>- Beer</t>
  </si>
  <si>
    <t>- Bottled water</t>
  </si>
  <si>
    <t>Catering Type</t>
  </si>
  <si>
    <t>Sandwich and soft drink</t>
  </si>
  <si>
    <t>Sandwich and tea</t>
  </si>
  <si>
    <t>Healthy meal and water</t>
  </si>
  <si>
    <t>Meal with dessert and wine</t>
  </si>
  <si>
    <t>Soft drink</t>
  </si>
  <si>
    <t>Beer</t>
  </si>
  <si>
    <t>Bottled water</t>
  </si>
  <si>
    <t>Overnight Stays</t>
  </si>
  <si>
    <t>Friends’ House</t>
  </si>
  <si>
    <t>Self-Catering</t>
  </si>
  <si>
    <t>Bed and Breakfast</t>
  </si>
  <si>
    <t>Medium Hotel</t>
  </si>
  <si>
    <t>Luxury Hotel</t>
  </si>
  <si>
    <t>Item</t>
  </si>
  <si>
    <t>Weight (kg per item)</t>
  </si>
  <si>
    <t>Assumed Material Type</t>
  </si>
  <si>
    <t>Apparel/sportswear</t>
  </si>
  <si>
    <t>Textile</t>
  </si>
  <si>
    <t>Pins</t>
  </si>
  <si>
    <t>Metal</t>
  </si>
  <si>
    <t>Jewellery (non-watches)</t>
  </si>
  <si>
    <t>Souvenirs and novelties</t>
  </si>
  <si>
    <t>Programmes</t>
  </si>
  <si>
    <t>Paper</t>
  </si>
  <si>
    <t>Toys</t>
  </si>
  <si>
    <t>Plastic</t>
  </si>
  <si>
    <t>Books</t>
  </si>
  <si>
    <t>Textiles</t>
  </si>
  <si>
    <t>Glassware and ceramics</t>
  </si>
  <si>
    <t>Glass</t>
  </si>
  <si>
    <t>Infant</t>
  </si>
  <si>
    <t>Video game</t>
  </si>
  <si>
    <t>Sports equipment/accessories</t>
  </si>
  <si>
    <t>Seat pillows</t>
  </si>
  <si>
    <t>Leather and travel goods</t>
  </si>
  <si>
    <t>Accessories and sunglasses</t>
  </si>
  <si>
    <t>Beer and wine</t>
  </si>
  <si>
    <t>Music</t>
  </si>
  <si>
    <t>Flags</t>
  </si>
  <si>
    <t>Travel Mode</t>
  </si>
  <si>
    <t>Coach/Bus</t>
  </si>
  <si>
    <t>Plane (Short Haul Tourist)</t>
  </si>
  <si>
    <t>Plane (Long Haul Tourist)</t>
  </si>
  <si>
    <t>Plane (Short Haul Business)</t>
  </si>
  <si>
    <t>Plane (Long Haul Business)</t>
  </si>
  <si>
    <t>Plane (Long Haul First)</t>
  </si>
  <si>
    <t>Accommodation Type</t>
  </si>
  <si>
    <t>kgCO2e/bed night</t>
  </si>
  <si>
    <t>With Friends</t>
  </si>
  <si>
    <t>kg CO2e/Serving</t>
  </si>
  <si>
    <t>Packaging kg CO2e/Serving</t>
  </si>
  <si>
    <t>Tea/coffee</t>
  </si>
  <si>
    <t>kgCO2e/kg</t>
  </si>
  <si>
    <t>Plastics</t>
  </si>
  <si>
    <t>Vehicle type</t>
  </si>
  <si>
    <t>Number</t>
  </si>
  <si>
    <t>Fuel (litres/day)</t>
  </si>
  <si>
    <t>Motorcycles</t>
  </si>
  <si>
    <t>Boats</t>
  </si>
  <si>
    <t>Village and Park vehicles</t>
  </si>
  <si>
    <t>Source</t>
  </si>
  <si>
    <t>Consumption Data</t>
  </si>
  <si>
    <t>Uniforms</t>
  </si>
  <si>
    <t>Number of items</t>
  </si>
  <si>
    <t>- Clothing and accessories (including bags, shoes, etc.)</t>
  </si>
  <si>
    <t>Catering</t>
  </si>
  <si>
    <t>Number of meals</t>
  </si>
  <si>
    <t>Number of drinks</t>
  </si>
  <si>
    <t>- Athletes/officials/technicians</t>
  </si>
  <si>
    <t>1.900,000</t>
  </si>
  <si>
    <t>- Workforce</t>
  </si>
  <si>
    <t>- Olympic/Paralympic Family</t>
  </si>
  <si>
    <t>- Sponsor hospitality</t>
  </si>
  <si>
    <t>Material</t>
  </si>
  <si>
    <t>Tonnes</t>
  </si>
  <si>
    <t>Road Distance (km)</t>
  </si>
  <si>
    <t>Aggregate</t>
  </si>
  <si>
    <t>Asphalt</t>
  </si>
  <si>
    <t>Bitumen</t>
  </si>
  <si>
    <t>Sand</t>
  </si>
  <si>
    <t>Stone</t>
  </si>
  <si>
    <t>Timber</t>
  </si>
  <si>
    <t>Carpet</t>
  </si>
  <si>
    <t>Linoleum</t>
  </si>
  <si>
    <t>Paint</t>
  </si>
  <si>
    <t>Sealants and adhesives</t>
  </si>
  <si>
    <t>Vinyl flooring</t>
  </si>
  <si>
    <t>Aluminium</t>
  </si>
  <si>
    <t>Brass</t>
  </si>
  <si>
    <t>Bronze</t>
  </si>
  <si>
    <t>Copper</t>
  </si>
  <si>
    <t>Iron</t>
  </si>
  <si>
    <t>Lead</t>
  </si>
  <si>
    <t>Steel (structural)</t>
  </si>
  <si>
    <t>Steel</t>
  </si>
  <si>
    <t>Tin</t>
  </si>
  <si>
    <t>Windows</t>
  </si>
  <si>
    <t>Zinc</t>
  </si>
  <si>
    <t>Ceramics</t>
  </si>
  <si>
    <t>Bricks</t>
  </si>
  <si>
    <t>Concrete</t>
  </si>
  <si>
    <t>Plaster</t>
  </si>
  <si>
    <t>Insulation</t>
  </si>
  <si>
    <t>Rubber</t>
  </si>
  <si>
    <t>Other (including mineral ceiling tiles)</t>
  </si>
  <si>
    <t>Steel rebar typical UK</t>
  </si>
  <si>
    <t>Steel typical UK</t>
  </si>
  <si>
    <t>Steel pipe</t>
  </si>
  <si>
    <t>Recycled steel</t>
  </si>
  <si>
    <t>C40 concrete</t>
  </si>
  <si>
    <t>0.75% reinforced concrete</t>
  </si>
  <si>
    <t>1% reinforced concrete</t>
  </si>
  <si>
    <t>1.5% reinforced concrete</t>
  </si>
  <si>
    <t>2% reinforced concrete</t>
  </si>
  <si>
    <t>2.5% reinforced concrete</t>
  </si>
  <si>
    <t>3% reinforced concrete</t>
  </si>
  <si>
    <t>4% reinforced concrete</t>
  </si>
  <si>
    <t>Concrete precast</t>
  </si>
  <si>
    <t>Precast 0.5% reinforced</t>
  </si>
  <si>
    <t>Precast 3% reinforced</t>
  </si>
  <si>
    <t>Fibre‑reinforced concrete</t>
  </si>
  <si>
    <t>Bitumen polymer (general plastics)</t>
  </si>
  <si>
    <t>Toughened glass</t>
  </si>
  <si>
    <t>Recycled aggregate</t>
  </si>
  <si>
    <t>&lt;0.01</t>
  </si>
  <si>
    <t>HDPE</t>
  </si>
  <si>
    <t>LDPE</t>
  </si>
  <si>
    <t>PVC pipe</t>
  </si>
  <si>
    <t>Polystyrene</t>
  </si>
  <si>
    <t>General plastics</t>
  </si>
  <si>
    <t>Damp proof course/membrane</t>
  </si>
  <si>
    <t>Soil</t>
  </si>
  <si>
    <t>Gravel</t>
  </si>
  <si>
    <t>Clay pipe (assumed DN 200 and DN 300)</t>
  </si>
  <si>
    <t>Fibreglass (GRP)</t>
  </si>
  <si>
    <t>HV Transformer</t>
  </si>
  <si>
    <t>Concrete 1:1.5:3</t>
  </si>
  <si>
    <t>Engineering bricks</t>
  </si>
  <si>
    <t>General bricks</t>
  </si>
  <si>
    <t>Stainless steel</t>
  </si>
  <si>
    <t>Lubricant</t>
  </si>
  <si>
    <t>Granite</t>
  </si>
  <si>
    <t>Mineral fibre tile (roofing)</t>
  </si>
  <si>
    <t>Slate</t>
  </si>
  <si>
    <t>Plywood</t>
  </si>
  <si>
    <t>Paint (wet)</t>
  </si>
  <si>
    <t>General ceramics</t>
  </si>
  <si>
    <t>Plasterboard</t>
  </si>
  <si>
    <t>General insulation</t>
  </si>
  <si>
    <t>Weight (tonnes)</t>
  </si>
  <si>
    <t>Bitumen polymer</t>
  </si>
  <si>
    <t>Concrete (C40)</t>
  </si>
  <si>
    <t>Crushed concrete, geo‑membrane</t>
  </si>
  <si>
    <t>HDPE (permanent seats)</t>
  </si>
  <si>
    <t>Make up levels, soil</t>
  </si>
  <si>
    <t>Polystyrene, insulation</t>
  </si>
  <si>
    <t>Reinforced concrete</t>
  </si>
  <si>
    <t>Steel – rolled</t>
  </si>
  <si>
    <t>Temporary roof membrane</t>
  </si>
  <si>
    <t>Temporary steel structure</t>
  </si>
  <si>
    <t>Summary showing key consumption data, composite conversion factors and results</t>
    <phoneticPr fontId="2" type="noConversion"/>
  </si>
  <si>
    <t>Rail/RER/ Metro</t>
  </si>
  <si>
    <t>London area</t>
  </si>
  <si>
    <t>UK</t>
  </si>
  <si>
    <t>Assumptions relating to visitor origin and mode of travel</t>
  </si>
  <si>
    <t>Average distances per single journey assumed for each visitor group (in kilometres)</t>
  </si>
  <si>
    <t>% from these Origins</t>
    <phoneticPr fontId="2" type="noConversion"/>
  </si>
  <si>
    <t>- Burger, chips and soft drink</t>
  </si>
  <si>
    <t>Assumptions for food and drink consumption</t>
  </si>
  <si>
    <t>Food</t>
    <phoneticPr fontId="2" type="noConversion"/>
  </si>
  <si>
    <t>Types of food and drink consumed</t>
    <phoneticPr fontId="2" type="noConversion"/>
  </si>
  <si>
    <t>All visitor groups</t>
    <phoneticPr fontId="2" type="noConversion"/>
  </si>
  <si>
    <t>Visitors from UK</t>
  </si>
  <si>
    <t>Visitors from Europe</t>
  </si>
  <si>
    <t>Visitors from Rest of world</t>
  </si>
  <si>
    <t>Accommodation assumptions by visitor group (% bed nights by type)</t>
    <phoneticPr fontId="2" type="noConversion"/>
  </si>
  <si>
    <t>Assumptions for merchandise numbers, weight and material type by item</t>
  </si>
  <si>
    <t>Number of Items</t>
    <phoneticPr fontId="2" type="noConversion"/>
  </si>
  <si>
    <t>Carbon Emissions kgCO2e/kg</t>
    <phoneticPr fontId="2" type="noConversion"/>
  </si>
  <si>
    <t>Average Rail</t>
  </si>
  <si>
    <t>Car (Per Passenger, Occupancy 2)</t>
  </si>
  <si>
    <t>Car (Per Passenger, Occupancy 2.5)</t>
  </si>
  <si>
    <t>Car (Per Passenger, Occupancy 3)</t>
  </si>
  <si>
    <r>
      <t>kgCO</t>
    </r>
    <r>
      <rPr>
        <b/>
        <sz val="11"/>
        <color theme="1"/>
        <rFont val="等线"/>
        <family val="2"/>
        <scheme val="minor"/>
      </rPr>
      <t>₂</t>
    </r>
    <r>
      <rPr>
        <b/>
        <sz val="11"/>
        <color theme="1"/>
        <rFont val="等线"/>
        <family val="3"/>
        <charset val="134"/>
        <scheme val="minor"/>
      </rPr>
      <t xml:space="preserve"> per Passenger Kilometre</t>
    </r>
  </si>
  <si>
    <t>Greenhouse gas emission factors for transport</t>
    <phoneticPr fontId="2" type="noConversion"/>
  </si>
  <si>
    <t>Greenhouse gas emission factors used for accommodation</t>
    <phoneticPr fontId="2" type="noConversion"/>
  </si>
  <si>
    <t>Burger, chips and soft drink</t>
  </si>
  <si>
    <t>Greenhouse gas emission factors used for food, drink and packaging</t>
  </si>
  <si>
    <t>Paris</t>
    <phoneticPr fontId="2" type="noConversion"/>
  </si>
  <si>
    <t>Rest of France</t>
    <phoneticPr fontId="2" type="noConversion"/>
  </si>
  <si>
    <t>Paris area</t>
    <phoneticPr fontId="2" type="noConversion"/>
  </si>
  <si>
    <t>France</t>
    <phoneticPr fontId="2" type="noConversion"/>
  </si>
  <si>
    <t>Paris Area</t>
    <phoneticPr fontId="2" type="noConversion"/>
  </si>
  <si>
    <t>- Healthy meal and water</t>
    <phoneticPr fontId="2" type="noConversion"/>
  </si>
  <si>
    <t>The ratio of tickets sold for the Paris and London Olympics</t>
    <phoneticPr fontId="2" type="noConversion"/>
  </si>
  <si>
    <t>Rail</t>
    <phoneticPr fontId="2" type="noConversion"/>
  </si>
  <si>
    <t>Average distances per single journey assumed for each visitor group (in kilometres)</t>
    <phoneticPr fontId="2" type="noConversion"/>
  </si>
  <si>
    <t>Adjustment factor to modify the average travel distance for various tourist groups for the Paris and London Olympic Games</t>
    <phoneticPr fontId="2" type="noConversion"/>
  </si>
  <si>
    <t>The square root of the area ratio between France and UK</t>
    <phoneticPr fontId="2" type="noConversion"/>
  </si>
  <si>
    <t>The square root of the area ratio between Paris and London</t>
    <phoneticPr fontId="2" type="noConversion"/>
  </si>
  <si>
    <t>Total</t>
  </si>
  <si>
    <t>Total</t>
    <phoneticPr fontId="2" type="noConversion"/>
  </si>
  <si>
    <t>Number of days’ use</t>
  </si>
  <si>
    <t>Cars – Games time</t>
  </si>
  <si>
    <t>Cars – officials</t>
  </si>
  <si>
    <t>Coaches – athletes/media/technical officials (45 seats)</t>
  </si>
  <si>
    <t>Buses – low floor (30 seats)</t>
  </si>
  <si>
    <t>Coaches – sponsors (45 seats)</t>
  </si>
  <si>
    <t>Overlay</t>
    <phoneticPr fontId="2" type="noConversion"/>
  </si>
  <si>
    <t>Media</t>
    <phoneticPr fontId="2" type="noConversion"/>
  </si>
  <si>
    <t>IT service</t>
    <phoneticPr fontId="2" type="noConversion"/>
  </si>
  <si>
    <t>Type</t>
    <phoneticPr fontId="2" type="noConversion"/>
  </si>
  <si>
    <t>Percentage</t>
    <phoneticPr fontId="2" type="noConversion"/>
  </si>
  <si>
    <t>Other</t>
  </si>
  <si>
    <t>Transport services</t>
    <phoneticPr fontId="2" type="noConversion"/>
  </si>
  <si>
    <t>Travel grants</t>
    <phoneticPr fontId="2" type="noConversion"/>
  </si>
  <si>
    <t>ODA staff and travel</t>
    <phoneticPr fontId="2" type="noConversion"/>
  </si>
  <si>
    <t xml:space="preserve">LOCOG staff and travel </t>
    <phoneticPr fontId="2" type="noConversion"/>
  </si>
  <si>
    <t>Games workforce and athletes</t>
    <phoneticPr fontId="2" type="noConversion"/>
  </si>
  <si>
    <t>Venue energy use</t>
    <phoneticPr fontId="2" type="noConversion"/>
  </si>
  <si>
    <t>Ceremonies and culture</t>
    <phoneticPr fontId="2" type="noConversion"/>
  </si>
  <si>
    <t>kg CO2e</t>
    <phoneticPr fontId="2" type="noConversion"/>
  </si>
  <si>
    <t>Catering</t>
    <phoneticPr fontId="2" type="noConversion"/>
  </si>
  <si>
    <t>Average weight of item (kg)</t>
  </si>
  <si>
    <t>Assumptions used for London Olympics transport services: vehicle type, usage and
 fuel consumption</t>
    <phoneticPr fontId="2" type="noConversion"/>
  </si>
  <si>
    <t>Assumptions for workforce uniforms and catering</t>
  </si>
  <si>
    <t>Total and detailed carbon emissions of the London Olympics operations (deduced from the chart)</t>
    <phoneticPr fontId="2" type="noConversion"/>
  </si>
  <si>
    <t>Venue Energy use</t>
    <phoneticPr fontId="2" type="noConversion"/>
  </si>
  <si>
    <t>Transport Services</t>
    <phoneticPr fontId="2" type="noConversion"/>
  </si>
  <si>
    <t>Uniforms</t>
    <phoneticPr fontId="2" type="noConversion"/>
  </si>
  <si>
    <t>Total and detailed carbon emissions of the Paris Olympics operations</t>
    <phoneticPr fontId="2" type="noConversion"/>
  </si>
  <si>
    <t>London Olympics</t>
    <phoneticPr fontId="2" type="noConversion"/>
  </si>
  <si>
    <t>Paris Olympics</t>
    <phoneticPr fontId="2" type="noConversion"/>
  </si>
  <si>
    <t>Carbon emissions (kg)</t>
  </si>
  <si>
    <t>Assumptions used for Paris Olympics transport services</t>
    <phoneticPr fontId="2" type="noConversion"/>
  </si>
  <si>
    <t>Hydrogen (kgs/day)</t>
    <phoneticPr fontId="2" type="noConversion"/>
  </si>
  <si>
    <t>A hydrogen fuel cell vehicle requires [X] kilograms of hydrogen to travel the same distance as a conventional vehicle using 1 liter of gasoline</t>
    <phoneticPr fontId="2" type="noConversion"/>
  </si>
  <si>
    <t>Hydrogen fuel cell vehicle relative data</t>
    <phoneticPr fontId="2" type="noConversion"/>
  </si>
  <si>
    <t>Producing 1 kilogram of grey hydrogen emits [X] kilograms of carbon dioxide.</t>
    <phoneticPr fontId="2" type="noConversion"/>
  </si>
  <si>
    <t>London Olympics registered media personnel number</t>
    <phoneticPr fontId="2" type="noConversion"/>
  </si>
  <si>
    <t>Paris Olympics estimated media personnel number</t>
    <phoneticPr fontId="2" type="noConversion"/>
  </si>
  <si>
    <t>Relative data</t>
    <phoneticPr fontId="2" type="noConversion"/>
  </si>
  <si>
    <t>London Olympics official workforce number</t>
    <phoneticPr fontId="2" type="noConversion"/>
  </si>
  <si>
    <t>Paris Olympics official workforce number</t>
    <phoneticPr fontId="2" type="noConversion"/>
  </si>
  <si>
    <t>Carbon dioxide emissions (kg) per kilogram of textile material used for uniforms</t>
    <phoneticPr fontId="2" type="noConversion"/>
  </si>
  <si>
    <t>Carbon emissions of workforce uniforms and catering</t>
    <phoneticPr fontId="2" type="noConversion"/>
  </si>
  <si>
    <t>Total number</t>
    <phoneticPr fontId="2" type="noConversion"/>
  </si>
  <si>
    <t>Meal</t>
    <phoneticPr fontId="2" type="noConversion"/>
  </si>
  <si>
    <t>Meal packaging</t>
    <phoneticPr fontId="2" type="noConversion"/>
  </si>
  <si>
    <t>Drink</t>
    <phoneticPr fontId="2" type="noConversion"/>
  </si>
  <si>
    <t>Drink packaging</t>
    <phoneticPr fontId="2" type="noConversion"/>
  </si>
  <si>
    <t>Clothing and accessories</t>
    <phoneticPr fontId="2" type="noConversion"/>
  </si>
  <si>
    <t>Official Staff and Travel</t>
    <phoneticPr fontId="2" type="noConversion"/>
  </si>
  <si>
    <t>Assumed transport distance and transport carbon emission by materia</t>
    <phoneticPr fontId="2" type="noConversion"/>
  </si>
  <si>
    <t>Estimation of materials used to construct the Olympic Village</t>
    <phoneticPr fontId="2" type="noConversion"/>
  </si>
  <si>
    <t>3:1 (sand:cement)</t>
  </si>
  <si>
    <t>Material</t>
    <phoneticPr fontId="2" type="noConversion"/>
  </si>
  <si>
    <t>Bath ICE V1.6 dataset (extract – to two decimal places only)</t>
    <phoneticPr fontId="2" type="noConversion"/>
  </si>
  <si>
    <t>Estimation of materials used to construct the Aquatics Centre</t>
  </si>
  <si>
    <t>Relative Data</t>
    <phoneticPr fontId="2" type="noConversion"/>
  </si>
  <si>
    <t>The spectator capacities of the Paris Aquatic Centre and the Porte de La Chapelle Arena</t>
    <phoneticPr fontId="2" type="noConversion"/>
  </si>
  <si>
    <t>The spectator capacities of the London Aquatics Centre</t>
    <phoneticPr fontId="2" type="noConversion"/>
  </si>
  <si>
    <t>The capacities of the London Olympic Village</t>
    <phoneticPr fontId="2" type="noConversion"/>
  </si>
  <si>
    <t>The capacities of the Paris Olympic Village</t>
    <phoneticPr fontId="2" type="noConversion"/>
  </si>
  <si>
    <t>The capacities of the Paris Media Village</t>
    <phoneticPr fontId="2" type="noConversion"/>
  </si>
  <si>
    <t>Production Carbon Emission (kgCO2e/kg)</t>
  </si>
  <si>
    <t>Carbon Emissions (kg)</t>
  </si>
  <si>
    <t>Estimated carbon emissions from the materials used in the construction of the Media Village and Olympic Village for the Paris Olympics</t>
  </si>
  <si>
    <t>Ceramics</t>
    <phoneticPr fontId="2" type="noConversion"/>
  </si>
  <si>
    <t>Plaster</t>
    <phoneticPr fontId="2" type="noConversion"/>
  </si>
  <si>
    <t>Insulation</t>
    <phoneticPr fontId="2" type="noConversion"/>
  </si>
  <si>
    <t>Road Transport Carbon Emission (kgCO2e per tonne km)</t>
    <phoneticPr fontId="2" type="noConversion"/>
  </si>
  <si>
    <t>Estimated carbon emissions from the materials used in the construction of the Paris Aquatic Centre and Porte de La Chapelle Arena for the Paris Olympics</t>
  </si>
  <si>
    <t>Carbon Emission (kgCO2e/kg)</t>
  </si>
  <si>
    <t>Carbon Emissions (kgCO2e)</t>
  </si>
  <si>
    <t>Site energy use is estimated to produce X tons of CO2 (tCO2) per million pounds of construction cost.</t>
  </si>
  <si>
    <t>Building</t>
  </si>
  <si>
    <t>Cost (million pounds)</t>
  </si>
  <si>
    <t>Construction time (months)</t>
  </si>
  <si>
    <t>Carbon emission per million pounds of construction cost (kg)</t>
  </si>
  <si>
    <t>Carbon emission (kg)</t>
  </si>
  <si>
    <t>Paris Aquatic Centre</t>
  </si>
  <si>
    <t>Porte de La Chapelle Arena</t>
  </si>
  <si>
    <t>Olympic Village</t>
  </si>
  <si>
    <t>Media Village</t>
  </si>
  <si>
    <t>On-site energy use during the construction of the Paris Olympic venues</t>
    <phoneticPr fontId="2" type="noConversion"/>
  </si>
  <si>
    <t>On-site energy use</t>
    <phoneticPr fontId="2" type="noConversion"/>
  </si>
  <si>
    <t>Total and detailed carbon emissions of the Paris Olympics venues</t>
    <phoneticPr fontId="2" type="noConversion"/>
  </si>
  <si>
    <t>Accommodation construction</t>
    <phoneticPr fontId="2" type="noConversion"/>
  </si>
  <si>
    <t>Venues Construction</t>
    <phoneticPr fontId="2" type="noConversion"/>
  </si>
  <si>
    <t>Carbon emissions of the London &amp; Rio Olympics infrastructure</t>
    <phoneticPr fontId="2" type="noConversion"/>
  </si>
  <si>
    <t>Rio Olympics</t>
    <phoneticPr fontId="2" type="noConversion"/>
  </si>
  <si>
    <t>Name</t>
    <phoneticPr fontId="2" type="noConversion"/>
  </si>
  <si>
    <t>Carbon emissions of the Paris Olympics infrastructure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</si>
</sst>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81" formatCode="#,##0.00_ "/>
    <numFmt numFmtId="183" formatCode="#,##0_ "/>
    <numFmt numFmtId="189" formatCode="0.000"/>
    <numFmt numFmtId="190" formatCode="0.0"/>
    <numFmt numFmtId="191" formatCode="#,##0.000_ "/>
    <numFmt numFmtId="193" formatCode="#,##0.00_);[Red]\(#,##0.00\)"/>
    <numFmt numFmtId="195" formatCode="#,##0_);[Red]\(#,##0\)"/>
    <numFmt numFmtId="196" formatCode="#,##0.000_);[Red]\(#,##0.000\)"/>
  </numFmts>
  <fonts count="10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4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3" fontId="0" fillId="3" borderId="0" xfId="0" applyNumberFormat="1" applyFill="1" applyAlignment="1">
      <alignment vertical="center" wrapText="1"/>
    </xf>
    <xf numFmtId="0" fontId="0" fillId="3" borderId="0" xfId="0" applyFill="1"/>
    <xf numFmtId="0" fontId="3" fillId="0" borderId="0" xfId="0" applyFont="1"/>
    <xf numFmtId="0" fontId="1" fillId="3" borderId="0" xfId="0" applyFont="1" applyFill="1"/>
    <xf numFmtId="0" fontId="1" fillId="2" borderId="0" xfId="0" applyFont="1" applyFill="1"/>
    <xf numFmtId="49" fontId="0" fillId="0" borderId="0" xfId="0" applyNumberForma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3" fontId="6" fillId="0" borderId="0" xfId="0" applyNumberFormat="1" applyFont="1" applyAlignment="1">
      <alignment vertical="center" wrapText="1"/>
    </xf>
    <xf numFmtId="183" fontId="0" fillId="0" borderId="0" xfId="0" applyNumberFormat="1"/>
    <xf numFmtId="0" fontId="6" fillId="0" borderId="0" xfId="0" applyFont="1" applyAlignment="1">
      <alignment vertical="center" wrapText="1"/>
    </xf>
    <xf numFmtId="183" fontId="6" fillId="0" borderId="0" xfId="0" applyNumberFormat="1" applyFont="1" applyAlignment="1">
      <alignment vertical="center" wrapText="1"/>
    </xf>
    <xf numFmtId="0" fontId="6" fillId="0" borderId="0" xfId="0" applyFont="1"/>
    <xf numFmtId="189" fontId="0" fillId="0" borderId="0" xfId="0" applyNumberFormat="1"/>
    <xf numFmtId="2" fontId="6" fillId="0" borderId="0" xfId="0" applyNumberFormat="1" applyFont="1"/>
    <xf numFmtId="190" fontId="6" fillId="0" borderId="0" xfId="0" applyNumberFormat="1" applyFont="1"/>
    <xf numFmtId="0" fontId="1" fillId="3" borderId="0" xfId="0" applyFont="1" applyFill="1" applyAlignment="1">
      <alignment wrapText="1"/>
    </xf>
    <xf numFmtId="183" fontId="6" fillId="0" borderId="0" xfId="0" applyNumberFormat="1" applyFont="1"/>
    <xf numFmtId="0" fontId="1" fillId="4" borderId="0" xfId="0" applyFont="1" applyFill="1"/>
    <xf numFmtId="189" fontId="6" fillId="0" borderId="0" xfId="0" applyNumberFormat="1" applyFont="1" applyAlignment="1">
      <alignment vertical="center" wrapText="1"/>
    </xf>
    <xf numFmtId="3" fontId="0" fillId="0" borderId="0" xfId="0" applyNumberFormat="1"/>
    <xf numFmtId="3" fontId="6" fillId="0" borderId="0" xfId="0" applyNumberFormat="1" applyFont="1"/>
    <xf numFmtId="3" fontId="6" fillId="0" borderId="0" xfId="0" applyNumberFormat="1" applyFont="1" applyAlignment="1"/>
    <xf numFmtId="3" fontId="6" fillId="3" borderId="0" xfId="0" applyNumberFormat="1" applyFont="1" applyFill="1" applyAlignment="1"/>
    <xf numFmtId="0" fontId="0" fillId="3" borderId="0" xfId="0" applyFill="1" applyAlignment="1"/>
    <xf numFmtId="0" fontId="0" fillId="0" borderId="0" xfId="0" applyAlignment="1"/>
    <xf numFmtId="183" fontId="6" fillId="0" borderId="0" xfId="0" applyNumberFormat="1" applyFont="1" applyAlignment="1">
      <alignment wrapText="1"/>
    </xf>
    <xf numFmtId="0" fontId="1" fillId="5" borderId="0" xfId="0" applyFont="1" applyFill="1" applyAlignment="1">
      <alignment vertical="center" wrapText="1"/>
    </xf>
    <xf numFmtId="0" fontId="4" fillId="0" borderId="0" xfId="0" applyFont="1" applyAlignment="1"/>
    <xf numFmtId="0" fontId="0" fillId="5" borderId="0" xfId="0" applyFill="1"/>
    <xf numFmtId="1" fontId="0" fillId="0" borderId="0" xfId="0" applyNumberFormat="1"/>
    <xf numFmtId="183" fontId="0" fillId="0" borderId="0" xfId="0" applyNumberFormat="1" applyAlignment="1">
      <alignment horizontal="right"/>
    </xf>
    <xf numFmtId="191" fontId="0" fillId="0" borderId="0" xfId="0" applyNumberFormat="1" applyAlignment="1">
      <alignment wrapText="1"/>
    </xf>
    <xf numFmtId="183" fontId="0" fillId="0" borderId="0" xfId="0" applyNumberFormat="1" applyAlignment="1">
      <alignment horizontal="right" wrapText="1"/>
    </xf>
    <xf numFmtId="183" fontId="0" fillId="0" borderId="0" xfId="0" applyNumberFormat="1" applyAlignment="1">
      <alignment wrapText="1"/>
    </xf>
    <xf numFmtId="183" fontId="7" fillId="0" borderId="0" xfId="0" applyNumberFormat="1" applyFont="1"/>
    <xf numFmtId="193" fontId="6" fillId="0" borderId="0" xfId="0" applyNumberFormat="1" applyFont="1"/>
    <xf numFmtId="195" fontId="0" fillId="0" borderId="0" xfId="0" applyNumberFormat="1"/>
    <xf numFmtId="195" fontId="6" fillId="0" borderId="0" xfId="0" applyNumberFormat="1" applyFont="1"/>
    <xf numFmtId="0" fontId="0" fillId="0" borderId="0" xfId="0" applyAlignment="1">
      <alignment wrapText="1"/>
    </xf>
    <xf numFmtId="3" fontId="7" fillId="0" borderId="0" xfId="0" applyNumberFormat="1" applyFont="1"/>
    <xf numFmtId="0" fontId="0" fillId="0" borderId="0" xfId="0" applyFill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1" fontId="1" fillId="2" borderId="0" xfId="0" applyNumberFormat="1" applyFont="1" applyFill="1"/>
    <xf numFmtId="183" fontId="1" fillId="2" borderId="0" xfId="0" applyNumberFormat="1" applyFont="1" applyFill="1"/>
    <xf numFmtId="1" fontId="1" fillId="3" borderId="0" xfId="0" applyNumberFormat="1" applyFont="1" applyFill="1"/>
    <xf numFmtId="183" fontId="1" fillId="3" borderId="0" xfId="0" applyNumberFormat="1" applyFont="1" applyFill="1"/>
    <xf numFmtId="0" fontId="0" fillId="0" borderId="0" xfId="0" applyFont="1" applyFill="1"/>
    <xf numFmtId="0" fontId="8" fillId="0" borderId="0" xfId="0" applyFont="1"/>
    <xf numFmtId="195" fontId="8" fillId="0" borderId="0" xfId="0" applyNumberFormat="1" applyFont="1"/>
    <xf numFmtId="196" fontId="8" fillId="0" borderId="0" xfId="0" applyNumberFormat="1" applyFont="1"/>
    <xf numFmtId="181" fontId="6" fillId="0" borderId="0" xfId="0" applyNumberFormat="1" applyFont="1"/>
    <xf numFmtId="4" fontId="6" fillId="0" borderId="0" xfId="0" applyNumberFormat="1" applyFont="1"/>
    <xf numFmtId="183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24"/>
  <sheetViews>
    <sheetView topLeftCell="A45" workbookViewId="0">
      <selection activeCell="E67" sqref="E67"/>
    </sheetView>
  </sheetViews>
  <sheetFormatPr defaultRowHeight="14" x14ac:dyDescent="0.3"/>
  <cols>
    <col min="1" max="1" width="33.25" customWidth="1"/>
    <col min="2" max="2" width="21.5" bestFit="1" customWidth="1"/>
    <col min="3" max="3" width="18.9140625" customWidth="1"/>
    <col min="4" max="4" width="20.83203125" customWidth="1"/>
    <col min="5" max="5" width="19.4140625" customWidth="1"/>
  </cols>
  <sheetData>
    <row r="2" spans="1:11" ht="20" x14ac:dyDescent="0.4">
      <c r="A2" s="5" t="s">
        <v>214</v>
      </c>
    </row>
    <row r="3" spans="1:11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G3" s="1"/>
      <c r="H3" s="1"/>
      <c r="I3" s="1"/>
      <c r="J3" s="1"/>
      <c r="K3" s="1"/>
    </row>
    <row r="4" spans="1:11" x14ac:dyDescent="0.3">
      <c r="A4" s="7" t="s">
        <v>5</v>
      </c>
      <c r="B4" s="8"/>
      <c r="C4" s="8"/>
      <c r="D4" s="8"/>
      <c r="E4" s="8"/>
      <c r="G4" s="2"/>
      <c r="H4" s="3"/>
      <c r="I4" s="3"/>
      <c r="J4" s="3"/>
      <c r="K4" s="3"/>
    </row>
    <row r="5" spans="1:11" x14ac:dyDescent="0.3">
      <c r="A5" s="3" t="s">
        <v>6</v>
      </c>
      <c r="B5" s="4">
        <v>505537</v>
      </c>
      <c r="C5" s="4">
        <v>1792162</v>
      </c>
      <c r="D5" s="4">
        <v>551968</v>
      </c>
      <c r="E5" s="4">
        <v>101107</v>
      </c>
      <c r="G5" s="3"/>
      <c r="H5" s="4"/>
      <c r="I5" s="4"/>
      <c r="J5" s="4"/>
      <c r="K5" s="4"/>
    </row>
    <row r="6" spans="1:11" x14ac:dyDescent="0.3">
      <c r="A6" s="3" t="s">
        <v>7</v>
      </c>
      <c r="B6" s="4">
        <v>368697</v>
      </c>
      <c r="C6" s="4">
        <v>215073</v>
      </c>
      <c r="D6" s="4">
        <v>18435</v>
      </c>
      <c r="E6" s="4">
        <v>12290</v>
      </c>
      <c r="G6" s="3"/>
      <c r="H6" s="4"/>
      <c r="I6" s="4"/>
      <c r="J6" s="4"/>
      <c r="K6" s="4"/>
    </row>
    <row r="7" spans="1:11" x14ac:dyDescent="0.3">
      <c r="A7" s="3" t="s">
        <v>8</v>
      </c>
      <c r="B7" s="4">
        <v>1291288</v>
      </c>
      <c r="C7" s="4">
        <v>825578</v>
      </c>
      <c r="D7" s="3">
        <v>0</v>
      </c>
      <c r="E7" s="3">
        <v>0</v>
      </c>
      <c r="G7" s="3"/>
      <c r="H7" s="4"/>
      <c r="I7" s="4"/>
      <c r="J7" s="3"/>
      <c r="K7" s="3"/>
    </row>
    <row r="8" spans="1:11" x14ac:dyDescent="0.3">
      <c r="A8" s="7" t="s">
        <v>9</v>
      </c>
      <c r="B8" s="9"/>
      <c r="C8" s="9"/>
      <c r="D8" s="9"/>
      <c r="E8" s="9"/>
      <c r="G8" s="2"/>
      <c r="H8" s="4"/>
      <c r="I8" s="4"/>
      <c r="J8" s="4"/>
      <c r="K8" s="4"/>
    </row>
    <row r="9" spans="1:11" x14ac:dyDescent="0.3">
      <c r="A9" s="3" t="s">
        <v>10</v>
      </c>
      <c r="B9" s="3">
        <v>0</v>
      </c>
      <c r="C9" s="4">
        <v>261481600</v>
      </c>
      <c r="D9" s="4">
        <v>132007939</v>
      </c>
      <c r="E9" s="3">
        <v>0</v>
      </c>
      <c r="G9" s="3"/>
      <c r="H9" s="3"/>
      <c r="I9" s="4"/>
      <c r="J9" s="4"/>
      <c r="K9" s="3"/>
    </row>
    <row r="10" spans="1:11" x14ac:dyDescent="0.3">
      <c r="A10" s="3" t="s">
        <v>11</v>
      </c>
      <c r="B10" s="4">
        <v>80556296</v>
      </c>
      <c r="C10" s="4">
        <v>548135873</v>
      </c>
      <c r="D10" s="4">
        <v>133037642</v>
      </c>
      <c r="E10" s="3">
        <v>0</v>
      </c>
      <c r="G10" s="3"/>
      <c r="H10" s="4"/>
      <c r="I10" s="4"/>
      <c r="J10" s="4"/>
      <c r="K10" s="3"/>
    </row>
    <row r="11" spans="1:11" x14ac:dyDescent="0.3">
      <c r="A11" s="3" t="s">
        <v>12</v>
      </c>
      <c r="B11" s="3">
        <v>0</v>
      </c>
      <c r="C11" s="4">
        <v>22375686</v>
      </c>
      <c r="D11" s="4">
        <v>1108029192</v>
      </c>
      <c r="E11" s="4">
        <v>1700959451</v>
      </c>
      <c r="G11" s="3"/>
      <c r="H11" s="3"/>
      <c r="I11" s="4"/>
      <c r="J11" s="4"/>
      <c r="K11" s="4"/>
    </row>
    <row r="12" spans="1:11" x14ac:dyDescent="0.3">
      <c r="A12" s="3" t="s">
        <v>13</v>
      </c>
      <c r="B12" s="3">
        <v>0</v>
      </c>
      <c r="C12" s="4">
        <v>76742349</v>
      </c>
      <c r="D12" s="4">
        <v>110452820</v>
      </c>
      <c r="E12" s="3">
        <v>0</v>
      </c>
      <c r="G12" s="3"/>
      <c r="H12" s="3"/>
      <c r="I12" s="4"/>
      <c r="J12" s="4"/>
      <c r="K12" s="3"/>
    </row>
    <row r="13" spans="1:11" x14ac:dyDescent="0.3">
      <c r="A13" s="3" t="s">
        <v>14</v>
      </c>
      <c r="B13" s="4">
        <v>4793744</v>
      </c>
      <c r="C13" s="4">
        <v>5631284</v>
      </c>
      <c r="D13" s="4">
        <v>1854208</v>
      </c>
      <c r="E13" s="4">
        <v>381015</v>
      </c>
      <c r="G13" s="3"/>
      <c r="H13" s="4"/>
      <c r="I13" s="4"/>
      <c r="J13" s="4"/>
      <c r="K13" s="4"/>
    </row>
    <row r="14" spans="1:11" x14ac:dyDescent="0.3">
      <c r="A14" s="3" t="s">
        <v>15</v>
      </c>
      <c r="B14" s="4">
        <v>10546237</v>
      </c>
      <c r="C14" s="4">
        <v>12388825</v>
      </c>
      <c r="D14" s="4">
        <v>4079257</v>
      </c>
      <c r="E14" s="4">
        <v>838233</v>
      </c>
      <c r="G14" s="3"/>
      <c r="H14" s="4"/>
      <c r="I14" s="4"/>
      <c r="J14" s="4"/>
      <c r="K14" s="4"/>
    </row>
    <row r="15" spans="1:11" x14ac:dyDescent="0.3">
      <c r="A15" s="3" t="s">
        <v>16</v>
      </c>
      <c r="B15" s="3">
        <v>0</v>
      </c>
      <c r="C15" s="4">
        <v>1904815</v>
      </c>
      <c r="D15" s="4">
        <v>1591967</v>
      </c>
      <c r="E15" s="4">
        <v>317512</v>
      </c>
      <c r="G15" s="3"/>
      <c r="H15" s="3"/>
      <c r="I15" s="4"/>
      <c r="J15" s="4"/>
      <c r="K15" s="4"/>
    </row>
    <row r="16" spans="1:11" x14ac:dyDescent="0.3">
      <c r="A16" s="7" t="s">
        <v>17</v>
      </c>
      <c r="B16" s="8"/>
      <c r="C16" s="8"/>
      <c r="D16" s="8"/>
      <c r="E16" s="8"/>
      <c r="G16" s="2"/>
      <c r="H16" s="3"/>
      <c r="I16" s="3"/>
      <c r="J16" s="3"/>
      <c r="K16" s="3"/>
    </row>
    <row r="17" spans="1:11" x14ac:dyDescent="0.3">
      <c r="A17" s="3" t="s">
        <v>18</v>
      </c>
      <c r="B17" s="3">
        <v>6.3E-2</v>
      </c>
      <c r="C17" s="3">
        <v>6.3E-2</v>
      </c>
      <c r="D17" s="3">
        <v>4.5999999999999999E-2</v>
      </c>
      <c r="E17" s="3">
        <v>0</v>
      </c>
      <c r="G17" s="3"/>
      <c r="H17" s="3"/>
      <c r="I17" s="3"/>
      <c r="J17" s="3"/>
      <c r="K17" s="3"/>
    </row>
    <row r="18" spans="1:11" x14ac:dyDescent="0.3">
      <c r="A18" s="3" t="s">
        <v>19</v>
      </c>
      <c r="B18" s="3">
        <v>0.112</v>
      </c>
      <c r="C18" s="3">
        <v>9.2999999999999999E-2</v>
      </c>
      <c r="D18" s="3">
        <v>7.4999999999999997E-2</v>
      </c>
      <c r="E18" s="3">
        <v>0</v>
      </c>
      <c r="G18" s="3"/>
      <c r="H18" s="3"/>
      <c r="I18" s="3"/>
      <c r="J18" s="3"/>
      <c r="K18" s="3"/>
    </row>
    <row r="19" spans="1:11" x14ac:dyDescent="0.3">
      <c r="A19" s="3" t="s">
        <v>20</v>
      </c>
      <c r="B19" s="3">
        <v>0</v>
      </c>
      <c r="C19" s="3">
        <v>0.112</v>
      </c>
      <c r="D19" s="3">
        <v>0.115</v>
      </c>
      <c r="E19" s="3">
        <v>0.126</v>
      </c>
      <c r="G19" s="3"/>
      <c r="H19" s="3"/>
      <c r="I19" s="3"/>
      <c r="J19" s="3"/>
      <c r="K19" s="3"/>
    </row>
    <row r="20" spans="1:11" x14ac:dyDescent="0.3">
      <c r="A20" s="3" t="s">
        <v>21</v>
      </c>
      <c r="B20" s="3">
        <v>7.1999999999999995E-2</v>
      </c>
      <c r="C20" s="3">
        <v>7.1999999999999995E-2</v>
      </c>
      <c r="D20" s="3">
        <v>7.1999999999999995E-2</v>
      </c>
      <c r="E20" s="3">
        <v>7.1999999999999995E-2</v>
      </c>
      <c r="G20" s="3"/>
      <c r="H20" s="3"/>
      <c r="I20" s="3"/>
      <c r="J20" s="3"/>
      <c r="K20" s="3"/>
    </row>
    <row r="21" spans="1:11" x14ac:dyDescent="0.3">
      <c r="A21" s="3" t="s">
        <v>22</v>
      </c>
      <c r="B21" s="3">
        <v>0</v>
      </c>
      <c r="C21" s="3">
        <v>23.86</v>
      </c>
      <c r="D21" s="3">
        <v>29.42</v>
      </c>
      <c r="E21" s="3">
        <v>29.42</v>
      </c>
      <c r="G21" s="3"/>
      <c r="H21" s="3"/>
      <c r="I21" s="3"/>
      <c r="J21" s="3"/>
      <c r="K21" s="3"/>
    </row>
    <row r="22" spans="1:11" x14ac:dyDescent="0.3">
      <c r="A22" s="3" t="s">
        <v>23</v>
      </c>
      <c r="B22" s="3">
        <v>1.84</v>
      </c>
      <c r="C22" s="3">
        <v>1.84</v>
      </c>
      <c r="D22" s="3">
        <v>1.84</v>
      </c>
      <c r="E22" s="3">
        <v>1.84</v>
      </c>
      <c r="G22" s="3"/>
      <c r="H22" s="3"/>
      <c r="I22" s="3"/>
      <c r="J22" s="3"/>
      <c r="K22" s="3"/>
    </row>
    <row r="23" spans="1:11" x14ac:dyDescent="0.3">
      <c r="A23" s="3" t="s">
        <v>24</v>
      </c>
      <c r="B23" s="3">
        <v>0.74</v>
      </c>
      <c r="C23" s="3">
        <v>0.74</v>
      </c>
      <c r="D23" s="3">
        <v>0.74</v>
      </c>
      <c r="E23" s="3">
        <v>0.74</v>
      </c>
      <c r="G23" s="3"/>
      <c r="H23" s="3"/>
      <c r="I23" s="3"/>
      <c r="J23" s="3"/>
      <c r="K23" s="3"/>
    </row>
    <row r="24" spans="1:11" x14ac:dyDescent="0.3">
      <c r="A24" s="3" t="s">
        <v>25</v>
      </c>
      <c r="B24" s="3">
        <v>0.39</v>
      </c>
      <c r="C24" s="3">
        <v>0.39</v>
      </c>
      <c r="D24" s="3">
        <v>0.39</v>
      </c>
      <c r="E24" s="3">
        <v>0.39</v>
      </c>
      <c r="G24" s="3"/>
      <c r="H24" s="3"/>
      <c r="I24" s="3"/>
      <c r="J24" s="3"/>
      <c r="K24" s="3"/>
    </row>
    <row r="25" spans="1:11" x14ac:dyDescent="0.3">
      <c r="A25" s="3" t="s">
        <v>26</v>
      </c>
      <c r="B25" s="3">
        <v>0.1</v>
      </c>
      <c r="C25" s="3">
        <v>0.1</v>
      </c>
      <c r="D25" s="3">
        <v>0.1</v>
      </c>
      <c r="E25" s="3">
        <v>0.1</v>
      </c>
      <c r="G25" s="3"/>
      <c r="H25" s="3"/>
      <c r="I25" s="3"/>
      <c r="J25" s="3"/>
      <c r="K25" s="3"/>
    </row>
    <row r="26" spans="1:11" x14ac:dyDescent="0.3">
      <c r="A26" s="3" t="s">
        <v>27</v>
      </c>
      <c r="B26" s="3">
        <v>1.61</v>
      </c>
      <c r="C26" s="3">
        <v>1.61</v>
      </c>
      <c r="D26" s="3">
        <v>1.61</v>
      </c>
      <c r="E26" s="3">
        <v>1.61</v>
      </c>
      <c r="G26" s="3"/>
      <c r="H26" s="3"/>
      <c r="I26" s="3"/>
      <c r="J26" s="3"/>
      <c r="K26" s="3"/>
    </row>
    <row r="27" spans="1:11" x14ac:dyDescent="0.3">
      <c r="A27" s="7" t="s">
        <v>28</v>
      </c>
      <c r="B27" s="8"/>
      <c r="C27" s="8"/>
      <c r="D27" s="8"/>
      <c r="E27" s="8"/>
      <c r="G27" s="2"/>
      <c r="H27" s="3"/>
      <c r="I27" s="3"/>
      <c r="J27" s="3"/>
      <c r="K27" s="3"/>
    </row>
    <row r="28" spans="1:11" x14ac:dyDescent="0.3">
      <c r="A28" s="3" t="s">
        <v>29</v>
      </c>
      <c r="B28" s="3">
        <v>0</v>
      </c>
      <c r="C28" s="4">
        <v>16490651</v>
      </c>
      <c r="D28" s="4">
        <v>6084892</v>
      </c>
      <c r="E28" s="3">
        <v>0</v>
      </c>
      <c r="G28" s="3"/>
      <c r="H28" s="3"/>
      <c r="I28" s="4"/>
      <c r="J28" s="4"/>
      <c r="K28" s="3"/>
    </row>
    <row r="29" spans="1:11" x14ac:dyDescent="0.3">
      <c r="A29" s="3" t="s">
        <v>30</v>
      </c>
      <c r="B29" s="4">
        <v>9035535</v>
      </c>
      <c r="C29" s="4">
        <v>49184989</v>
      </c>
      <c r="D29" s="4">
        <v>9948043</v>
      </c>
      <c r="E29" s="3">
        <v>0</v>
      </c>
      <c r="G29" s="3"/>
      <c r="H29" s="4"/>
      <c r="I29" s="4"/>
      <c r="J29" s="4"/>
      <c r="K29" s="3"/>
    </row>
    <row r="30" spans="1:11" x14ac:dyDescent="0.3">
      <c r="A30" s="3" t="s">
        <v>31</v>
      </c>
      <c r="B30" s="3">
        <v>0</v>
      </c>
      <c r="C30" s="4">
        <v>2513679</v>
      </c>
      <c r="D30" s="4">
        <v>127436431</v>
      </c>
      <c r="E30" s="4">
        <v>214723407</v>
      </c>
      <c r="G30" s="3"/>
      <c r="H30" s="3"/>
      <c r="I30" s="4"/>
      <c r="J30" s="4"/>
      <c r="K30" s="4"/>
    </row>
    <row r="31" spans="1:11" x14ac:dyDescent="0.3">
      <c r="A31" s="3" t="s">
        <v>32</v>
      </c>
      <c r="B31" s="3">
        <v>0</v>
      </c>
      <c r="C31" s="4">
        <v>5515176</v>
      </c>
      <c r="D31" s="4">
        <v>7937817</v>
      </c>
      <c r="E31" s="3">
        <v>0</v>
      </c>
      <c r="G31" s="3"/>
      <c r="H31" s="3"/>
      <c r="I31" s="4"/>
      <c r="J31" s="4"/>
      <c r="K31" s="3"/>
    </row>
    <row r="32" spans="1:11" x14ac:dyDescent="0.3">
      <c r="A32" s="3" t="s">
        <v>33</v>
      </c>
      <c r="B32" s="4">
        <v>8811303</v>
      </c>
      <c r="C32" s="4">
        <v>10350771</v>
      </c>
      <c r="D32" s="4">
        <v>3408189</v>
      </c>
      <c r="E32" s="4">
        <v>700337</v>
      </c>
      <c r="G32" s="3"/>
      <c r="H32" s="4"/>
      <c r="I32" s="4"/>
      <c r="J32" s="4"/>
      <c r="K32" s="4"/>
    </row>
    <row r="33" spans="1:11" x14ac:dyDescent="0.3">
      <c r="A33" s="3" t="s">
        <v>34</v>
      </c>
      <c r="B33" s="4">
        <v>7765410</v>
      </c>
      <c r="C33" s="4">
        <v>9122146</v>
      </c>
      <c r="D33" s="4">
        <v>3003640</v>
      </c>
      <c r="E33" s="4">
        <v>617208</v>
      </c>
      <c r="G33" s="3"/>
      <c r="H33" s="4"/>
      <c r="I33" s="4"/>
      <c r="J33" s="4"/>
      <c r="K33" s="4"/>
    </row>
    <row r="34" spans="1:11" x14ac:dyDescent="0.3">
      <c r="A34" s="3" t="s">
        <v>35</v>
      </c>
      <c r="B34" s="3">
        <v>0</v>
      </c>
      <c r="C34" s="4">
        <v>45439406</v>
      </c>
      <c r="D34" s="4">
        <v>46828642</v>
      </c>
      <c r="E34" s="4">
        <v>9339813</v>
      </c>
      <c r="G34" s="3"/>
      <c r="H34" s="3"/>
      <c r="I34" s="4"/>
      <c r="J34" s="4"/>
      <c r="K34" s="4"/>
    </row>
    <row r="35" spans="1:11" x14ac:dyDescent="0.3">
      <c r="A35" s="3" t="s">
        <v>36</v>
      </c>
      <c r="B35" s="4">
        <v>2996068</v>
      </c>
      <c r="C35" s="4">
        <v>3519526</v>
      </c>
      <c r="D35" s="4">
        <v>1158871</v>
      </c>
      <c r="E35" s="4">
        <v>238133</v>
      </c>
      <c r="G35" s="3"/>
      <c r="H35" s="4"/>
      <c r="I35" s="4"/>
      <c r="J35" s="4"/>
      <c r="K35" s="4"/>
    </row>
    <row r="36" spans="1:11" x14ac:dyDescent="0.3">
      <c r="A36" s="3" t="s">
        <v>37</v>
      </c>
      <c r="B36" s="4">
        <v>24994480</v>
      </c>
      <c r="C36" s="4">
        <v>32696360</v>
      </c>
      <c r="D36" s="4">
        <v>6583599</v>
      </c>
      <c r="E36" s="4">
        <v>1308833</v>
      </c>
      <c r="G36" s="3"/>
      <c r="H36" s="4"/>
      <c r="I36" s="4"/>
      <c r="J36" s="4"/>
      <c r="K36" s="4"/>
    </row>
    <row r="38" spans="1:11" ht="20" x14ac:dyDescent="0.4">
      <c r="A38" s="5" t="s">
        <v>218</v>
      </c>
    </row>
    <row r="39" spans="1:11" x14ac:dyDescent="0.3">
      <c r="A39" s="12" t="s">
        <v>38</v>
      </c>
      <c r="B39" s="12" t="s">
        <v>220</v>
      </c>
      <c r="C39" s="12" t="s">
        <v>215</v>
      </c>
      <c r="D39" s="12" t="s">
        <v>30</v>
      </c>
      <c r="E39" s="12" t="s">
        <v>31</v>
      </c>
      <c r="F39" s="12" t="s">
        <v>39</v>
      </c>
    </row>
    <row r="40" spans="1:11" x14ac:dyDescent="0.3">
      <c r="A40" t="s">
        <v>216</v>
      </c>
      <c r="B40">
        <v>0.25</v>
      </c>
      <c r="C40">
        <v>0</v>
      </c>
      <c r="D40">
        <v>0.3</v>
      </c>
      <c r="E40">
        <v>0</v>
      </c>
      <c r="F40">
        <v>0</v>
      </c>
    </row>
    <row r="41" spans="1:11" x14ac:dyDescent="0.3">
      <c r="A41" t="s">
        <v>217</v>
      </c>
      <c r="B41">
        <v>0.45</v>
      </c>
      <c r="C41">
        <v>0.33</v>
      </c>
      <c r="D41">
        <v>0.55000000000000004</v>
      </c>
      <c r="E41">
        <v>0.03</v>
      </c>
      <c r="F41">
        <v>0.09</v>
      </c>
    </row>
    <row r="42" spans="1:11" x14ac:dyDescent="0.3">
      <c r="A42" t="s">
        <v>41</v>
      </c>
      <c r="B42">
        <v>0.25</v>
      </c>
      <c r="C42">
        <v>8.8999999999999996E-2</v>
      </c>
      <c r="D42">
        <v>0.09</v>
      </c>
      <c r="E42">
        <v>0.747</v>
      </c>
      <c r="F42">
        <v>7.3999999999999996E-2</v>
      </c>
    </row>
    <row r="43" spans="1:11" x14ac:dyDescent="0.3">
      <c r="A43" t="s">
        <v>40</v>
      </c>
      <c r="B43">
        <v>0.05</v>
      </c>
      <c r="C43">
        <v>0</v>
      </c>
      <c r="D43">
        <v>0</v>
      </c>
      <c r="E43">
        <v>1</v>
      </c>
      <c r="F43">
        <v>0</v>
      </c>
    </row>
    <row r="45" spans="1:11" ht="20" x14ac:dyDescent="0.4">
      <c r="A45" s="5" t="s">
        <v>219</v>
      </c>
    </row>
    <row r="46" spans="1:11" x14ac:dyDescent="0.3">
      <c r="A46" s="12" t="s">
        <v>42</v>
      </c>
      <c r="B46" s="12" t="s">
        <v>2</v>
      </c>
      <c r="C46" s="12" t="s">
        <v>41</v>
      </c>
      <c r="D46" s="12" t="s">
        <v>43</v>
      </c>
      <c r="E46" s="12" t="s">
        <v>44</v>
      </c>
    </row>
    <row r="47" spans="1:11" x14ac:dyDescent="0.3">
      <c r="A47">
        <v>12</v>
      </c>
      <c r="B47">
        <v>166.5</v>
      </c>
      <c r="C47">
        <v>1300</v>
      </c>
      <c r="D47">
        <v>7500</v>
      </c>
      <c r="E47">
        <v>71</v>
      </c>
    </row>
    <row r="49" spans="1:3" ht="20" x14ac:dyDescent="0.4">
      <c r="A49" s="5" t="s">
        <v>222</v>
      </c>
    </row>
    <row r="50" spans="1:3" x14ac:dyDescent="0.3">
      <c r="A50" s="13" t="s">
        <v>224</v>
      </c>
      <c r="B50" s="13" t="s">
        <v>225</v>
      </c>
    </row>
    <row r="51" spans="1:3" x14ac:dyDescent="0.3">
      <c r="A51" s="12" t="s">
        <v>223</v>
      </c>
      <c r="B51" s="12"/>
    </row>
    <row r="52" spans="1:3" x14ac:dyDescent="0.3">
      <c r="A52" t="s">
        <v>45</v>
      </c>
      <c r="B52">
        <v>0.15</v>
      </c>
    </row>
    <row r="53" spans="1:3" x14ac:dyDescent="0.3">
      <c r="A53" t="s">
        <v>46</v>
      </c>
      <c r="B53">
        <v>0.15</v>
      </c>
    </row>
    <row r="54" spans="1:3" x14ac:dyDescent="0.3">
      <c r="A54" t="s">
        <v>221</v>
      </c>
      <c r="B54">
        <v>0.3</v>
      </c>
    </row>
    <row r="55" spans="1:3" x14ac:dyDescent="0.3">
      <c r="A55" s="14" t="s">
        <v>247</v>
      </c>
      <c r="B55">
        <v>0.1</v>
      </c>
    </row>
    <row r="56" spans="1:3" x14ac:dyDescent="0.3">
      <c r="A56" t="s">
        <v>47</v>
      </c>
      <c r="B56">
        <v>0.3</v>
      </c>
    </row>
    <row r="57" spans="1:3" x14ac:dyDescent="0.3">
      <c r="A57" s="12" t="s">
        <v>48</v>
      </c>
      <c r="B57" s="12"/>
    </row>
    <row r="58" spans="1:3" x14ac:dyDescent="0.3">
      <c r="A58" t="s">
        <v>49</v>
      </c>
      <c r="B58">
        <v>0.36</v>
      </c>
    </row>
    <row r="59" spans="1:3" x14ac:dyDescent="0.3">
      <c r="A59" t="s">
        <v>50</v>
      </c>
      <c r="B59">
        <v>0.23</v>
      </c>
    </row>
    <row r="60" spans="1:3" x14ac:dyDescent="0.3">
      <c r="A60" t="s">
        <v>51</v>
      </c>
      <c r="B60">
        <v>0.14000000000000001</v>
      </c>
    </row>
    <row r="61" spans="1:3" x14ac:dyDescent="0.3">
      <c r="A61" t="s">
        <v>52</v>
      </c>
      <c r="B61">
        <v>0.27</v>
      </c>
    </row>
    <row r="63" spans="1:3" ht="20" x14ac:dyDescent="0.4">
      <c r="A63" s="5" t="s">
        <v>241</v>
      </c>
    </row>
    <row r="64" spans="1:3" x14ac:dyDescent="0.3">
      <c r="A64" s="12" t="s">
        <v>53</v>
      </c>
      <c r="B64" s="12" t="s">
        <v>103</v>
      </c>
      <c r="C64" s="12" t="s">
        <v>104</v>
      </c>
    </row>
    <row r="65" spans="1:4" x14ac:dyDescent="0.3">
      <c r="A65" t="s">
        <v>54</v>
      </c>
      <c r="B65">
        <v>1.58</v>
      </c>
      <c r="C65">
        <v>0.19</v>
      </c>
    </row>
    <row r="66" spans="1:4" x14ac:dyDescent="0.3">
      <c r="A66" t="s">
        <v>55</v>
      </c>
      <c r="B66">
        <v>0.59</v>
      </c>
      <c r="C66">
        <v>0.15</v>
      </c>
    </row>
    <row r="67" spans="1:4" x14ac:dyDescent="0.3">
      <c r="A67" t="s">
        <v>240</v>
      </c>
      <c r="B67">
        <v>2.0499999999999998</v>
      </c>
      <c r="C67">
        <v>0.19</v>
      </c>
    </row>
    <row r="68" spans="1:4" x14ac:dyDescent="0.3">
      <c r="A68" t="s">
        <v>56</v>
      </c>
      <c r="B68">
        <v>1.07</v>
      </c>
      <c r="C68">
        <v>0.33</v>
      </c>
    </row>
    <row r="69" spans="1:4" x14ac:dyDescent="0.3">
      <c r="A69" t="s">
        <v>57</v>
      </c>
      <c r="B69">
        <v>2.5099999999999998</v>
      </c>
      <c r="C69">
        <v>0.82</v>
      </c>
    </row>
    <row r="70" spans="1:4" x14ac:dyDescent="0.3">
      <c r="A70" t="s">
        <v>58</v>
      </c>
      <c r="B70">
        <v>1.2</v>
      </c>
      <c r="C70">
        <v>0.08</v>
      </c>
    </row>
    <row r="71" spans="1:4" x14ac:dyDescent="0.3">
      <c r="A71" t="s">
        <v>105</v>
      </c>
      <c r="B71">
        <v>0.22</v>
      </c>
      <c r="C71">
        <v>0.04</v>
      </c>
    </row>
    <row r="72" spans="1:4" x14ac:dyDescent="0.3">
      <c r="A72" t="s">
        <v>59</v>
      </c>
      <c r="B72">
        <v>1.69</v>
      </c>
      <c r="C72">
        <v>0.2</v>
      </c>
    </row>
    <row r="73" spans="1:4" x14ac:dyDescent="0.3">
      <c r="A73" t="s">
        <v>60</v>
      </c>
      <c r="B73">
        <v>0.02</v>
      </c>
      <c r="C73">
        <v>0.14000000000000001</v>
      </c>
    </row>
    <row r="75" spans="1:4" ht="20" x14ac:dyDescent="0.4">
      <c r="A75" s="5" t="s">
        <v>229</v>
      </c>
    </row>
    <row r="76" spans="1:4" x14ac:dyDescent="0.3">
      <c r="A76" s="12" t="s">
        <v>61</v>
      </c>
      <c r="B76" s="12" t="s">
        <v>226</v>
      </c>
      <c r="C76" s="12" t="s">
        <v>227</v>
      </c>
      <c r="D76" s="12" t="s">
        <v>228</v>
      </c>
    </row>
    <row r="77" spans="1:4" x14ac:dyDescent="0.3">
      <c r="A77" t="s">
        <v>62</v>
      </c>
      <c r="B77">
        <v>0.5</v>
      </c>
      <c r="C77">
        <v>0.34</v>
      </c>
      <c r="D77">
        <v>0.34</v>
      </c>
    </row>
    <row r="78" spans="1:4" x14ac:dyDescent="0.3">
      <c r="A78" t="s">
        <v>63</v>
      </c>
      <c r="B78">
        <v>0.1</v>
      </c>
      <c r="C78">
        <v>0.1</v>
      </c>
      <c r="D78">
        <v>0.1</v>
      </c>
    </row>
    <row r="79" spans="1:4" x14ac:dyDescent="0.3">
      <c r="A79" t="s">
        <v>64</v>
      </c>
      <c r="B79">
        <v>0.2</v>
      </c>
      <c r="C79">
        <v>0.2</v>
      </c>
      <c r="D79">
        <v>0.2</v>
      </c>
    </row>
    <row r="80" spans="1:4" x14ac:dyDescent="0.3">
      <c r="A80" t="s">
        <v>65</v>
      </c>
      <c r="B80">
        <v>0.15</v>
      </c>
      <c r="C80">
        <v>0.2</v>
      </c>
      <c r="D80">
        <v>0.2</v>
      </c>
    </row>
    <row r="81" spans="1:5" x14ac:dyDescent="0.3">
      <c r="A81" t="s">
        <v>66</v>
      </c>
      <c r="B81">
        <v>0.05</v>
      </c>
      <c r="C81">
        <v>0.16</v>
      </c>
      <c r="D81">
        <v>0.16</v>
      </c>
    </row>
    <row r="83" spans="1:5" ht="20" x14ac:dyDescent="0.4">
      <c r="A83" s="5" t="s">
        <v>239</v>
      </c>
    </row>
    <row r="84" spans="1:5" x14ac:dyDescent="0.3">
      <c r="A84" s="12" t="s">
        <v>100</v>
      </c>
      <c r="B84" s="12" t="s">
        <v>101</v>
      </c>
    </row>
    <row r="85" spans="1:5" x14ac:dyDescent="0.3">
      <c r="A85" t="s">
        <v>102</v>
      </c>
      <c r="B85">
        <v>16.34</v>
      </c>
    </row>
    <row r="86" spans="1:5" x14ac:dyDescent="0.3">
      <c r="A86" t="s">
        <v>63</v>
      </c>
      <c r="B86">
        <v>16.34</v>
      </c>
    </row>
    <row r="87" spans="1:5" x14ac:dyDescent="0.3">
      <c r="A87" t="s">
        <v>64</v>
      </c>
      <c r="B87">
        <v>25.72</v>
      </c>
    </row>
    <row r="88" spans="1:5" x14ac:dyDescent="0.3">
      <c r="A88" t="s">
        <v>65</v>
      </c>
      <c r="B88">
        <v>40.76</v>
      </c>
    </row>
    <row r="89" spans="1:5" x14ac:dyDescent="0.3">
      <c r="A89" t="s">
        <v>66</v>
      </c>
      <c r="B89">
        <v>55.8</v>
      </c>
    </row>
    <row r="91" spans="1:5" ht="20" x14ac:dyDescent="0.4">
      <c r="A91" s="5" t="s">
        <v>230</v>
      </c>
    </row>
    <row r="92" spans="1:5" x14ac:dyDescent="0.3">
      <c r="A92" s="12" t="s">
        <v>67</v>
      </c>
      <c r="B92" s="12" t="s">
        <v>231</v>
      </c>
      <c r="C92" s="12" t="s">
        <v>68</v>
      </c>
      <c r="D92" s="12" t="s">
        <v>69</v>
      </c>
      <c r="E92" s="12" t="s">
        <v>232</v>
      </c>
    </row>
    <row r="93" spans="1:5" x14ac:dyDescent="0.3">
      <c r="A93" t="s">
        <v>70</v>
      </c>
      <c r="B93">
        <v>20706000</v>
      </c>
      <c r="C93">
        <v>0.6</v>
      </c>
      <c r="D93" t="s">
        <v>71</v>
      </c>
      <c r="E93">
        <v>4.68</v>
      </c>
    </row>
    <row r="94" spans="1:5" x14ac:dyDescent="0.3">
      <c r="A94" t="s">
        <v>72</v>
      </c>
      <c r="B94">
        <v>8500000</v>
      </c>
      <c r="C94">
        <v>0.03</v>
      </c>
      <c r="D94" t="s">
        <v>73</v>
      </c>
      <c r="E94">
        <v>1.82</v>
      </c>
    </row>
    <row r="95" spans="1:5" x14ac:dyDescent="0.3">
      <c r="A95" t="s">
        <v>74</v>
      </c>
      <c r="B95">
        <v>443000</v>
      </c>
      <c r="C95">
        <v>0.04</v>
      </c>
      <c r="D95" t="s">
        <v>73</v>
      </c>
      <c r="E95">
        <v>1.82</v>
      </c>
    </row>
    <row r="96" spans="1:5" x14ac:dyDescent="0.3">
      <c r="A96" t="s">
        <v>75</v>
      </c>
      <c r="B96">
        <v>3121000</v>
      </c>
      <c r="C96">
        <v>0.06</v>
      </c>
      <c r="D96" t="s">
        <v>73</v>
      </c>
      <c r="E96">
        <v>1.82</v>
      </c>
    </row>
    <row r="97" spans="1:5" x14ac:dyDescent="0.3">
      <c r="A97" t="s">
        <v>76</v>
      </c>
      <c r="B97">
        <v>1275000</v>
      </c>
      <c r="C97">
        <v>0.25</v>
      </c>
      <c r="D97" t="s">
        <v>77</v>
      </c>
      <c r="E97">
        <v>1.55</v>
      </c>
    </row>
    <row r="98" spans="1:5" x14ac:dyDescent="0.3">
      <c r="A98" t="s">
        <v>78</v>
      </c>
      <c r="B98">
        <v>1652000</v>
      </c>
      <c r="C98">
        <v>0.5</v>
      </c>
      <c r="D98" t="s">
        <v>79</v>
      </c>
      <c r="E98">
        <v>3.1</v>
      </c>
    </row>
    <row r="99" spans="1:5" x14ac:dyDescent="0.3">
      <c r="A99" t="s">
        <v>80</v>
      </c>
      <c r="B99">
        <v>152000</v>
      </c>
      <c r="C99">
        <v>0.75</v>
      </c>
      <c r="D99" t="s">
        <v>77</v>
      </c>
      <c r="E99">
        <v>1.55</v>
      </c>
    </row>
    <row r="100" spans="1:5" x14ac:dyDescent="0.3">
      <c r="A100" t="s">
        <v>81</v>
      </c>
      <c r="B100">
        <v>747000</v>
      </c>
      <c r="C100">
        <v>0.06</v>
      </c>
      <c r="D100" t="s">
        <v>71</v>
      </c>
      <c r="E100">
        <v>4.68</v>
      </c>
    </row>
    <row r="101" spans="1:5" x14ac:dyDescent="0.3">
      <c r="A101" t="s">
        <v>82</v>
      </c>
      <c r="B101">
        <v>1147000</v>
      </c>
      <c r="C101">
        <v>0.5</v>
      </c>
      <c r="D101" t="s">
        <v>83</v>
      </c>
      <c r="E101">
        <v>0.77</v>
      </c>
    </row>
    <row r="102" spans="1:5" x14ac:dyDescent="0.3">
      <c r="A102" t="s">
        <v>84</v>
      </c>
      <c r="B102">
        <v>912000</v>
      </c>
      <c r="C102">
        <v>0.2</v>
      </c>
      <c r="D102" t="s">
        <v>79</v>
      </c>
      <c r="E102">
        <v>3.1</v>
      </c>
    </row>
    <row r="103" spans="1:5" x14ac:dyDescent="0.3">
      <c r="A103" t="s">
        <v>85</v>
      </c>
      <c r="B103">
        <v>400000</v>
      </c>
      <c r="C103">
        <v>0.3</v>
      </c>
      <c r="D103" t="s">
        <v>79</v>
      </c>
      <c r="E103">
        <v>3.1</v>
      </c>
    </row>
    <row r="104" spans="1:5" x14ac:dyDescent="0.3">
      <c r="A104" t="s">
        <v>86</v>
      </c>
      <c r="B104">
        <v>397000</v>
      </c>
      <c r="C104">
        <v>0.5</v>
      </c>
      <c r="D104" t="s">
        <v>71</v>
      </c>
      <c r="E104">
        <v>4.68</v>
      </c>
    </row>
    <row r="105" spans="1:5" x14ac:dyDescent="0.3">
      <c r="A105" t="s">
        <v>87</v>
      </c>
      <c r="B105">
        <v>255000</v>
      </c>
      <c r="C105">
        <v>0.5</v>
      </c>
      <c r="D105" t="s">
        <v>79</v>
      </c>
      <c r="E105">
        <v>3.1</v>
      </c>
    </row>
    <row r="106" spans="1:5" x14ac:dyDescent="0.3">
      <c r="A106" t="s">
        <v>88</v>
      </c>
      <c r="B106">
        <v>61000</v>
      </c>
      <c r="C106">
        <v>0.5</v>
      </c>
      <c r="D106" t="s">
        <v>71</v>
      </c>
      <c r="E106">
        <v>4.68</v>
      </c>
    </row>
    <row r="107" spans="1:5" x14ac:dyDescent="0.3">
      <c r="A107" t="s">
        <v>89</v>
      </c>
      <c r="B107">
        <v>128000</v>
      </c>
      <c r="C107">
        <v>0.06</v>
      </c>
      <c r="D107" t="s">
        <v>79</v>
      </c>
      <c r="E107">
        <v>3.1</v>
      </c>
    </row>
    <row r="108" spans="1:5" x14ac:dyDescent="0.3">
      <c r="A108" t="s">
        <v>90</v>
      </c>
      <c r="B108">
        <v>179000</v>
      </c>
      <c r="C108">
        <v>0.5</v>
      </c>
      <c r="D108" t="s">
        <v>83</v>
      </c>
      <c r="E108">
        <v>0.77</v>
      </c>
    </row>
    <row r="109" spans="1:5" x14ac:dyDescent="0.3">
      <c r="A109" t="s">
        <v>91</v>
      </c>
      <c r="B109">
        <v>200000</v>
      </c>
      <c r="C109">
        <v>0.1</v>
      </c>
      <c r="D109" t="s">
        <v>79</v>
      </c>
      <c r="E109">
        <v>3.1</v>
      </c>
    </row>
    <row r="110" spans="1:5" x14ac:dyDescent="0.3">
      <c r="A110" t="s">
        <v>92</v>
      </c>
      <c r="B110">
        <v>355000</v>
      </c>
      <c r="C110">
        <v>0.1</v>
      </c>
      <c r="D110" t="s">
        <v>71</v>
      </c>
      <c r="E110">
        <v>4.68</v>
      </c>
    </row>
    <row r="112" spans="1:5" ht="20" x14ac:dyDescent="0.4">
      <c r="A112" s="5" t="s">
        <v>238</v>
      </c>
    </row>
    <row r="113" spans="1:2" x14ac:dyDescent="0.3">
      <c r="A113" s="12" t="s">
        <v>93</v>
      </c>
      <c r="B113" s="12" t="s">
        <v>237</v>
      </c>
    </row>
    <row r="114" spans="1:2" x14ac:dyDescent="0.3">
      <c r="A114" t="s">
        <v>29</v>
      </c>
      <c r="B114">
        <v>6.3E-2</v>
      </c>
    </row>
    <row r="115" spans="1:2" x14ac:dyDescent="0.3">
      <c r="A115" t="s">
        <v>233</v>
      </c>
      <c r="B115">
        <v>6.8000000000000005E-2</v>
      </c>
    </row>
    <row r="116" spans="1:2" x14ac:dyDescent="0.3">
      <c r="A116" t="s">
        <v>94</v>
      </c>
      <c r="B116">
        <v>7.1999999999999995E-2</v>
      </c>
    </row>
    <row r="117" spans="1:2" x14ac:dyDescent="0.3">
      <c r="A117" t="s">
        <v>95</v>
      </c>
      <c r="B117">
        <v>0.107</v>
      </c>
    </row>
    <row r="118" spans="1:2" x14ac:dyDescent="0.3">
      <c r="A118" t="s">
        <v>96</v>
      </c>
      <c r="B118">
        <v>9.1999999999999998E-2</v>
      </c>
    </row>
    <row r="119" spans="1:2" x14ac:dyDescent="0.3">
      <c r="A119" t="s">
        <v>97</v>
      </c>
      <c r="B119">
        <v>0.16</v>
      </c>
    </row>
    <row r="120" spans="1:2" x14ac:dyDescent="0.3">
      <c r="A120" t="s">
        <v>98</v>
      </c>
      <c r="B120">
        <v>0.14699999999999999</v>
      </c>
    </row>
    <row r="121" spans="1:2" x14ac:dyDescent="0.3">
      <c r="A121" t="s">
        <v>99</v>
      </c>
      <c r="B121">
        <v>0.26700000000000002</v>
      </c>
    </row>
    <row r="122" spans="1:2" x14ac:dyDescent="0.3">
      <c r="A122" t="s">
        <v>234</v>
      </c>
      <c r="B122">
        <v>0.112</v>
      </c>
    </row>
    <row r="123" spans="1:2" x14ac:dyDescent="0.3">
      <c r="A123" t="s">
        <v>235</v>
      </c>
      <c r="B123">
        <v>0.09</v>
      </c>
    </row>
    <row r="124" spans="1:2" x14ac:dyDescent="0.3">
      <c r="A124" t="s">
        <v>236</v>
      </c>
      <c r="B124">
        <v>7.4999999999999997E-2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339D-6D17-40D1-BDA0-E86C2A9795B1}">
  <dimension ref="A2:H131"/>
  <sheetViews>
    <sheetView workbookViewId="0">
      <selection activeCell="B25" sqref="B25"/>
    </sheetView>
  </sheetViews>
  <sheetFormatPr defaultRowHeight="14" x14ac:dyDescent="0.3"/>
  <cols>
    <col min="1" max="1" width="29" customWidth="1"/>
    <col min="2" max="2" width="24.75" customWidth="1"/>
    <col min="3" max="3" width="23.5" customWidth="1"/>
    <col min="4" max="4" width="18" customWidth="1"/>
    <col min="5" max="5" width="22.4140625" customWidth="1"/>
    <col min="6" max="6" width="22.1640625" customWidth="1"/>
  </cols>
  <sheetData>
    <row r="2" spans="1:8" ht="20" x14ac:dyDescent="0.4">
      <c r="A2" s="5" t="s">
        <v>214</v>
      </c>
    </row>
    <row r="3" spans="1:8" x14ac:dyDescent="0.3">
      <c r="A3" s="6" t="s">
        <v>0</v>
      </c>
      <c r="B3" s="6" t="s">
        <v>242</v>
      </c>
      <c r="C3" s="6" t="s">
        <v>243</v>
      </c>
      <c r="D3" s="6" t="s">
        <v>3</v>
      </c>
      <c r="E3" s="6" t="s">
        <v>4</v>
      </c>
      <c r="F3" s="6" t="s">
        <v>255</v>
      </c>
      <c r="G3" s="1"/>
      <c r="H3" s="1"/>
    </row>
    <row r="4" spans="1:8" x14ac:dyDescent="0.3">
      <c r="A4" s="7" t="s">
        <v>5</v>
      </c>
      <c r="B4" s="8"/>
      <c r="C4" s="8"/>
      <c r="D4" s="8"/>
      <c r="E4" s="8"/>
      <c r="F4" s="10"/>
      <c r="G4" s="2"/>
      <c r="H4" s="3"/>
    </row>
    <row r="5" spans="1:8" x14ac:dyDescent="0.3">
      <c r="A5" s="3" t="s">
        <v>6</v>
      </c>
      <c r="B5" s="17">
        <f>$A$41*'London Olympics Spectators'!B5</f>
        <v>603519.26218181825</v>
      </c>
      <c r="C5" s="17">
        <f>$A$41*'London Olympics Spectators'!C5</f>
        <v>2139515.5803636364</v>
      </c>
      <c r="D5" s="17">
        <f>$A$41*'London Olympics Spectators'!D5</f>
        <v>658949.43418181827</v>
      </c>
      <c r="E5" s="17">
        <f>$A$41*'London Olympics Spectators'!E5</f>
        <v>120703.37490909091</v>
      </c>
      <c r="F5" s="31">
        <f>SUM(B5:E5)</f>
        <v>3522687.6516363635</v>
      </c>
      <c r="G5" s="3"/>
      <c r="H5" s="4"/>
    </row>
    <row r="6" spans="1:8" x14ac:dyDescent="0.3">
      <c r="A6" s="3" t="s">
        <v>7</v>
      </c>
      <c r="B6" s="17">
        <f>$A$41*'London Olympics Spectators'!B6</f>
        <v>440157.18218181824</v>
      </c>
      <c r="C6" s="17">
        <f>$A$41*'London Olympics Spectators'!C6</f>
        <v>256758.05781818184</v>
      </c>
      <c r="D6" s="17">
        <f>$A$41*'London Olympics Spectators'!D6</f>
        <v>22008.038181818181</v>
      </c>
      <c r="E6" s="17">
        <f>$A$41*'London Olympics Spectators'!E6</f>
        <v>14672.025454545455</v>
      </c>
      <c r="F6" s="31">
        <f t="shared" ref="F6:F16" si="0">SUM(B6:E6)</f>
        <v>733595.30363636382</v>
      </c>
      <c r="G6" s="3"/>
      <c r="H6" s="4"/>
    </row>
    <row r="7" spans="1:8" x14ac:dyDescent="0.3">
      <c r="A7" s="3" t="s">
        <v>8</v>
      </c>
      <c r="B7" s="17">
        <f>$A$41*'London Olympics Spectators'!B7</f>
        <v>1541563.0923636365</v>
      </c>
      <c r="C7" s="17">
        <f>$A$41*'London Olympics Spectators'!C7</f>
        <v>985590.02690909093</v>
      </c>
      <c r="D7" s="17">
        <f>$A$41*'London Olympics Spectators'!D7</f>
        <v>0</v>
      </c>
      <c r="E7" s="17">
        <f>$A$41*'London Olympics Spectators'!E7</f>
        <v>0</v>
      </c>
      <c r="F7" s="31">
        <f t="shared" si="0"/>
        <v>2527153.1192727275</v>
      </c>
      <c r="G7" s="3"/>
      <c r="H7" s="4"/>
    </row>
    <row r="8" spans="1:8" x14ac:dyDescent="0.3">
      <c r="A8" s="36" t="s">
        <v>255</v>
      </c>
      <c r="B8" s="17">
        <f>SUM(B5:B7)</f>
        <v>2585239.5367272729</v>
      </c>
      <c r="C8" s="17">
        <f t="shared" ref="C8:F8" si="1">SUM(C5:C7)</f>
        <v>3381863.6650909092</v>
      </c>
      <c r="D8" s="17">
        <f t="shared" si="1"/>
        <v>680957.47236363648</v>
      </c>
      <c r="E8" s="17">
        <f t="shared" si="1"/>
        <v>135375.40036363638</v>
      </c>
      <c r="F8" s="17">
        <f t="shared" si="1"/>
        <v>6783436.0745454552</v>
      </c>
      <c r="G8" s="3"/>
      <c r="H8" s="4"/>
    </row>
    <row r="9" spans="1:8" x14ac:dyDescent="0.3">
      <c r="A9" s="7" t="s">
        <v>9</v>
      </c>
      <c r="B9" s="9"/>
      <c r="C9" s="9"/>
      <c r="D9" s="9"/>
      <c r="E9" s="9"/>
      <c r="F9" s="32"/>
      <c r="G9" s="2"/>
      <c r="H9" s="4"/>
    </row>
    <row r="10" spans="1:8" x14ac:dyDescent="0.3">
      <c r="A10" s="3" t="s">
        <v>10</v>
      </c>
      <c r="B10" s="17">
        <f>SUM($B$5:$B$7)*$A$56*C45</f>
        <v>0</v>
      </c>
      <c r="C10" s="17">
        <f>SUM($C$5:$C$7)*$B$56*C46</f>
        <v>279631596.0277611</v>
      </c>
      <c r="D10" s="17">
        <f>SUM($D$5:$D$7)*$C$56*C47</f>
        <v>78786779.55247274</v>
      </c>
      <c r="E10" s="17">
        <f>SUM($E$5:$E$7)*$D$56*C48</f>
        <v>0</v>
      </c>
      <c r="F10" s="31">
        <f t="shared" si="0"/>
        <v>358418375.58023381</v>
      </c>
      <c r="G10" s="3"/>
      <c r="H10" s="3"/>
    </row>
    <row r="11" spans="1:8" x14ac:dyDescent="0.3">
      <c r="A11" s="3" t="s">
        <v>11</v>
      </c>
      <c r="B11" s="17">
        <f>SUM($B$5:$B$7)*$A$56*D45</f>
        <v>2409890.5819697869</v>
      </c>
      <c r="C11" s="17">
        <f>SUM($C$5:$C$7)*$B$56*D46</f>
        <v>466052660.04626852</v>
      </c>
      <c r="D11" s="17">
        <f>SUM($D$5:$D$7)*$C$56*D47</f>
        <v>79672024.26654546</v>
      </c>
      <c r="E11" s="17">
        <f>SUM($E$5:$E$7)*$D$56*D48</f>
        <v>0</v>
      </c>
      <c r="F11" s="31">
        <f t="shared" si="0"/>
        <v>548134574.89478374</v>
      </c>
      <c r="G11" s="3"/>
      <c r="H11" s="4"/>
    </row>
    <row r="12" spans="1:8" x14ac:dyDescent="0.3">
      <c r="A12" s="3" t="s">
        <v>12</v>
      </c>
      <c r="B12" s="17">
        <f>SUM($B$5:$B$7)*$A$56*E45</f>
        <v>0</v>
      </c>
      <c r="C12" s="17">
        <f>SUM($C$5:$C$7)*$B$56*E46</f>
        <v>25421054.184341915</v>
      </c>
      <c r="D12" s="17">
        <f>SUM($D$5:$D$7)*$C$56*E47</f>
        <v>661277801.41232741</v>
      </c>
      <c r="E12" s="17">
        <f>SUM($E$5:$E$7)*$D$56*E48</f>
        <v>1015315502.7272729</v>
      </c>
      <c r="F12" s="31">
        <f t="shared" si="0"/>
        <v>1702014358.3239422</v>
      </c>
      <c r="G12" s="3"/>
      <c r="H12" s="3"/>
    </row>
    <row r="13" spans="1:8" x14ac:dyDescent="0.3">
      <c r="A13" s="3" t="s">
        <v>13</v>
      </c>
      <c r="B13" s="17">
        <f>SUM($B$5:$B$7)*$A$56*F45</f>
        <v>0</v>
      </c>
      <c r="C13" s="17">
        <f>SUM($C$5:$C$7)*$B$56*F46</f>
        <v>76263162.553025737</v>
      </c>
      <c r="D13" s="17">
        <f>SUM($D$5:$D$7)*$C$56*F47</f>
        <v>65508108.841381826</v>
      </c>
      <c r="E13" s="17">
        <f>SUM($E$5:$E$7)*$D$56*F48</f>
        <v>0</v>
      </c>
      <c r="F13" s="31">
        <f t="shared" si="0"/>
        <v>141771271.39440757</v>
      </c>
      <c r="G13" s="3"/>
      <c r="H13" s="3"/>
    </row>
    <row r="14" spans="1:8" x14ac:dyDescent="0.3">
      <c r="A14" s="3" t="s">
        <v>14</v>
      </c>
      <c r="B14" s="17">
        <f>$A$41*'London Olympics Spectators'!B13</f>
        <v>5722858.7461818187</v>
      </c>
      <c r="C14" s="17">
        <f>$A$41*'London Olympics Spectators'!C13</f>
        <v>6722729.2261818182</v>
      </c>
      <c r="D14" s="17">
        <f>$A$41*'London Olympics Spectators'!D13</f>
        <v>2213587.2232727273</v>
      </c>
      <c r="E14" s="17">
        <f>$A$41*'London Olympics Spectators'!E13</f>
        <v>454862.63454545458</v>
      </c>
      <c r="F14" s="31">
        <f t="shared" si="0"/>
        <v>15114037.830181818</v>
      </c>
      <c r="G14" s="3"/>
      <c r="H14" s="4"/>
    </row>
    <row r="15" spans="1:8" x14ac:dyDescent="0.3">
      <c r="A15" s="3" t="s">
        <v>15</v>
      </c>
      <c r="B15" s="17">
        <f>$A$41*'London Olympics Spectators'!B14</f>
        <v>12590289.480363637</v>
      </c>
      <c r="C15" s="17">
        <f>$A$41*'London Olympics Spectators'!C14</f>
        <v>14790004.536363637</v>
      </c>
      <c r="D15" s="17">
        <f>$A$41*'London Olympics Spectators'!D14</f>
        <v>4869891.1749090916</v>
      </c>
      <c r="E15" s="17">
        <f>$A$41*'London Olympics Spectators'!E14</f>
        <v>1000697.7960000001</v>
      </c>
      <c r="F15" s="31">
        <f t="shared" si="0"/>
        <v>33250882.987636369</v>
      </c>
      <c r="G15" s="3"/>
      <c r="H15" s="4"/>
    </row>
    <row r="16" spans="1:8" x14ac:dyDescent="0.3">
      <c r="A16" s="3" t="s">
        <v>16</v>
      </c>
      <c r="B16" s="17">
        <f>$A$41*'London Olympics Spectators'!B15</f>
        <v>0</v>
      </c>
      <c r="C16" s="17">
        <f>$A$41*'London Olympics Spectators'!C15</f>
        <v>2274002.7800000003</v>
      </c>
      <c r="D16" s="17">
        <f>$A$41*'London Olympics Spectators'!D15</f>
        <v>1900519.1494545455</v>
      </c>
      <c r="E16" s="17">
        <f>$A$41*'London Olympics Spectators'!E15</f>
        <v>379051.59854545456</v>
      </c>
      <c r="F16" s="31">
        <f t="shared" si="0"/>
        <v>4553573.5279999999</v>
      </c>
      <c r="G16" s="3"/>
      <c r="H16" s="3"/>
    </row>
    <row r="17" spans="1:8" x14ac:dyDescent="0.3">
      <c r="A17" s="7" t="s">
        <v>17</v>
      </c>
      <c r="B17" s="8"/>
      <c r="C17" s="8"/>
      <c r="D17" s="8"/>
      <c r="E17" s="8"/>
      <c r="F17" s="33"/>
      <c r="G17" s="2"/>
      <c r="H17" s="3"/>
    </row>
    <row r="18" spans="1:8" x14ac:dyDescent="0.3">
      <c r="A18" s="3" t="s">
        <v>18</v>
      </c>
      <c r="B18" s="3">
        <v>6.3E-2</v>
      </c>
      <c r="C18" s="3">
        <v>6.3E-2</v>
      </c>
      <c r="D18" s="3">
        <v>4.5999999999999999E-2</v>
      </c>
      <c r="E18" s="3">
        <v>0</v>
      </c>
      <c r="F18" s="34"/>
      <c r="G18" s="3"/>
      <c r="H18" s="3"/>
    </row>
    <row r="19" spans="1:8" x14ac:dyDescent="0.3">
      <c r="A19" s="3" t="s">
        <v>19</v>
      </c>
      <c r="B19" s="3">
        <v>0.112</v>
      </c>
      <c r="C19" s="3">
        <v>9.2999999999999999E-2</v>
      </c>
      <c r="D19" s="3">
        <v>7.4999999999999997E-2</v>
      </c>
      <c r="E19" s="3">
        <v>0</v>
      </c>
      <c r="F19" s="34"/>
      <c r="G19" s="3"/>
      <c r="H19" s="3"/>
    </row>
    <row r="20" spans="1:8" x14ac:dyDescent="0.3">
      <c r="A20" s="3" t="s">
        <v>20</v>
      </c>
      <c r="B20" s="3">
        <v>0</v>
      </c>
      <c r="C20" s="3">
        <v>0.112</v>
      </c>
      <c r="D20" s="3">
        <v>0.115</v>
      </c>
      <c r="E20" s="3">
        <v>0.126</v>
      </c>
      <c r="F20" s="34"/>
      <c r="G20" s="3"/>
      <c r="H20" s="3"/>
    </row>
    <row r="21" spans="1:8" ht="28" x14ac:dyDescent="0.3">
      <c r="A21" s="3" t="s">
        <v>21</v>
      </c>
      <c r="B21" s="3">
        <v>7.1999999999999995E-2</v>
      </c>
      <c r="C21" s="3">
        <v>7.1999999999999995E-2</v>
      </c>
      <c r="D21" s="3">
        <v>7.1999999999999995E-2</v>
      </c>
      <c r="E21" s="3">
        <v>7.1999999999999995E-2</v>
      </c>
      <c r="F21" s="34"/>
      <c r="G21" s="3"/>
      <c r="H21" s="3"/>
    </row>
    <row r="22" spans="1:8" ht="28" x14ac:dyDescent="0.3">
      <c r="A22" s="3" t="s">
        <v>22</v>
      </c>
      <c r="B22" s="3">
        <v>0</v>
      </c>
      <c r="C22" s="3">
        <v>23.86</v>
      </c>
      <c r="D22" s="3">
        <v>29.42</v>
      </c>
      <c r="E22" s="3">
        <v>29.42</v>
      </c>
      <c r="F22" s="34"/>
      <c r="G22" s="3"/>
      <c r="H22" s="3"/>
    </row>
    <row r="23" spans="1:8" x14ac:dyDescent="0.3">
      <c r="A23" s="3" t="s">
        <v>23</v>
      </c>
      <c r="B23" s="28">
        <f>$B$61*$B$73+$B$62*$B$74+$B$63*$B$75+$B$64*$B$76</f>
        <v>1.5065</v>
      </c>
      <c r="C23" s="28">
        <f t="shared" ref="C23:E23" si="2">$B$61*$B$73+$B$62*$B$74+$B$63*$B$75+$B$64*$B$76</f>
        <v>1.5065</v>
      </c>
      <c r="D23" s="28">
        <f t="shared" si="2"/>
        <v>1.5065</v>
      </c>
      <c r="E23" s="28">
        <f t="shared" si="2"/>
        <v>1.5065</v>
      </c>
      <c r="F23" s="34"/>
      <c r="G23" s="3"/>
      <c r="H23" s="3"/>
    </row>
    <row r="24" spans="1:8" x14ac:dyDescent="0.3">
      <c r="A24" s="3" t="s">
        <v>24</v>
      </c>
      <c r="B24" s="28">
        <f>$B$66*$B$77+$B$67*$B$78+$B$68*$B$79+$B$69*$B$80</f>
        <v>0.72459999999999991</v>
      </c>
      <c r="C24" s="28">
        <f t="shared" ref="C24:E24" si="3">$B$66*$B$77+$B$67*$B$78+$B$68*$B$79+$B$69*$B$80</f>
        <v>0.72459999999999991</v>
      </c>
      <c r="D24" s="28">
        <f t="shared" si="3"/>
        <v>0.72459999999999991</v>
      </c>
      <c r="E24" s="28">
        <f t="shared" si="3"/>
        <v>0.72459999999999991</v>
      </c>
      <c r="F24" s="34"/>
      <c r="G24" s="3"/>
      <c r="H24" s="3"/>
    </row>
    <row r="25" spans="1:8" x14ac:dyDescent="0.3">
      <c r="A25" s="3" t="s">
        <v>25</v>
      </c>
      <c r="B25" s="28">
        <f>$B$61*$C$73+$B$62*$C$74+$B$63*$C$75+$B$64*$C$76</f>
        <v>0.42899999999999994</v>
      </c>
      <c r="C25" s="28">
        <f t="shared" ref="C25:E25" si="4">$B$61*$C$73+$B$62*$C$74+$B$63*$C$75+$B$64*$C$76</f>
        <v>0.42899999999999994</v>
      </c>
      <c r="D25" s="28">
        <f t="shared" si="4"/>
        <v>0.42899999999999994</v>
      </c>
      <c r="E25" s="28">
        <f t="shared" si="4"/>
        <v>0.42899999999999994</v>
      </c>
      <c r="F25" s="34"/>
      <c r="G25" s="3"/>
      <c r="H25" s="3"/>
    </row>
    <row r="26" spans="1:8" x14ac:dyDescent="0.3">
      <c r="A26" s="3" t="s">
        <v>26</v>
      </c>
      <c r="B26" s="28">
        <f>$B$66*$C$77+$B$67*$C$78+$B$68*$C$79+$B$69*$C$80</f>
        <v>0.1038</v>
      </c>
      <c r="C26" s="28">
        <f t="shared" ref="C26:E26" si="5">$B$66*$C$77+$B$67*$C$78+$B$68*$C$79+$B$69*$C$80</f>
        <v>0.1038</v>
      </c>
      <c r="D26" s="28">
        <f t="shared" si="5"/>
        <v>0.1038</v>
      </c>
      <c r="E26" s="28">
        <f t="shared" si="5"/>
        <v>0.1038</v>
      </c>
      <c r="F26" s="34"/>
      <c r="G26" s="3"/>
      <c r="H26" s="3"/>
    </row>
    <row r="27" spans="1:8" ht="28" x14ac:dyDescent="0.3">
      <c r="A27" s="3" t="s">
        <v>27</v>
      </c>
      <c r="B27" s="3">
        <v>1.61</v>
      </c>
      <c r="C27" s="3">
        <v>1.61</v>
      </c>
      <c r="D27" s="3">
        <v>1.61</v>
      </c>
      <c r="E27" s="3">
        <v>1.61</v>
      </c>
      <c r="F27" s="34"/>
      <c r="G27" s="3"/>
      <c r="H27" s="3"/>
    </row>
    <row r="28" spans="1:8" x14ac:dyDescent="0.3">
      <c r="A28" s="7" t="s">
        <v>28</v>
      </c>
      <c r="B28" s="8"/>
      <c r="C28" s="8"/>
      <c r="D28" s="8"/>
      <c r="E28" s="8"/>
      <c r="F28" s="33"/>
      <c r="G28" s="2"/>
      <c r="H28" s="3"/>
    </row>
    <row r="29" spans="1:8" x14ac:dyDescent="0.3">
      <c r="A29" s="3" t="s">
        <v>29</v>
      </c>
      <c r="B29" s="20">
        <f>B18*B10</f>
        <v>0</v>
      </c>
      <c r="C29" s="20">
        <f>C18*C10</f>
        <v>17616790.54974895</v>
      </c>
      <c r="D29" s="20">
        <f>D18*D10</f>
        <v>3624191.8594137458</v>
      </c>
      <c r="E29" s="20">
        <f>E18*E10</f>
        <v>0</v>
      </c>
      <c r="F29" s="35">
        <f>SUM(B29:E29)</f>
        <v>21240982.409162696</v>
      </c>
      <c r="G29" s="3"/>
      <c r="H29" s="3"/>
    </row>
    <row r="30" spans="1:8" x14ac:dyDescent="0.3">
      <c r="A30" s="3" t="s">
        <v>30</v>
      </c>
      <c r="B30" s="20">
        <f>B19*B11</f>
        <v>269907.74518061616</v>
      </c>
      <c r="C30" s="20">
        <f>C19*C11</f>
        <v>43342897.384302974</v>
      </c>
      <c r="D30" s="20">
        <f>D19*D11</f>
        <v>5975401.8199909097</v>
      </c>
      <c r="E30" s="20">
        <f>E19*E11</f>
        <v>0</v>
      </c>
      <c r="F30" s="35">
        <f t="shared" ref="F30:F37" si="6">SUM(B30:E30)</f>
        <v>49588206.949474499</v>
      </c>
      <c r="G30" s="3"/>
      <c r="H30" s="4"/>
    </row>
    <row r="31" spans="1:8" x14ac:dyDescent="0.3">
      <c r="A31" s="3" t="s">
        <v>31</v>
      </c>
      <c r="B31" s="20">
        <f>B20*B12</f>
        <v>0</v>
      </c>
      <c r="C31" s="20">
        <f>C20*C12</f>
        <v>2847158.0686462945</v>
      </c>
      <c r="D31" s="20">
        <f>D20*D12</f>
        <v>76046947.16241765</v>
      </c>
      <c r="E31" s="20">
        <f>E20*E12</f>
        <v>127929753.34363638</v>
      </c>
      <c r="F31" s="35">
        <f t="shared" si="6"/>
        <v>206823858.57470033</v>
      </c>
      <c r="G31" s="3"/>
      <c r="H31" s="3"/>
    </row>
    <row r="32" spans="1:8" x14ac:dyDescent="0.3">
      <c r="A32" s="3" t="s">
        <v>32</v>
      </c>
      <c r="B32" s="20">
        <f>B21*B13</f>
        <v>0</v>
      </c>
      <c r="C32" s="20">
        <f>C21*C13</f>
        <v>5490947.7038178528</v>
      </c>
      <c r="D32" s="20">
        <f>D21*D13</f>
        <v>4716583.8365794914</v>
      </c>
      <c r="E32" s="20">
        <f>E21*E13</f>
        <v>0</v>
      </c>
      <c r="F32" s="35">
        <f t="shared" si="6"/>
        <v>10207531.540397344</v>
      </c>
      <c r="G32" s="3"/>
      <c r="H32" s="3"/>
    </row>
    <row r="33" spans="1:8" x14ac:dyDescent="0.3">
      <c r="A33" s="3" t="s">
        <v>33</v>
      </c>
      <c r="B33" s="17">
        <f>B14*B23</f>
        <v>8621486.7011229098</v>
      </c>
      <c r="C33" s="17">
        <f>C14*C23</f>
        <v>10127791.579242909</v>
      </c>
      <c r="D33" s="17">
        <f>D14*D23</f>
        <v>3334769.1518603638</v>
      </c>
      <c r="E33" s="17">
        <f>E14*E23</f>
        <v>685250.55894272728</v>
      </c>
      <c r="F33" s="35">
        <f t="shared" si="6"/>
        <v>22769297.991168909</v>
      </c>
      <c r="G33" s="3"/>
      <c r="H33" s="4"/>
    </row>
    <row r="34" spans="1:8" x14ac:dyDescent="0.3">
      <c r="A34" s="3" t="s">
        <v>34</v>
      </c>
      <c r="B34" s="17">
        <f>B15*B24</f>
        <v>9122923.7574714907</v>
      </c>
      <c r="C34" s="17">
        <f>C15*C24</f>
        <v>10716837.28704909</v>
      </c>
      <c r="D34" s="17">
        <f>D15*D24</f>
        <v>3528723.1453391272</v>
      </c>
      <c r="E34" s="17">
        <f>E15*E24</f>
        <v>725105.6229816</v>
      </c>
      <c r="F34" s="35">
        <f t="shared" si="6"/>
        <v>24093589.812841307</v>
      </c>
      <c r="G34" s="3"/>
      <c r="H34" s="4"/>
    </row>
    <row r="35" spans="1:8" x14ac:dyDescent="0.3">
      <c r="A35" s="3" t="s">
        <v>35</v>
      </c>
      <c r="B35" s="19">
        <f>B22*B16</f>
        <v>0</v>
      </c>
      <c r="C35" s="19">
        <f>C22*C16</f>
        <v>54257706.330800004</v>
      </c>
      <c r="D35" s="19">
        <f>D22*D16</f>
        <v>55913273.37695273</v>
      </c>
      <c r="E35" s="19">
        <f>E22*E16</f>
        <v>11151698.029207274</v>
      </c>
      <c r="F35" s="35">
        <f t="shared" si="6"/>
        <v>121322677.73696001</v>
      </c>
      <c r="G35" s="3"/>
      <c r="H35" s="3"/>
    </row>
    <row r="36" spans="1:8" x14ac:dyDescent="0.3">
      <c r="A36" s="3" t="s">
        <v>36</v>
      </c>
      <c r="B36" s="17">
        <f>B25*B14+B26*B15</f>
        <v>3761978.4501737449</v>
      </c>
      <c r="C36" s="17">
        <f>C25*C14+C26*C15</f>
        <v>4419253.3089065459</v>
      </c>
      <c r="D36" s="17">
        <f>D25*D14+D26*D15</f>
        <v>1455123.6227395637</v>
      </c>
      <c r="E36" s="17">
        <f>E25*E14+E26*E15</f>
        <v>299008.5014448</v>
      </c>
      <c r="F36" s="35">
        <f t="shared" si="6"/>
        <v>9935363.8832646552</v>
      </c>
      <c r="G36" s="3"/>
      <c r="H36" s="4"/>
    </row>
    <row r="37" spans="1:8" x14ac:dyDescent="0.3">
      <c r="A37" s="3" t="s">
        <v>37</v>
      </c>
      <c r="B37" s="17">
        <f>'London Olympics Spectators'!B36*'Paris Olympics Spectators'!$A$41</f>
        <v>29838864.669090912</v>
      </c>
      <c r="C37" s="17">
        <f>'London Olympics Spectators'!C36*'Paris Olympics Spectators'!$A$41</f>
        <v>39033509.047272727</v>
      </c>
      <c r="D37" s="17">
        <f>'London Olympics Spectators'!D36*'Paris Olympics Spectators'!$A$41</f>
        <v>7859620.1880000001</v>
      </c>
      <c r="E37" s="17">
        <f>'London Olympics Spectators'!E36*'Paris Olympics Spectators'!$A$41</f>
        <v>1562508.6323636365</v>
      </c>
      <c r="F37" s="35">
        <f t="shared" si="6"/>
        <v>78294502.536727265</v>
      </c>
      <c r="G37" s="3"/>
      <c r="H37" s="4"/>
    </row>
    <row r="38" spans="1:8" x14ac:dyDescent="0.3">
      <c r="A38" s="36" t="s">
        <v>255</v>
      </c>
      <c r="B38" s="20">
        <f t="shared" ref="B38:E38" si="7">SUM(B29:B37)</f>
        <v>51615161.323039673</v>
      </c>
      <c r="C38" s="20">
        <f t="shared" si="7"/>
        <v>187852891.25978738</v>
      </c>
      <c r="D38" s="20">
        <f t="shared" si="7"/>
        <v>162454634.16329357</v>
      </c>
      <c r="E38" s="20">
        <f t="shared" si="7"/>
        <v>142353324.6885764</v>
      </c>
      <c r="F38" s="20">
        <f>SUM(F29:F37)</f>
        <v>544276011.43469703</v>
      </c>
      <c r="G38" s="3"/>
      <c r="H38" s="4"/>
    </row>
    <row r="39" spans="1:8" x14ac:dyDescent="0.3">
      <c r="A39" s="3"/>
      <c r="B39" s="4"/>
      <c r="C39" s="4"/>
      <c r="D39" s="4"/>
      <c r="E39" s="4"/>
      <c r="G39" s="3"/>
      <c r="H39" s="4"/>
    </row>
    <row r="40" spans="1:8" ht="20" x14ac:dyDescent="0.3">
      <c r="A40" s="16" t="s">
        <v>248</v>
      </c>
      <c r="B40" s="4"/>
      <c r="C40" s="4"/>
      <c r="D40" s="4"/>
      <c r="E40" s="4"/>
      <c r="G40" s="3"/>
      <c r="H40" s="4"/>
    </row>
    <row r="41" spans="1:8" x14ac:dyDescent="0.3">
      <c r="A41" s="19">
        <f>13.4*0.98/11</f>
        <v>1.1938181818181819</v>
      </c>
      <c r="B41" s="4"/>
      <c r="C41" s="4"/>
      <c r="D41" s="4"/>
      <c r="E41" s="4"/>
      <c r="G41" s="3"/>
      <c r="H41" s="4"/>
    </row>
    <row r="42" spans="1:8" x14ac:dyDescent="0.3">
      <c r="A42" s="3"/>
      <c r="B42" s="4"/>
      <c r="C42" s="4"/>
      <c r="D42" s="4"/>
      <c r="E42" s="4"/>
      <c r="G42" s="3"/>
      <c r="H42" s="4"/>
    </row>
    <row r="43" spans="1:8" ht="20" x14ac:dyDescent="0.4">
      <c r="A43" s="5" t="s">
        <v>218</v>
      </c>
    </row>
    <row r="44" spans="1:8" x14ac:dyDescent="0.3">
      <c r="A44" s="12" t="s">
        <v>38</v>
      </c>
      <c r="B44" s="12" t="s">
        <v>220</v>
      </c>
      <c r="C44" s="12" t="s">
        <v>249</v>
      </c>
      <c r="D44" s="12" t="s">
        <v>30</v>
      </c>
      <c r="E44" s="12" t="s">
        <v>31</v>
      </c>
      <c r="F44" s="12" t="s">
        <v>39</v>
      </c>
    </row>
    <row r="45" spans="1:8" x14ac:dyDescent="0.3">
      <c r="A45" t="s">
        <v>244</v>
      </c>
      <c r="B45">
        <v>0.25</v>
      </c>
      <c r="C45">
        <v>0</v>
      </c>
      <c r="D45">
        <v>0.3</v>
      </c>
      <c r="E45">
        <v>0</v>
      </c>
      <c r="F45">
        <v>0</v>
      </c>
    </row>
    <row r="46" spans="1:8" x14ac:dyDescent="0.3">
      <c r="A46" t="s">
        <v>245</v>
      </c>
      <c r="B46">
        <v>0.45</v>
      </c>
      <c r="C46">
        <v>0.33</v>
      </c>
      <c r="D46">
        <v>0.55000000000000004</v>
      </c>
      <c r="E46">
        <v>0.03</v>
      </c>
      <c r="F46">
        <v>0.09</v>
      </c>
    </row>
    <row r="47" spans="1:8" x14ac:dyDescent="0.3">
      <c r="A47" t="s">
        <v>3</v>
      </c>
      <c r="B47">
        <v>0.25</v>
      </c>
      <c r="C47">
        <v>8.8999999999999996E-2</v>
      </c>
      <c r="D47">
        <v>0.09</v>
      </c>
      <c r="E47">
        <v>0.747</v>
      </c>
      <c r="F47">
        <v>7.3999999999999996E-2</v>
      </c>
    </row>
    <row r="48" spans="1:8" x14ac:dyDescent="0.3">
      <c r="A48" t="s">
        <v>40</v>
      </c>
      <c r="B48">
        <v>0.05</v>
      </c>
      <c r="C48">
        <v>0</v>
      </c>
      <c r="D48">
        <v>0</v>
      </c>
      <c r="E48">
        <v>1</v>
      </c>
      <c r="F48">
        <v>0</v>
      </c>
    </row>
    <row r="50" spans="1:5" ht="20" x14ac:dyDescent="0.4">
      <c r="A50" s="5" t="s">
        <v>251</v>
      </c>
    </row>
    <row r="51" spans="1:5" ht="28" x14ac:dyDescent="0.3">
      <c r="A51" s="25" t="s">
        <v>253</v>
      </c>
      <c r="B51" s="25" t="s">
        <v>252</v>
      </c>
    </row>
    <row r="52" spans="1:5" x14ac:dyDescent="0.3">
      <c r="A52" s="24">
        <f>SQRT(105.4/1572)</f>
        <v>0.25893695382463205</v>
      </c>
      <c r="B52" s="24">
        <f>SQRT(551695/243610)</f>
        <v>1.5048803384770926</v>
      </c>
    </row>
    <row r="54" spans="1:5" ht="20" x14ac:dyDescent="0.4">
      <c r="A54" s="5" t="s">
        <v>250</v>
      </c>
    </row>
    <row r="55" spans="1:5" x14ac:dyDescent="0.3">
      <c r="A55" s="12" t="s">
        <v>246</v>
      </c>
      <c r="B55" s="12" t="s">
        <v>243</v>
      </c>
      <c r="C55" s="12" t="s">
        <v>3</v>
      </c>
      <c r="D55" s="12" t="s">
        <v>43</v>
      </c>
      <c r="E55" s="12" t="s">
        <v>44</v>
      </c>
    </row>
    <row r="56" spans="1:5" x14ac:dyDescent="0.3">
      <c r="A56" s="24">
        <f>A52*'London Olympics Spectators'!A47</f>
        <v>3.1072434458955849</v>
      </c>
      <c r="B56" s="24">
        <f>'London Olympics Spectators'!B47*'Paris Olympics Spectators'!B52</f>
        <v>250.56257635643593</v>
      </c>
      <c r="C56">
        <v>1300</v>
      </c>
      <c r="D56">
        <v>7500</v>
      </c>
      <c r="E56" s="24">
        <f>'London Olympics Spectators'!E47*'Paris Olympics Spectators'!A52</f>
        <v>18.384523721548877</v>
      </c>
    </row>
    <row r="58" spans="1:5" ht="20" x14ac:dyDescent="0.4">
      <c r="A58" s="5" t="s">
        <v>222</v>
      </c>
    </row>
    <row r="59" spans="1:5" x14ac:dyDescent="0.3">
      <c r="A59" s="13" t="s">
        <v>224</v>
      </c>
      <c r="B59" s="13" t="s">
        <v>225</v>
      </c>
    </row>
    <row r="60" spans="1:5" x14ac:dyDescent="0.3">
      <c r="A60" s="12" t="s">
        <v>223</v>
      </c>
      <c r="B60" s="12"/>
    </row>
    <row r="61" spans="1:5" x14ac:dyDescent="0.3">
      <c r="A61" t="s">
        <v>45</v>
      </c>
      <c r="B61">
        <v>0.15</v>
      </c>
    </row>
    <row r="62" spans="1:5" x14ac:dyDescent="0.3">
      <c r="A62" t="s">
        <v>46</v>
      </c>
      <c r="B62">
        <v>0.15</v>
      </c>
    </row>
    <row r="63" spans="1:5" x14ac:dyDescent="0.3">
      <c r="A63" s="14" t="s">
        <v>247</v>
      </c>
      <c r="B63" s="21">
        <f>'London Olympics Spectators'!B54+'London Olympics Spectators'!B55</f>
        <v>0.4</v>
      </c>
    </row>
    <row r="64" spans="1:5" x14ac:dyDescent="0.3">
      <c r="A64" t="s">
        <v>47</v>
      </c>
      <c r="B64">
        <v>0.3</v>
      </c>
    </row>
    <row r="65" spans="1:4" x14ac:dyDescent="0.3">
      <c r="A65" s="12" t="s">
        <v>48</v>
      </c>
      <c r="B65" s="12"/>
    </row>
    <row r="66" spans="1:4" x14ac:dyDescent="0.3">
      <c r="A66" t="s">
        <v>49</v>
      </c>
      <c r="B66">
        <v>0.36</v>
      </c>
    </row>
    <row r="67" spans="1:4" x14ac:dyDescent="0.3">
      <c r="A67" t="s">
        <v>50</v>
      </c>
      <c r="B67">
        <v>0.23</v>
      </c>
    </row>
    <row r="68" spans="1:4" x14ac:dyDescent="0.3">
      <c r="A68" t="s">
        <v>51</v>
      </c>
      <c r="B68">
        <v>0.14000000000000001</v>
      </c>
    </row>
    <row r="69" spans="1:4" x14ac:dyDescent="0.3">
      <c r="A69" t="s">
        <v>52</v>
      </c>
      <c r="B69">
        <v>0.27</v>
      </c>
    </row>
    <row r="71" spans="1:4" ht="20" x14ac:dyDescent="0.4">
      <c r="A71" s="5" t="s">
        <v>241</v>
      </c>
    </row>
    <row r="72" spans="1:4" x14ac:dyDescent="0.3">
      <c r="A72" s="12" t="s">
        <v>53</v>
      </c>
      <c r="B72" s="12" t="s">
        <v>103</v>
      </c>
      <c r="C72" s="12" t="s">
        <v>104</v>
      </c>
      <c r="D72" s="27"/>
    </row>
    <row r="73" spans="1:4" x14ac:dyDescent="0.3">
      <c r="A73" t="s">
        <v>54</v>
      </c>
      <c r="B73">
        <v>1.58</v>
      </c>
      <c r="C73">
        <v>0.19</v>
      </c>
      <c r="D73" s="21"/>
    </row>
    <row r="74" spans="1:4" x14ac:dyDescent="0.3">
      <c r="A74" t="s">
        <v>55</v>
      </c>
      <c r="B74">
        <v>0.59</v>
      </c>
      <c r="C74">
        <v>0.15</v>
      </c>
      <c r="D74" s="21"/>
    </row>
    <row r="75" spans="1:4" x14ac:dyDescent="0.3">
      <c r="A75" t="s">
        <v>56</v>
      </c>
      <c r="B75">
        <v>1.07</v>
      </c>
      <c r="C75">
        <v>0.33</v>
      </c>
      <c r="D75" s="21"/>
    </row>
    <row r="76" spans="1:4" x14ac:dyDescent="0.3">
      <c r="A76" t="s">
        <v>57</v>
      </c>
      <c r="B76">
        <v>2.5099999999999998</v>
      </c>
      <c r="C76">
        <v>0.82</v>
      </c>
      <c r="D76" s="21"/>
    </row>
    <row r="77" spans="1:4" x14ac:dyDescent="0.3">
      <c r="A77" t="s">
        <v>58</v>
      </c>
      <c r="B77">
        <v>1.2</v>
      </c>
      <c r="C77">
        <v>0.08</v>
      </c>
      <c r="D77" s="21"/>
    </row>
    <row r="78" spans="1:4" x14ac:dyDescent="0.3">
      <c r="A78" t="s">
        <v>105</v>
      </c>
      <c r="B78">
        <v>0.22</v>
      </c>
      <c r="C78">
        <v>0.04</v>
      </c>
      <c r="D78" s="21"/>
    </row>
    <row r="79" spans="1:4" x14ac:dyDescent="0.3">
      <c r="A79" t="s">
        <v>59</v>
      </c>
      <c r="B79">
        <v>1.69</v>
      </c>
      <c r="C79">
        <v>0.2</v>
      </c>
      <c r="D79" s="21"/>
    </row>
    <row r="80" spans="1:4" x14ac:dyDescent="0.3">
      <c r="A80" t="s">
        <v>60</v>
      </c>
      <c r="B80">
        <v>0.02</v>
      </c>
      <c r="C80">
        <v>0.14000000000000001</v>
      </c>
      <c r="D80" s="21"/>
    </row>
    <row r="82" spans="1:4" ht="20" x14ac:dyDescent="0.4">
      <c r="A82" s="5" t="s">
        <v>229</v>
      </c>
    </row>
    <row r="83" spans="1:4" x14ac:dyDescent="0.3">
      <c r="A83" s="12" t="s">
        <v>61</v>
      </c>
      <c r="B83" s="12" t="s">
        <v>226</v>
      </c>
      <c r="C83" s="12" t="s">
        <v>227</v>
      </c>
      <c r="D83" s="12" t="s">
        <v>228</v>
      </c>
    </row>
    <row r="84" spans="1:4" x14ac:dyDescent="0.3">
      <c r="A84" t="s">
        <v>62</v>
      </c>
      <c r="B84">
        <v>0.5</v>
      </c>
      <c r="C84">
        <v>0.34</v>
      </c>
      <c r="D84">
        <v>0.34</v>
      </c>
    </row>
    <row r="85" spans="1:4" x14ac:dyDescent="0.3">
      <c r="A85" t="s">
        <v>63</v>
      </c>
      <c r="B85">
        <v>0.1</v>
      </c>
      <c r="C85">
        <v>0.1</v>
      </c>
      <c r="D85">
        <v>0.1</v>
      </c>
    </row>
    <row r="86" spans="1:4" x14ac:dyDescent="0.3">
      <c r="A86" t="s">
        <v>64</v>
      </c>
      <c r="B86">
        <v>0.2</v>
      </c>
      <c r="C86">
        <v>0.2</v>
      </c>
      <c r="D86">
        <v>0.2</v>
      </c>
    </row>
    <row r="87" spans="1:4" x14ac:dyDescent="0.3">
      <c r="A87" t="s">
        <v>65</v>
      </c>
      <c r="B87">
        <v>0.15</v>
      </c>
      <c r="C87">
        <v>0.2</v>
      </c>
      <c r="D87">
        <v>0.2</v>
      </c>
    </row>
    <row r="88" spans="1:4" x14ac:dyDescent="0.3">
      <c r="A88" t="s">
        <v>66</v>
      </c>
      <c r="B88">
        <v>0.05</v>
      </c>
      <c r="C88">
        <v>0.16</v>
      </c>
      <c r="D88">
        <v>0.16</v>
      </c>
    </row>
    <row r="90" spans="1:4" ht="20" x14ac:dyDescent="0.4">
      <c r="A90" s="5" t="s">
        <v>239</v>
      </c>
    </row>
    <row r="91" spans="1:4" x14ac:dyDescent="0.3">
      <c r="A91" s="12" t="s">
        <v>100</v>
      </c>
      <c r="B91" s="12" t="s">
        <v>101</v>
      </c>
    </row>
    <row r="92" spans="1:4" x14ac:dyDescent="0.3">
      <c r="A92" t="s">
        <v>102</v>
      </c>
      <c r="B92">
        <v>16.34</v>
      </c>
    </row>
    <row r="93" spans="1:4" x14ac:dyDescent="0.3">
      <c r="A93" t="s">
        <v>63</v>
      </c>
      <c r="B93">
        <v>16.34</v>
      </c>
    </row>
    <row r="94" spans="1:4" x14ac:dyDescent="0.3">
      <c r="A94" t="s">
        <v>64</v>
      </c>
      <c r="B94">
        <v>25.72</v>
      </c>
    </row>
    <row r="95" spans="1:4" x14ac:dyDescent="0.3">
      <c r="A95" t="s">
        <v>65</v>
      </c>
      <c r="B95">
        <v>40.76</v>
      </c>
    </row>
    <row r="96" spans="1:4" x14ac:dyDescent="0.3">
      <c r="A96" t="s">
        <v>66</v>
      </c>
      <c r="B96">
        <v>55.8</v>
      </c>
    </row>
    <row r="98" spans="1:5" ht="20" x14ac:dyDescent="0.4">
      <c r="A98" s="5" t="s">
        <v>230</v>
      </c>
    </row>
    <row r="99" spans="1:5" x14ac:dyDescent="0.3">
      <c r="A99" s="12" t="s">
        <v>67</v>
      </c>
      <c r="B99" s="12" t="s">
        <v>231</v>
      </c>
      <c r="C99" s="12" t="s">
        <v>68</v>
      </c>
      <c r="D99" s="12" t="s">
        <v>69</v>
      </c>
      <c r="E99" s="12" t="s">
        <v>232</v>
      </c>
    </row>
    <row r="100" spans="1:5" x14ac:dyDescent="0.3">
      <c r="A100" t="s">
        <v>70</v>
      </c>
      <c r="B100" s="26">
        <f>'London Olympics Spectators'!B93*'Paris Olympics Spectators'!$A$41</f>
        <v>24719199.272727273</v>
      </c>
      <c r="C100">
        <v>0.6</v>
      </c>
      <c r="D100" t="s">
        <v>71</v>
      </c>
      <c r="E100">
        <v>4.68</v>
      </c>
    </row>
    <row r="101" spans="1:5" x14ac:dyDescent="0.3">
      <c r="A101" t="s">
        <v>72</v>
      </c>
      <c r="B101" s="26">
        <f>'London Olympics Spectators'!B94*'Paris Olympics Spectators'!$A$41</f>
        <v>10147454.545454547</v>
      </c>
      <c r="C101">
        <v>0.03</v>
      </c>
      <c r="D101" t="s">
        <v>73</v>
      </c>
      <c r="E101">
        <v>1.82</v>
      </c>
    </row>
    <row r="102" spans="1:5" x14ac:dyDescent="0.3">
      <c r="A102" t="s">
        <v>74</v>
      </c>
      <c r="B102" s="26">
        <f>'London Olympics Spectators'!B95*'Paris Olympics Spectators'!$A$41</f>
        <v>528861.45454545459</v>
      </c>
      <c r="C102">
        <v>0.04</v>
      </c>
      <c r="D102" t="s">
        <v>73</v>
      </c>
      <c r="E102">
        <v>1.82</v>
      </c>
    </row>
    <row r="103" spans="1:5" x14ac:dyDescent="0.3">
      <c r="A103" t="s">
        <v>75</v>
      </c>
      <c r="B103" s="26">
        <f>'London Olympics Spectators'!B96*'Paris Olympics Spectators'!$A$41</f>
        <v>3725906.5454545459</v>
      </c>
      <c r="C103">
        <v>0.06</v>
      </c>
      <c r="D103" t="s">
        <v>73</v>
      </c>
      <c r="E103">
        <v>1.82</v>
      </c>
    </row>
    <row r="104" spans="1:5" x14ac:dyDescent="0.3">
      <c r="A104" t="s">
        <v>76</v>
      </c>
      <c r="B104" s="26">
        <f>'London Olympics Spectators'!B97*'Paris Olympics Spectators'!$A$41</f>
        <v>1522118.1818181819</v>
      </c>
      <c r="C104">
        <v>0.25</v>
      </c>
      <c r="D104" t="s">
        <v>77</v>
      </c>
      <c r="E104">
        <v>1.55</v>
      </c>
    </row>
    <row r="105" spans="1:5" x14ac:dyDescent="0.3">
      <c r="A105" t="s">
        <v>78</v>
      </c>
      <c r="B105" s="26">
        <f>'London Olympics Spectators'!B98*'Paris Olympics Spectators'!$A$41</f>
        <v>1972187.6363636365</v>
      </c>
      <c r="C105">
        <v>0.5</v>
      </c>
      <c r="D105" t="s">
        <v>79</v>
      </c>
      <c r="E105">
        <v>3.1</v>
      </c>
    </row>
    <row r="106" spans="1:5" x14ac:dyDescent="0.3">
      <c r="A106" t="s">
        <v>80</v>
      </c>
      <c r="B106" s="26">
        <f>'London Olympics Spectators'!B99*'Paris Olympics Spectators'!$A$41</f>
        <v>181460.36363636365</v>
      </c>
      <c r="C106">
        <v>0.75</v>
      </c>
      <c r="D106" t="s">
        <v>77</v>
      </c>
      <c r="E106">
        <v>1.55</v>
      </c>
    </row>
    <row r="107" spans="1:5" x14ac:dyDescent="0.3">
      <c r="A107" t="s">
        <v>81</v>
      </c>
      <c r="B107" s="26">
        <f>'London Olympics Spectators'!B100*'Paris Olympics Spectators'!$A$41</f>
        <v>891782.18181818188</v>
      </c>
      <c r="C107">
        <v>0.06</v>
      </c>
      <c r="D107" t="s">
        <v>71</v>
      </c>
      <c r="E107">
        <v>4.68</v>
      </c>
    </row>
    <row r="108" spans="1:5" x14ac:dyDescent="0.3">
      <c r="A108" t="s">
        <v>82</v>
      </c>
      <c r="B108" s="26">
        <f>'London Olympics Spectators'!B101*'Paris Olympics Spectators'!$A$41</f>
        <v>1369309.4545454546</v>
      </c>
      <c r="C108">
        <v>0.5</v>
      </c>
      <c r="D108" t="s">
        <v>83</v>
      </c>
      <c r="E108">
        <v>0.77</v>
      </c>
    </row>
    <row r="109" spans="1:5" x14ac:dyDescent="0.3">
      <c r="A109" t="s">
        <v>84</v>
      </c>
      <c r="B109" s="26">
        <f>'London Olympics Spectators'!B102*'Paris Olympics Spectators'!$A$41</f>
        <v>1088762.1818181819</v>
      </c>
      <c r="C109">
        <v>0.2</v>
      </c>
      <c r="D109" t="s">
        <v>79</v>
      </c>
      <c r="E109">
        <v>3.1</v>
      </c>
    </row>
    <row r="110" spans="1:5" x14ac:dyDescent="0.3">
      <c r="A110" t="s">
        <v>85</v>
      </c>
      <c r="B110" s="26">
        <f>'London Olympics Spectators'!B103*'Paris Olympics Spectators'!$A$41</f>
        <v>477527.27272727276</v>
      </c>
      <c r="C110">
        <v>0.3</v>
      </c>
      <c r="D110" t="s">
        <v>79</v>
      </c>
      <c r="E110">
        <v>3.1</v>
      </c>
    </row>
    <row r="111" spans="1:5" x14ac:dyDescent="0.3">
      <c r="A111" t="s">
        <v>86</v>
      </c>
      <c r="B111" s="26">
        <f>'London Olympics Spectators'!B104*'Paris Olympics Spectators'!$A$41</f>
        <v>473945.81818181823</v>
      </c>
      <c r="C111">
        <v>0.5</v>
      </c>
      <c r="D111" t="s">
        <v>71</v>
      </c>
      <c r="E111">
        <v>4.68</v>
      </c>
    </row>
    <row r="112" spans="1:5" x14ac:dyDescent="0.3">
      <c r="A112" t="s">
        <v>87</v>
      </c>
      <c r="B112" s="26">
        <f>'London Olympics Spectators'!B105*'Paris Olympics Spectators'!$A$41</f>
        <v>304423.63636363635</v>
      </c>
      <c r="C112">
        <v>0.5</v>
      </c>
      <c r="D112" t="s">
        <v>79</v>
      </c>
      <c r="E112">
        <v>3.1</v>
      </c>
    </row>
    <row r="113" spans="1:5" x14ac:dyDescent="0.3">
      <c r="A113" t="s">
        <v>88</v>
      </c>
      <c r="B113" s="26">
        <f>'London Olympics Spectators'!B106*'Paris Olympics Spectators'!$A$41</f>
        <v>72822.909090909088</v>
      </c>
      <c r="C113">
        <v>0.5</v>
      </c>
      <c r="D113" t="s">
        <v>71</v>
      </c>
      <c r="E113">
        <v>4.68</v>
      </c>
    </row>
    <row r="114" spans="1:5" x14ac:dyDescent="0.3">
      <c r="A114" t="s">
        <v>89</v>
      </c>
      <c r="B114" s="26">
        <f>'London Olympics Spectators'!B107*'Paris Olympics Spectators'!$A$41</f>
        <v>152808.72727272729</v>
      </c>
      <c r="C114">
        <v>0.06</v>
      </c>
      <c r="D114" t="s">
        <v>79</v>
      </c>
      <c r="E114">
        <v>3.1</v>
      </c>
    </row>
    <row r="115" spans="1:5" x14ac:dyDescent="0.3">
      <c r="A115" t="s">
        <v>90</v>
      </c>
      <c r="B115" s="26">
        <f>'London Olympics Spectators'!B108*'Paris Olympics Spectators'!$A$41</f>
        <v>213693.45454545456</v>
      </c>
      <c r="C115">
        <v>0.5</v>
      </c>
      <c r="D115" t="s">
        <v>83</v>
      </c>
      <c r="E115">
        <v>0.77</v>
      </c>
    </row>
    <row r="116" spans="1:5" x14ac:dyDescent="0.3">
      <c r="A116" t="s">
        <v>91</v>
      </c>
      <c r="B116" s="26">
        <f>'London Olympics Spectators'!B109*'Paris Olympics Spectators'!$A$41</f>
        <v>238763.63636363638</v>
      </c>
      <c r="C116">
        <v>0.1</v>
      </c>
      <c r="D116" t="s">
        <v>79</v>
      </c>
      <c r="E116">
        <v>3.1</v>
      </c>
    </row>
    <row r="117" spans="1:5" x14ac:dyDescent="0.3">
      <c r="A117" t="s">
        <v>92</v>
      </c>
      <c r="B117" s="26">
        <f>'London Olympics Spectators'!B110*'Paris Olympics Spectators'!$A$41</f>
        <v>423805.45454545459</v>
      </c>
      <c r="C117">
        <v>0.1</v>
      </c>
      <c r="D117" t="s">
        <v>71</v>
      </c>
      <c r="E117">
        <v>4.68</v>
      </c>
    </row>
    <row r="119" spans="1:5" ht="20" x14ac:dyDescent="0.4">
      <c r="A119" s="5" t="s">
        <v>238</v>
      </c>
    </row>
    <row r="120" spans="1:5" x14ac:dyDescent="0.3">
      <c r="A120" s="12" t="s">
        <v>93</v>
      </c>
      <c r="B120" s="12" t="s">
        <v>237</v>
      </c>
    </row>
    <row r="121" spans="1:5" x14ac:dyDescent="0.3">
      <c r="A121" t="s">
        <v>29</v>
      </c>
      <c r="B121">
        <v>6.3E-2</v>
      </c>
    </row>
    <row r="122" spans="1:5" x14ac:dyDescent="0.3">
      <c r="A122" t="s">
        <v>233</v>
      </c>
      <c r="B122">
        <v>6.8000000000000005E-2</v>
      </c>
    </row>
    <row r="123" spans="1:5" x14ac:dyDescent="0.3">
      <c r="A123" t="s">
        <v>94</v>
      </c>
      <c r="B123">
        <v>7.1999999999999995E-2</v>
      </c>
    </row>
    <row r="124" spans="1:5" x14ac:dyDescent="0.3">
      <c r="A124" t="s">
        <v>95</v>
      </c>
      <c r="B124">
        <v>0.107</v>
      </c>
    </row>
    <row r="125" spans="1:5" x14ac:dyDescent="0.3">
      <c r="A125" t="s">
        <v>96</v>
      </c>
      <c r="B125">
        <v>9.1999999999999998E-2</v>
      </c>
    </row>
    <row r="126" spans="1:5" x14ac:dyDescent="0.3">
      <c r="A126" t="s">
        <v>97</v>
      </c>
      <c r="B126">
        <v>0.16</v>
      </c>
    </row>
    <row r="127" spans="1:5" x14ac:dyDescent="0.3">
      <c r="A127" t="s">
        <v>98</v>
      </c>
      <c r="B127">
        <v>0.14699999999999999</v>
      </c>
    </row>
    <row r="128" spans="1:5" x14ac:dyDescent="0.3">
      <c r="A128" t="s">
        <v>99</v>
      </c>
      <c r="B128">
        <v>0.26700000000000002</v>
      </c>
    </row>
    <row r="129" spans="1:2" x14ac:dyDescent="0.3">
      <c r="A129" t="s">
        <v>234</v>
      </c>
      <c r="B129">
        <v>0.112</v>
      </c>
    </row>
    <row r="130" spans="1:2" x14ac:dyDescent="0.3">
      <c r="A130" t="s">
        <v>235</v>
      </c>
      <c r="B130">
        <v>0.09</v>
      </c>
    </row>
    <row r="131" spans="1:2" x14ac:dyDescent="0.3">
      <c r="A131" t="s">
        <v>236</v>
      </c>
      <c r="B131">
        <v>7.4999999999999997E-2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AF232-F98E-477B-863D-81A6AF3844D8}">
  <dimension ref="A1:D40"/>
  <sheetViews>
    <sheetView workbookViewId="0">
      <selection activeCell="A25" sqref="A25"/>
    </sheetView>
  </sheetViews>
  <sheetFormatPr defaultRowHeight="14" x14ac:dyDescent="0.3"/>
  <cols>
    <col min="1" max="1" width="45.33203125" customWidth="1"/>
    <col min="2" max="2" width="24.58203125" customWidth="1"/>
    <col min="3" max="3" width="23.58203125" customWidth="1"/>
    <col min="4" max="4" width="20.08203125" customWidth="1"/>
  </cols>
  <sheetData>
    <row r="1" spans="1:3" ht="20" x14ac:dyDescent="0.4">
      <c r="A1" s="5" t="s">
        <v>280</v>
      </c>
    </row>
    <row r="2" spans="1:3" x14ac:dyDescent="0.3">
      <c r="A2" s="12" t="s">
        <v>265</v>
      </c>
      <c r="B2" s="12" t="s">
        <v>266</v>
      </c>
      <c r="C2" s="12" t="s">
        <v>275</v>
      </c>
    </row>
    <row r="3" spans="1:3" x14ac:dyDescent="0.3">
      <c r="A3" t="s">
        <v>262</v>
      </c>
      <c r="B3">
        <v>0.43</v>
      </c>
      <c r="C3" s="18">
        <f>B3*$C$14</f>
        <v>197370000</v>
      </c>
    </row>
    <row r="4" spans="1:3" x14ac:dyDescent="0.3">
      <c r="A4" t="s">
        <v>263</v>
      </c>
      <c r="B4">
        <v>0.16</v>
      </c>
      <c r="C4" s="18">
        <f t="shared" ref="C4:C13" si="0">B4*$C$14</f>
        <v>73440000</v>
      </c>
    </row>
    <row r="5" spans="1:3" x14ac:dyDescent="0.3">
      <c r="A5" t="s">
        <v>264</v>
      </c>
      <c r="B5">
        <v>0.11</v>
      </c>
      <c r="C5" s="18">
        <f t="shared" si="0"/>
        <v>50490000</v>
      </c>
    </row>
    <row r="6" spans="1:3" x14ac:dyDescent="0.3">
      <c r="A6" t="s">
        <v>268</v>
      </c>
      <c r="B6">
        <v>0.08</v>
      </c>
      <c r="C6" s="18">
        <f t="shared" si="0"/>
        <v>36720000</v>
      </c>
    </row>
    <row r="7" spans="1:3" x14ac:dyDescent="0.3">
      <c r="A7" t="s">
        <v>269</v>
      </c>
      <c r="B7">
        <v>0.06</v>
      </c>
      <c r="C7" s="18">
        <f t="shared" si="0"/>
        <v>27540000</v>
      </c>
    </row>
    <row r="8" spans="1:3" x14ac:dyDescent="0.3">
      <c r="A8" t="s">
        <v>270</v>
      </c>
      <c r="B8">
        <v>0.03</v>
      </c>
      <c r="C8" s="18">
        <f t="shared" si="0"/>
        <v>13770000</v>
      </c>
    </row>
    <row r="9" spans="1:3" x14ac:dyDescent="0.3">
      <c r="A9" t="s">
        <v>271</v>
      </c>
      <c r="B9">
        <v>0.02</v>
      </c>
      <c r="C9" s="18">
        <f t="shared" si="0"/>
        <v>9180000</v>
      </c>
    </row>
    <row r="10" spans="1:3" x14ac:dyDescent="0.3">
      <c r="A10" t="s">
        <v>272</v>
      </c>
      <c r="B10">
        <v>0.04</v>
      </c>
      <c r="C10" s="18">
        <f t="shared" si="0"/>
        <v>18360000</v>
      </c>
    </row>
    <row r="11" spans="1:3" x14ac:dyDescent="0.3">
      <c r="A11" t="s">
        <v>273</v>
      </c>
      <c r="B11">
        <v>0.03</v>
      </c>
      <c r="C11" s="18">
        <f t="shared" si="0"/>
        <v>13770000</v>
      </c>
    </row>
    <row r="12" spans="1:3" x14ac:dyDescent="0.3">
      <c r="A12" t="s">
        <v>274</v>
      </c>
      <c r="B12">
        <v>0.02</v>
      </c>
      <c r="C12" s="18">
        <f t="shared" si="0"/>
        <v>9180000</v>
      </c>
    </row>
    <row r="13" spans="1:3" x14ac:dyDescent="0.3">
      <c r="A13" t="s">
        <v>267</v>
      </c>
      <c r="B13">
        <v>0.02</v>
      </c>
      <c r="C13" s="18">
        <f t="shared" si="0"/>
        <v>9180000</v>
      </c>
    </row>
    <row r="14" spans="1:3" x14ac:dyDescent="0.3">
      <c r="A14" s="38" t="s">
        <v>255</v>
      </c>
      <c r="B14">
        <f>SUM(B3:B13)</f>
        <v>1</v>
      </c>
      <c r="C14" s="18">
        <v>459000000</v>
      </c>
    </row>
    <row r="16" spans="1:3" ht="20" x14ac:dyDescent="0.4">
      <c r="A16" s="37" t="s">
        <v>278</v>
      </c>
    </row>
    <row r="17" spans="1:4" x14ac:dyDescent="0.3">
      <c r="A17" s="12" t="s">
        <v>108</v>
      </c>
      <c r="B17" s="12" t="s">
        <v>109</v>
      </c>
      <c r="C17" s="12" t="s">
        <v>256</v>
      </c>
      <c r="D17" s="12" t="s">
        <v>110</v>
      </c>
    </row>
    <row r="18" spans="1:4" x14ac:dyDescent="0.3">
      <c r="A18" t="s">
        <v>257</v>
      </c>
      <c r="B18">
        <v>3000</v>
      </c>
      <c r="C18">
        <v>60</v>
      </c>
      <c r="D18">
        <v>10</v>
      </c>
    </row>
    <row r="19" spans="1:4" x14ac:dyDescent="0.3">
      <c r="A19" t="s">
        <v>258</v>
      </c>
      <c r="B19">
        <v>500</v>
      </c>
      <c r="C19">
        <v>600</v>
      </c>
      <c r="D19">
        <v>5</v>
      </c>
    </row>
    <row r="20" spans="1:4" x14ac:dyDescent="0.3">
      <c r="A20" t="s">
        <v>259</v>
      </c>
      <c r="B20">
        <v>1200</v>
      </c>
      <c r="C20">
        <v>40</v>
      </c>
      <c r="D20">
        <v>160</v>
      </c>
    </row>
    <row r="21" spans="1:4" x14ac:dyDescent="0.3">
      <c r="A21" t="s">
        <v>260</v>
      </c>
      <c r="B21">
        <v>300</v>
      </c>
      <c r="C21">
        <v>40</v>
      </c>
      <c r="D21">
        <v>160</v>
      </c>
    </row>
    <row r="22" spans="1:4" x14ac:dyDescent="0.3">
      <c r="A22" t="s">
        <v>111</v>
      </c>
      <c r="B22">
        <v>20</v>
      </c>
      <c r="C22">
        <v>60</v>
      </c>
      <c r="D22">
        <v>10</v>
      </c>
    </row>
    <row r="23" spans="1:4" x14ac:dyDescent="0.3">
      <c r="A23" t="s">
        <v>112</v>
      </c>
      <c r="B23">
        <v>35</v>
      </c>
      <c r="C23">
        <v>10</v>
      </c>
      <c r="D23">
        <v>10</v>
      </c>
    </row>
    <row r="24" spans="1:4" x14ac:dyDescent="0.3">
      <c r="A24" t="s">
        <v>261</v>
      </c>
      <c r="B24">
        <v>430</v>
      </c>
      <c r="C24">
        <v>60</v>
      </c>
      <c r="D24">
        <v>60</v>
      </c>
    </row>
    <row r="25" spans="1:4" x14ac:dyDescent="0.3">
      <c r="A25" t="s">
        <v>113</v>
      </c>
      <c r="B25">
        <v>30</v>
      </c>
      <c r="C25">
        <v>60</v>
      </c>
      <c r="D25">
        <v>10</v>
      </c>
    </row>
    <row r="27" spans="1:4" ht="20" x14ac:dyDescent="0.4">
      <c r="A27" s="5" t="s">
        <v>279</v>
      </c>
    </row>
    <row r="28" spans="1:4" ht="16" customHeight="1" x14ac:dyDescent="0.3">
      <c r="A28" s="13" t="s">
        <v>114</v>
      </c>
      <c r="B28" s="13" t="s">
        <v>115</v>
      </c>
      <c r="C28" s="13"/>
    </row>
    <row r="29" spans="1:4" x14ac:dyDescent="0.3">
      <c r="A29" s="12" t="s">
        <v>116</v>
      </c>
      <c r="B29" s="12" t="s">
        <v>277</v>
      </c>
      <c r="C29" s="12" t="s">
        <v>117</v>
      </c>
    </row>
    <row r="30" spans="1:4" x14ac:dyDescent="0.3">
      <c r="A30" t="s">
        <v>118</v>
      </c>
      <c r="B30" s="41">
        <v>0.26500000000000001</v>
      </c>
      <c r="C30" s="43">
        <v>1441767.4</v>
      </c>
    </row>
    <row r="31" spans="1:4" x14ac:dyDescent="0.3">
      <c r="A31" s="12" t="s">
        <v>119</v>
      </c>
      <c r="B31" s="25" t="s">
        <v>120</v>
      </c>
      <c r="C31" s="25" t="s">
        <v>121</v>
      </c>
    </row>
    <row r="32" spans="1:4" x14ac:dyDescent="0.3">
      <c r="A32" t="s">
        <v>122</v>
      </c>
      <c r="B32" s="42" t="s">
        <v>123</v>
      </c>
      <c r="C32" s="43">
        <v>4180000</v>
      </c>
    </row>
    <row r="33" spans="1:3" x14ac:dyDescent="0.3">
      <c r="A33" t="s">
        <v>124</v>
      </c>
      <c r="B33" s="43">
        <v>1500000</v>
      </c>
      <c r="C33" s="43">
        <v>3300000</v>
      </c>
    </row>
    <row r="34" spans="1:3" x14ac:dyDescent="0.3">
      <c r="A34" t="s">
        <v>125</v>
      </c>
      <c r="B34" s="43">
        <v>200000</v>
      </c>
      <c r="C34" s="43">
        <v>440000</v>
      </c>
    </row>
    <row r="35" spans="1:3" x14ac:dyDescent="0.3">
      <c r="A35" t="s">
        <v>126</v>
      </c>
      <c r="B35" s="43">
        <v>500000</v>
      </c>
      <c r="C35" s="43">
        <v>1100000</v>
      </c>
    </row>
    <row r="37" spans="1:3" ht="20" x14ac:dyDescent="0.4">
      <c r="A37" s="5" t="s">
        <v>295</v>
      </c>
    </row>
    <row r="38" spans="1:3" x14ac:dyDescent="0.3">
      <c r="A38" s="25" t="s">
        <v>293</v>
      </c>
      <c r="B38" s="49">
        <v>20800</v>
      </c>
    </row>
    <row r="39" spans="1:3" x14ac:dyDescent="0.3">
      <c r="A39" s="12" t="s">
        <v>296</v>
      </c>
      <c r="B39" s="29">
        <v>125000</v>
      </c>
    </row>
    <row r="40" spans="1:3" ht="28" x14ac:dyDescent="0.3">
      <c r="A40" s="25" t="s">
        <v>298</v>
      </c>
      <c r="B40">
        <v>4.68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DDA0-1629-4FA1-9AA1-BB79479C4E0D}">
  <dimension ref="A2:E54"/>
  <sheetViews>
    <sheetView topLeftCell="B1" workbookViewId="0">
      <selection activeCell="D11" sqref="D11"/>
    </sheetView>
  </sheetViews>
  <sheetFormatPr defaultRowHeight="14" x14ac:dyDescent="0.3"/>
  <cols>
    <col min="1" max="1" width="35.33203125" customWidth="1"/>
    <col min="2" max="2" width="31.1640625" customWidth="1"/>
    <col min="3" max="3" width="23.33203125" customWidth="1"/>
    <col min="4" max="4" width="18.1640625" bestFit="1" customWidth="1"/>
    <col min="5" max="5" width="12.08203125" bestFit="1" customWidth="1"/>
  </cols>
  <sheetData>
    <row r="2" spans="1:3" ht="20" x14ac:dyDescent="0.4">
      <c r="A2" s="5" t="s">
        <v>284</v>
      </c>
    </row>
    <row r="3" spans="1:3" x14ac:dyDescent="0.3">
      <c r="A3" s="12" t="s">
        <v>265</v>
      </c>
      <c r="B3" s="12" t="s">
        <v>266</v>
      </c>
      <c r="C3" s="12" t="s">
        <v>275</v>
      </c>
    </row>
    <row r="4" spans="1:3" x14ac:dyDescent="0.3">
      <c r="A4" t="s">
        <v>262</v>
      </c>
      <c r="B4" s="23">
        <f>C4/$C$13</f>
        <v>0.47994639469966527</v>
      </c>
      <c r="C4" s="26">
        <f>'London Olympics Operation'!C3*'Paris Olympics Spectators'!A41</f>
        <v>235623894.54545456</v>
      </c>
    </row>
    <row r="5" spans="1:3" x14ac:dyDescent="0.3">
      <c r="A5" t="s">
        <v>263</v>
      </c>
      <c r="B5" s="23">
        <f>C5/$C$13</f>
        <v>0.18698901110358215</v>
      </c>
      <c r="C5" s="26">
        <f>'London Olympics Operation'!C4*('Paris Olympics Operation'!B52/'London Olympics Operation'!B38)</f>
        <v>91800000</v>
      </c>
    </row>
    <row r="6" spans="1:3" x14ac:dyDescent="0.3">
      <c r="A6" t="s">
        <v>264</v>
      </c>
      <c r="B6" s="23">
        <f>C6/$C$13</f>
        <v>0.10284395610697018</v>
      </c>
      <c r="C6" s="26">
        <f>'London Olympics Operation'!C5</f>
        <v>50490000</v>
      </c>
    </row>
    <row r="7" spans="1:3" x14ac:dyDescent="0.3">
      <c r="A7" t="s">
        <v>282</v>
      </c>
      <c r="B7" s="23">
        <f>C7/$C$13</f>
        <v>6.0529112848981145E-2</v>
      </c>
      <c r="C7" s="26">
        <f>E45</f>
        <v>29716038</v>
      </c>
    </row>
    <row r="8" spans="1:3" x14ac:dyDescent="0.3">
      <c r="A8" t="s">
        <v>306</v>
      </c>
      <c r="B8" s="23">
        <f>C8/$C$13</f>
        <v>0.10284395610697018</v>
      </c>
      <c r="C8" s="26">
        <f>SUM('London Olympics Operation'!C7:C9)</f>
        <v>50490000</v>
      </c>
    </row>
    <row r="9" spans="1:3" x14ac:dyDescent="0.3">
      <c r="A9" t="s">
        <v>283</v>
      </c>
      <c r="B9" s="23">
        <f>C9/$C$13</f>
        <v>4.3706051998382749E-3</v>
      </c>
      <c r="C9" s="26">
        <f>D32</f>
        <v>2145695.9153759996</v>
      </c>
    </row>
    <row r="10" spans="1:3" x14ac:dyDescent="0.3">
      <c r="A10" t="s">
        <v>276</v>
      </c>
      <c r="B10" s="23">
        <f>C10/$C$13</f>
        <v>3.3680656224041115E-2</v>
      </c>
      <c r="C10" s="26">
        <f>SUM(D28:D31)</f>
        <v>16535112</v>
      </c>
    </row>
    <row r="11" spans="1:3" x14ac:dyDescent="0.3">
      <c r="A11" t="s">
        <v>281</v>
      </c>
      <c r="B11" s="23">
        <f>C11/$C$13</f>
        <v>1.0097406599593435E-2</v>
      </c>
      <c r="C11" s="26">
        <f>(1-0.64)*'London Olympics Operation'!C11</f>
        <v>4957200</v>
      </c>
    </row>
    <row r="12" spans="1:3" x14ac:dyDescent="0.3">
      <c r="A12" t="s">
        <v>274</v>
      </c>
      <c r="B12" s="23">
        <f>C12/$C$13</f>
        <v>1.8698901110358216E-2</v>
      </c>
      <c r="C12" s="26">
        <f>'London Olympics Operation'!C12</f>
        <v>9180000</v>
      </c>
    </row>
    <row r="13" spans="1:3" x14ac:dyDescent="0.3">
      <c r="A13" s="38" t="s">
        <v>255</v>
      </c>
      <c r="B13" s="23">
        <f>SUM(B4:B12)</f>
        <v>0.99999999999999989</v>
      </c>
      <c r="C13" s="26">
        <f>SUM(C4:C12)</f>
        <v>490937940.46083057</v>
      </c>
    </row>
    <row r="14" spans="1:3" s="5" customFormat="1" ht="20" x14ac:dyDescent="0.4">
      <c r="A14"/>
    </row>
    <row r="15" spans="1:3" s="5" customFormat="1" ht="20" x14ac:dyDescent="0.4">
      <c r="A15" s="5" t="s">
        <v>279</v>
      </c>
    </row>
    <row r="16" spans="1:3" x14ac:dyDescent="0.3">
      <c r="A16" s="13" t="s">
        <v>114</v>
      </c>
      <c r="B16" s="53" t="s">
        <v>115</v>
      </c>
      <c r="C16" s="54"/>
    </row>
    <row r="17" spans="1:4" x14ac:dyDescent="0.3">
      <c r="A17" s="12" t="s">
        <v>116</v>
      </c>
      <c r="B17" s="55" t="s">
        <v>277</v>
      </c>
      <c r="C17" s="56" t="s">
        <v>117</v>
      </c>
    </row>
    <row r="18" spans="1:4" x14ac:dyDescent="0.3">
      <c r="A18" s="50" t="s">
        <v>118</v>
      </c>
      <c r="B18" s="22">
        <v>0.26500000000000001</v>
      </c>
      <c r="C18" s="26">
        <f>(B53/'London Olympics Operation'!B39)*'London Olympics Operation'!C30</f>
        <v>1730120.88</v>
      </c>
    </row>
    <row r="19" spans="1:4" x14ac:dyDescent="0.3">
      <c r="A19" s="12" t="s">
        <v>119</v>
      </c>
      <c r="B19" s="55" t="s">
        <v>120</v>
      </c>
      <c r="C19" s="56" t="s">
        <v>121</v>
      </c>
    </row>
    <row r="20" spans="1:4" x14ac:dyDescent="0.3">
      <c r="A20" s="50" t="s">
        <v>122</v>
      </c>
      <c r="B20" s="40">
        <v>1900000</v>
      </c>
      <c r="C20" s="18">
        <v>4180000</v>
      </c>
    </row>
    <row r="21" spans="1:4" x14ac:dyDescent="0.3">
      <c r="A21" s="50" t="s">
        <v>124</v>
      </c>
      <c r="B21" s="26">
        <f>($B$53/'London Olympics Operation'!$B$39)*'London Olympics Operation'!B33</f>
        <v>1800000</v>
      </c>
      <c r="C21" s="26">
        <f>($B$53/'London Olympics Operation'!$B$39)*'London Olympics Operation'!C33</f>
        <v>3960000</v>
      </c>
    </row>
    <row r="22" spans="1:4" x14ac:dyDescent="0.3">
      <c r="A22" s="50" t="s">
        <v>125</v>
      </c>
      <c r="B22" s="18">
        <v>200000</v>
      </c>
      <c r="C22" s="18">
        <v>440000</v>
      </c>
    </row>
    <row r="23" spans="1:4" x14ac:dyDescent="0.3">
      <c r="A23" s="50" t="s">
        <v>126</v>
      </c>
      <c r="B23" s="18">
        <v>500000</v>
      </c>
      <c r="C23" s="18">
        <v>1100000</v>
      </c>
    </row>
    <row r="24" spans="1:4" x14ac:dyDescent="0.3">
      <c r="A24" s="12" t="s">
        <v>255</v>
      </c>
      <c r="B24" s="18">
        <f>SUM(B20:B23)</f>
        <v>4400000</v>
      </c>
      <c r="C24" s="18">
        <v>9680000</v>
      </c>
    </row>
    <row r="25" spans="1:4" x14ac:dyDescent="0.3">
      <c r="A25" s="50"/>
      <c r="B25" s="39"/>
      <c r="C25" s="18"/>
    </row>
    <row r="26" spans="1:4" ht="20" x14ac:dyDescent="0.4">
      <c r="A26" s="5" t="s">
        <v>299</v>
      </c>
      <c r="B26" s="39"/>
      <c r="C26" s="18"/>
    </row>
    <row r="27" spans="1:4" s="11" customFormat="1" x14ac:dyDescent="0.3">
      <c r="A27" s="12" t="s">
        <v>265</v>
      </c>
      <c r="B27" s="55" t="s">
        <v>300</v>
      </c>
      <c r="C27" s="56" t="s">
        <v>103</v>
      </c>
      <c r="D27" s="12" t="s">
        <v>287</v>
      </c>
    </row>
    <row r="28" spans="1:4" s="11" customFormat="1" x14ac:dyDescent="0.3">
      <c r="A28" s="57" t="s">
        <v>301</v>
      </c>
      <c r="B28" s="59">
        <v>4400000</v>
      </c>
      <c r="C28" s="60">
        <f>'Paris Olympics Spectators'!B23</f>
        <v>1.5065</v>
      </c>
      <c r="D28" s="59">
        <f>B28*C28</f>
        <v>6628600</v>
      </c>
    </row>
    <row r="29" spans="1:4" s="11" customFormat="1" x14ac:dyDescent="0.3">
      <c r="A29" s="57" t="s">
        <v>302</v>
      </c>
      <c r="B29" s="59">
        <v>4400000</v>
      </c>
      <c r="C29" s="60">
        <f>'Paris Olympics Spectators'!B25</f>
        <v>0.42899999999999994</v>
      </c>
      <c r="D29" s="59">
        <f t="shared" ref="D29:D32" si="0">B29*C29</f>
        <v>1887599.9999999998</v>
      </c>
    </row>
    <row r="30" spans="1:4" s="11" customFormat="1" x14ac:dyDescent="0.3">
      <c r="A30" s="57" t="s">
        <v>303</v>
      </c>
      <c r="B30" s="59">
        <v>9680000</v>
      </c>
      <c r="C30" s="60">
        <f>'Paris Olympics Spectators'!B24</f>
        <v>0.72459999999999991</v>
      </c>
      <c r="D30" s="59">
        <f t="shared" si="0"/>
        <v>7014127.9999999991</v>
      </c>
    </row>
    <row r="31" spans="1:4" s="11" customFormat="1" x14ac:dyDescent="0.3">
      <c r="A31" s="57" t="s">
        <v>304</v>
      </c>
      <c r="B31" s="59">
        <v>9680000</v>
      </c>
      <c r="C31" s="60">
        <f>'Paris Olympics Spectators'!B26</f>
        <v>0.1038</v>
      </c>
      <c r="D31" s="59">
        <f t="shared" si="0"/>
        <v>1004784</v>
      </c>
    </row>
    <row r="32" spans="1:4" s="11" customFormat="1" x14ac:dyDescent="0.3">
      <c r="A32" s="57" t="s">
        <v>305</v>
      </c>
      <c r="B32" s="59">
        <f>C18</f>
        <v>1730120.88</v>
      </c>
      <c r="C32" s="60">
        <f>B18*B54</f>
        <v>1.2402</v>
      </c>
      <c r="D32" s="59">
        <f t="shared" si="0"/>
        <v>2145695.9153759996</v>
      </c>
    </row>
    <row r="33" spans="1:5" s="11" customFormat="1" x14ac:dyDescent="0.3">
      <c r="A33" s="12" t="s">
        <v>255</v>
      </c>
      <c r="B33" s="59"/>
      <c r="C33" s="60"/>
      <c r="D33" s="59">
        <f>SUM(D28:D32)</f>
        <v>18680807.915376</v>
      </c>
    </row>
    <row r="34" spans="1:5" s="11" customFormat="1" x14ac:dyDescent="0.3">
      <c r="B34" s="58"/>
      <c r="C34" s="58"/>
      <c r="D34" s="58"/>
    </row>
    <row r="35" spans="1:5" ht="20" x14ac:dyDescent="0.4">
      <c r="A35" s="37" t="s">
        <v>288</v>
      </c>
    </row>
    <row r="36" spans="1:5" ht="31" customHeight="1" x14ac:dyDescent="0.3">
      <c r="A36" s="12" t="s">
        <v>108</v>
      </c>
      <c r="B36" s="12" t="s">
        <v>109</v>
      </c>
      <c r="C36" s="12" t="s">
        <v>256</v>
      </c>
      <c r="D36" s="12" t="s">
        <v>289</v>
      </c>
      <c r="E36" s="12" t="s">
        <v>287</v>
      </c>
    </row>
    <row r="37" spans="1:5" x14ac:dyDescent="0.3">
      <c r="A37" t="s">
        <v>257</v>
      </c>
      <c r="B37" s="46">
        <v>3000</v>
      </c>
      <c r="C37" s="46">
        <v>60</v>
      </c>
      <c r="D37" s="45">
        <f>$B$49*'London Olympics Operation'!D18</f>
        <v>1.71</v>
      </c>
      <c r="E37" s="47">
        <f>$A$49*D37*C37*B37</f>
        <v>3693600</v>
      </c>
    </row>
    <row r="38" spans="1:5" x14ac:dyDescent="0.3">
      <c r="A38" t="s">
        <v>258</v>
      </c>
      <c r="B38" s="46">
        <v>500</v>
      </c>
      <c r="C38" s="46">
        <v>600</v>
      </c>
      <c r="D38" s="45">
        <f>$B$49*'London Olympics Operation'!D19</f>
        <v>0.85499999999999998</v>
      </c>
      <c r="E38" s="47">
        <f t="shared" ref="E38:E44" si="1">$A$49*D38*C38*B38</f>
        <v>3078000</v>
      </c>
    </row>
    <row r="39" spans="1:5" x14ac:dyDescent="0.3">
      <c r="A39" t="s">
        <v>259</v>
      </c>
      <c r="B39" s="46">
        <v>1200</v>
      </c>
      <c r="C39" s="46">
        <v>40</v>
      </c>
      <c r="D39" s="45">
        <f>$B$49*'London Olympics Operation'!D20</f>
        <v>27.36</v>
      </c>
      <c r="E39" s="47">
        <f t="shared" si="1"/>
        <v>15759360</v>
      </c>
    </row>
    <row r="40" spans="1:5" x14ac:dyDescent="0.3">
      <c r="A40" t="s">
        <v>260</v>
      </c>
      <c r="B40" s="46">
        <v>300</v>
      </c>
      <c r="C40" s="46">
        <v>40</v>
      </c>
      <c r="D40" s="45">
        <f>$B$49*'London Olympics Operation'!D21</f>
        <v>27.36</v>
      </c>
      <c r="E40" s="47">
        <f t="shared" si="1"/>
        <v>3939840</v>
      </c>
    </row>
    <row r="41" spans="1:5" x14ac:dyDescent="0.3">
      <c r="A41" t="s">
        <v>111</v>
      </c>
      <c r="B41" s="46">
        <v>20</v>
      </c>
      <c r="C41" s="46">
        <v>60</v>
      </c>
      <c r="D41" s="45">
        <f>$B$49*'London Olympics Operation'!D22</f>
        <v>1.71</v>
      </c>
      <c r="E41" s="47">
        <f t="shared" si="1"/>
        <v>24624</v>
      </c>
    </row>
    <row r="42" spans="1:5" x14ac:dyDescent="0.3">
      <c r="A42" t="s">
        <v>112</v>
      </c>
      <c r="B42" s="46">
        <v>35</v>
      </c>
      <c r="C42" s="46">
        <v>10</v>
      </c>
      <c r="D42" s="45">
        <f>$B$49*'London Olympics Operation'!D23</f>
        <v>1.71</v>
      </c>
      <c r="E42" s="47">
        <f t="shared" si="1"/>
        <v>7182</v>
      </c>
    </row>
    <row r="43" spans="1:5" x14ac:dyDescent="0.3">
      <c r="A43" t="s">
        <v>261</v>
      </c>
      <c r="B43" s="46">
        <v>430</v>
      </c>
      <c r="C43" s="46">
        <v>60</v>
      </c>
      <c r="D43" s="45">
        <f>$B$49*'London Olympics Operation'!D24</f>
        <v>10.26</v>
      </c>
      <c r="E43" s="47">
        <f t="shared" si="1"/>
        <v>3176496.0000000005</v>
      </c>
    </row>
    <row r="44" spans="1:5" x14ac:dyDescent="0.3">
      <c r="A44" t="s">
        <v>113</v>
      </c>
      <c r="B44" s="46">
        <v>30</v>
      </c>
      <c r="C44" s="46">
        <v>60</v>
      </c>
      <c r="D44" s="45">
        <f>$B$49*'London Olympics Operation'!D25</f>
        <v>1.71</v>
      </c>
      <c r="E44" s="47">
        <f t="shared" si="1"/>
        <v>36936</v>
      </c>
    </row>
    <row r="45" spans="1:5" x14ac:dyDescent="0.3">
      <c r="A45" s="10" t="s">
        <v>254</v>
      </c>
      <c r="B45" s="47"/>
      <c r="C45" s="47"/>
      <c r="D45" s="45"/>
      <c r="E45" s="47">
        <f t="shared" ref="E45" si="2">SUM(E37:E44)</f>
        <v>29716038</v>
      </c>
    </row>
    <row r="47" spans="1:5" ht="20" x14ac:dyDescent="0.4">
      <c r="A47" s="5" t="s">
        <v>291</v>
      </c>
      <c r="C47" s="46"/>
      <c r="D47" s="45"/>
    </row>
    <row r="48" spans="1:5" ht="60" customHeight="1" x14ac:dyDescent="0.3">
      <c r="A48" s="51" t="s">
        <v>292</v>
      </c>
      <c r="B48" s="52" t="s">
        <v>290</v>
      </c>
      <c r="C48" s="46"/>
      <c r="D48" s="45"/>
    </row>
    <row r="49" spans="1:4" x14ac:dyDescent="0.3">
      <c r="A49" s="21">
        <v>12</v>
      </c>
      <c r="B49" s="21">
        <f>(34.2/(0.5/0.3))/120</f>
        <v>0.17099999999999999</v>
      </c>
      <c r="C49" s="46"/>
      <c r="D49" s="45"/>
    </row>
    <row r="50" spans="1:4" x14ac:dyDescent="0.3">
      <c r="C50" s="46"/>
      <c r="D50" s="45"/>
    </row>
    <row r="51" spans="1:4" ht="20" x14ac:dyDescent="0.4">
      <c r="A51" s="5" t="s">
        <v>295</v>
      </c>
    </row>
    <row r="52" spans="1:4" ht="28" x14ac:dyDescent="0.3">
      <c r="A52" s="25" t="s">
        <v>294</v>
      </c>
      <c r="B52" s="30">
        <v>26000</v>
      </c>
    </row>
    <row r="53" spans="1:4" x14ac:dyDescent="0.3">
      <c r="A53" s="12" t="s">
        <v>297</v>
      </c>
      <c r="B53" s="30">
        <v>150000</v>
      </c>
    </row>
    <row r="54" spans="1:4" ht="42" x14ac:dyDescent="0.3">
      <c r="A54" s="25" t="s">
        <v>298</v>
      </c>
      <c r="B54">
        <v>4.68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2502-0D7E-45B8-9E38-646AA99FD0F0}">
  <dimension ref="A2:C165"/>
  <sheetViews>
    <sheetView workbookViewId="0">
      <selection activeCell="B164" sqref="B164"/>
    </sheetView>
  </sheetViews>
  <sheetFormatPr defaultRowHeight="14" x14ac:dyDescent="0.3"/>
  <cols>
    <col min="1" max="1" width="37" customWidth="1"/>
    <col min="2" max="2" width="16.9140625" bestFit="1" customWidth="1"/>
    <col min="3" max="3" width="50.9140625" bestFit="1" customWidth="1"/>
  </cols>
  <sheetData>
    <row r="2" spans="1:3" ht="20" x14ac:dyDescent="0.4">
      <c r="A2" s="5" t="s">
        <v>307</v>
      </c>
    </row>
    <row r="3" spans="1:3" x14ac:dyDescent="0.3">
      <c r="A3" s="13" t="s">
        <v>127</v>
      </c>
      <c r="B3" s="13" t="s">
        <v>129</v>
      </c>
      <c r="C3" s="13" t="s">
        <v>325</v>
      </c>
    </row>
    <row r="4" spans="1:3" x14ac:dyDescent="0.3">
      <c r="A4" t="s">
        <v>130</v>
      </c>
      <c r="B4">
        <v>76</v>
      </c>
      <c r="C4">
        <v>7.1300000000000002E-2</v>
      </c>
    </row>
    <row r="5" spans="1:3" x14ac:dyDescent="0.3">
      <c r="A5" t="s">
        <v>131</v>
      </c>
      <c r="B5">
        <v>64</v>
      </c>
      <c r="C5">
        <v>7.1300000000000002E-2</v>
      </c>
    </row>
    <row r="6" spans="1:3" x14ac:dyDescent="0.3">
      <c r="A6" t="s">
        <v>132</v>
      </c>
      <c r="B6">
        <v>64</v>
      </c>
      <c r="C6">
        <v>7.1300000000000002E-2</v>
      </c>
    </row>
    <row r="7" spans="1:3" x14ac:dyDescent="0.3">
      <c r="A7" t="s">
        <v>133</v>
      </c>
      <c r="B7">
        <v>16</v>
      </c>
      <c r="C7">
        <v>7.1300000000000002E-2</v>
      </c>
    </row>
    <row r="8" spans="1:3" x14ac:dyDescent="0.3">
      <c r="A8" t="s">
        <v>134</v>
      </c>
      <c r="B8">
        <v>198</v>
      </c>
      <c r="C8">
        <v>7.1300000000000002E-2</v>
      </c>
    </row>
    <row r="9" spans="1:3" x14ac:dyDescent="0.3">
      <c r="A9" t="s">
        <v>135</v>
      </c>
      <c r="B9">
        <v>139</v>
      </c>
      <c r="C9">
        <v>7.1300000000000002E-2</v>
      </c>
    </row>
    <row r="10" spans="1:3" x14ac:dyDescent="0.3">
      <c r="A10" t="s">
        <v>136</v>
      </c>
      <c r="B10">
        <v>139</v>
      </c>
      <c r="C10">
        <v>7.1300000000000002E-2</v>
      </c>
    </row>
    <row r="11" spans="1:3" x14ac:dyDescent="0.3">
      <c r="A11" t="s">
        <v>137</v>
      </c>
      <c r="B11">
        <v>64</v>
      </c>
      <c r="C11">
        <v>7.1300000000000002E-2</v>
      </c>
    </row>
    <row r="12" spans="1:3" x14ac:dyDescent="0.3">
      <c r="A12" t="s">
        <v>138</v>
      </c>
      <c r="B12">
        <v>64</v>
      </c>
      <c r="C12">
        <v>7.1300000000000002E-2</v>
      </c>
    </row>
    <row r="13" spans="1:3" x14ac:dyDescent="0.3">
      <c r="A13" t="s">
        <v>139</v>
      </c>
      <c r="B13">
        <v>64</v>
      </c>
      <c r="C13">
        <v>7.1300000000000002E-2</v>
      </c>
    </row>
    <row r="14" spans="1:3" x14ac:dyDescent="0.3">
      <c r="A14" t="s">
        <v>107</v>
      </c>
      <c r="B14">
        <v>64</v>
      </c>
      <c r="C14">
        <v>7.1300000000000002E-2</v>
      </c>
    </row>
    <row r="15" spans="1:3" x14ac:dyDescent="0.3">
      <c r="A15" t="s">
        <v>140</v>
      </c>
      <c r="B15">
        <v>64</v>
      </c>
      <c r="C15">
        <v>7.1300000000000002E-2</v>
      </c>
    </row>
    <row r="16" spans="1:3" x14ac:dyDescent="0.3">
      <c r="A16" t="s">
        <v>141</v>
      </c>
      <c r="B16">
        <v>115</v>
      </c>
      <c r="C16">
        <v>7.1300000000000002E-2</v>
      </c>
    </row>
    <row r="17" spans="1:3" x14ac:dyDescent="0.3">
      <c r="A17" t="s">
        <v>142</v>
      </c>
      <c r="B17">
        <v>115</v>
      </c>
      <c r="C17">
        <v>7.1300000000000002E-2</v>
      </c>
    </row>
    <row r="18" spans="1:3" x14ac:dyDescent="0.3">
      <c r="A18" t="s">
        <v>143</v>
      </c>
      <c r="B18">
        <v>115</v>
      </c>
      <c r="C18">
        <v>7.1300000000000002E-2</v>
      </c>
    </row>
    <row r="19" spans="1:3" x14ac:dyDescent="0.3">
      <c r="A19" t="s">
        <v>144</v>
      </c>
      <c r="B19">
        <v>115</v>
      </c>
      <c r="C19">
        <v>7.1300000000000002E-2</v>
      </c>
    </row>
    <row r="20" spans="1:3" x14ac:dyDescent="0.3">
      <c r="A20" t="s">
        <v>145</v>
      </c>
      <c r="B20">
        <v>115</v>
      </c>
      <c r="C20">
        <v>7.1300000000000002E-2</v>
      </c>
    </row>
    <row r="21" spans="1:3" x14ac:dyDescent="0.3">
      <c r="A21" t="s">
        <v>146</v>
      </c>
      <c r="B21">
        <v>115</v>
      </c>
      <c r="C21">
        <v>7.1300000000000002E-2</v>
      </c>
    </row>
    <row r="22" spans="1:3" x14ac:dyDescent="0.3">
      <c r="A22" t="s">
        <v>147</v>
      </c>
      <c r="B22">
        <v>115</v>
      </c>
      <c r="C22">
        <v>7.1300000000000002E-2</v>
      </c>
    </row>
    <row r="23" spans="1:3" x14ac:dyDescent="0.3">
      <c r="A23" t="s">
        <v>148</v>
      </c>
      <c r="B23">
        <v>115</v>
      </c>
      <c r="C23">
        <v>7.1300000000000002E-2</v>
      </c>
    </row>
    <row r="24" spans="1:3" x14ac:dyDescent="0.3">
      <c r="A24" t="s">
        <v>149</v>
      </c>
      <c r="B24">
        <v>115</v>
      </c>
      <c r="C24">
        <v>7.1300000000000002E-2</v>
      </c>
    </row>
    <row r="25" spans="1:3" x14ac:dyDescent="0.3">
      <c r="A25" t="s">
        <v>150</v>
      </c>
      <c r="B25">
        <v>115</v>
      </c>
      <c r="C25">
        <v>7.1300000000000002E-2</v>
      </c>
    </row>
    <row r="26" spans="1:3" x14ac:dyDescent="0.3">
      <c r="A26" t="s">
        <v>151</v>
      </c>
      <c r="B26">
        <v>115</v>
      </c>
      <c r="C26">
        <v>7.1300000000000002E-2</v>
      </c>
    </row>
    <row r="27" spans="1:3" x14ac:dyDescent="0.3">
      <c r="A27" t="s">
        <v>83</v>
      </c>
      <c r="B27">
        <v>64</v>
      </c>
      <c r="C27">
        <v>7.1300000000000002E-2</v>
      </c>
    </row>
    <row r="28" spans="1:3" x14ac:dyDescent="0.3">
      <c r="A28" t="s">
        <v>152</v>
      </c>
      <c r="B28">
        <v>64</v>
      </c>
      <c r="C28">
        <v>7.1300000000000002E-2</v>
      </c>
    </row>
    <row r="29" spans="1:3" x14ac:dyDescent="0.3">
      <c r="A29" t="s">
        <v>153</v>
      </c>
      <c r="B29">
        <v>64</v>
      </c>
      <c r="C29">
        <v>7.1300000000000002E-2</v>
      </c>
    </row>
    <row r="30" spans="1:3" x14ac:dyDescent="0.3">
      <c r="A30" t="s">
        <v>154</v>
      </c>
      <c r="B30">
        <v>98</v>
      </c>
      <c r="C30">
        <v>7.1300000000000002E-2</v>
      </c>
    </row>
    <row r="31" spans="1:3" x14ac:dyDescent="0.3">
      <c r="A31" t="s">
        <v>155</v>
      </c>
      <c r="B31">
        <v>64</v>
      </c>
      <c r="C31">
        <v>7.1300000000000002E-2</v>
      </c>
    </row>
    <row r="32" spans="1:3" x14ac:dyDescent="0.3">
      <c r="A32" t="s">
        <v>156</v>
      </c>
      <c r="B32">
        <v>64</v>
      </c>
      <c r="C32">
        <v>7.1300000000000002E-2</v>
      </c>
    </row>
    <row r="33" spans="1:3" x14ac:dyDescent="0.3">
      <c r="A33" t="s">
        <v>77</v>
      </c>
      <c r="B33">
        <v>64</v>
      </c>
      <c r="C33">
        <v>7.1300000000000002E-2</v>
      </c>
    </row>
    <row r="34" spans="1:3" x14ac:dyDescent="0.3">
      <c r="A34" t="s">
        <v>157</v>
      </c>
      <c r="B34">
        <v>64</v>
      </c>
      <c r="C34">
        <v>7.1300000000000002E-2</v>
      </c>
    </row>
    <row r="35" spans="1:3" x14ac:dyDescent="0.3">
      <c r="A35" t="s">
        <v>158</v>
      </c>
      <c r="B35">
        <v>64</v>
      </c>
      <c r="C35">
        <v>7.1300000000000002E-2</v>
      </c>
    </row>
    <row r="37" spans="1:3" ht="20" x14ac:dyDescent="0.4">
      <c r="A37" s="5" t="s">
        <v>308</v>
      </c>
    </row>
    <row r="38" spans="1:3" x14ac:dyDescent="0.3">
      <c r="A38" s="13" t="s">
        <v>127</v>
      </c>
      <c r="B38" s="13" t="s">
        <v>128</v>
      </c>
    </row>
    <row r="39" spans="1:3" x14ac:dyDescent="0.3">
      <c r="A39" t="s">
        <v>130</v>
      </c>
      <c r="B39" s="18">
        <v>8804</v>
      </c>
    </row>
    <row r="40" spans="1:3" x14ac:dyDescent="0.3">
      <c r="A40" t="s">
        <v>131</v>
      </c>
      <c r="B40" s="18">
        <v>267</v>
      </c>
    </row>
    <row r="41" spans="1:3" x14ac:dyDescent="0.3">
      <c r="A41" t="s">
        <v>132</v>
      </c>
      <c r="B41" s="18">
        <v>22</v>
      </c>
    </row>
    <row r="42" spans="1:3" x14ac:dyDescent="0.3">
      <c r="A42" t="s">
        <v>133</v>
      </c>
      <c r="B42" s="18">
        <v>12783</v>
      </c>
    </row>
    <row r="43" spans="1:3" x14ac:dyDescent="0.3">
      <c r="A43" t="s">
        <v>134</v>
      </c>
      <c r="B43" s="18">
        <v>1838</v>
      </c>
    </row>
    <row r="44" spans="1:3" x14ac:dyDescent="0.3">
      <c r="A44" t="s">
        <v>135</v>
      </c>
      <c r="B44" s="18">
        <v>1873</v>
      </c>
    </row>
    <row r="45" spans="1:3" x14ac:dyDescent="0.3">
      <c r="A45" t="s">
        <v>136</v>
      </c>
      <c r="B45" s="18">
        <v>1337</v>
      </c>
    </row>
    <row r="46" spans="1:3" x14ac:dyDescent="0.3">
      <c r="A46" t="s">
        <v>137</v>
      </c>
      <c r="B46" s="18">
        <v>79</v>
      </c>
    </row>
    <row r="47" spans="1:3" x14ac:dyDescent="0.3">
      <c r="A47" t="s">
        <v>138</v>
      </c>
      <c r="B47" s="18">
        <v>3397</v>
      </c>
    </row>
    <row r="48" spans="1:3" x14ac:dyDescent="0.3">
      <c r="A48" t="s">
        <v>139</v>
      </c>
      <c r="B48" s="18">
        <v>251</v>
      </c>
    </row>
    <row r="49" spans="1:2" x14ac:dyDescent="0.3">
      <c r="A49" t="s">
        <v>107</v>
      </c>
      <c r="B49" s="18">
        <v>1297</v>
      </c>
    </row>
    <row r="50" spans="1:2" x14ac:dyDescent="0.3">
      <c r="A50" t="s">
        <v>140</v>
      </c>
      <c r="B50" s="18">
        <v>70</v>
      </c>
    </row>
    <row r="51" spans="1:2" x14ac:dyDescent="0.3">
      <c r="A51" t="s">
        <v>141</v>
      </c>
      <c r="B51" s="18">
        <v>6293</v>
      </c>
    </row>
    <row r="52" spans="1:2" x14ac:dyDescent="0.3">
      <c r="A52" t="s">
        <v>142</v>
      </c>
      <c r="B52" s="18">
        <v>622</v>
      </c>
    </row>
    <row r="53" spans="1:2" x14ac:dyDescent="0.3">
      <c r="A53" t="s">
        <v>143</v>
      </c>
      <c r="B53" s="18">
        <v>474</v>
      </c>
    </row>
    <row r="54" spans="1:2" x14ac:dyDescent="0.3">
      <c r="A54" t="s">
        <v>144</v>
      </c>
      <c r="B54" s="18">
        <v>5081</v>
      </c>
    </row>
    <row r="55" spans="1:2" x14ac:dyDescent="0.3">
      <c r="A55" t="s">
        <v>145</v>
      </c>
      <c r="B55" s="18">
        <v>2193</v>
      </c>
    </row>
    <row r="56" spans="1:2" x14ac:dyDescent="0.3">
      <c r="A56" t="s">
        <v>146</v>
      </c>
      <c r="B56" s="18">
        <v>773</v>
      </c>
    </row>
    <row r="57" spans="1:2" x14ac:dyDescent="0.3">
      <c r="A57" t="s">
        <v>147</v>
      </c>
      <c r="B57" s="18">
        <v>4626</v>
      </c>
    </row>
    <row r="58" spans="1:2" x14ac:dyDescent="0.3">
      <c r="A58" t="s">
        <v>148</v>
      </c>
      <c r="B58" s="18">
        <v>6074</v>
      </c>
    </row>
    <row r="59" spans="1:2" x14ac:dyDescent="0.3">
      <c r="A59" t="s">
        <v>149</v>
      </c>
      <c r="B59" s="18">
        <v>135</v>
      </c>
    </row>
    <row r="60" spans="1:2" x14ac:dyDescent="0.3">
      <c r="A60" t="s">
        <v>150</v>
      </c>
      <c r="B60" s="18">
        <v>1532</v>
      </c>
    </row>
    <row r="61" spans="1:2" x14ac:dyDescent="0.3">
      <c r="A61" t="s">
        <v>151</v>
      </c>
      <c r="B61" s="18">
        <v>495</v>
      </c>
    </row>
    <row r="62" spans="1:2" x14ac:dyDescent="0.3">
      <c r="A62" t="s">
        <v>83</v>
      </c>
      <c r="B62" s="18">
        <v>1034</v>
      </c>
    </row>
    <row r="63" spans="1:2" x14ac:dyDescent="0.3">
      <c r="A63" t="s">
        <v>152</v>
      </c>
      <c r="B63" s="18">
        <v>490</v>
      </c>
    </row>
    <row r="64" spans="1:2" x14ac:dyDescent="0.3">
      <c r="A64" t="s">
        <v>153</v>
      </c>
      <c r="B64" s="18">
        <v>4527</v>
      </c>
    </row>
    <row r="65" spans="1:2" x14ac:dyDescent="0.3">
      <c r="A65" t="s">
        <v>154</v>
      </c>
      <c r="B65" s="18">
        <v>875126</v>
      </c>
    </row>
    <row r="66" spans="1:2" x14ac:dyDescent="0.3">
      <c r="A66" t="s">
        <v>155</v>
      </c>
      <c r="B66" s="18">
        <v>21384</v>
      </c>
    </row>
    <row r="67" spans="1:2" x14ac:dyDescent="0.3">
      <c r="A67" t="s">
        <v>156</v>
      </c>
      <c r="B67" s="18">
        <v>18070</v>
      </c>
    </row>
    <row r="68" spans="1:2" x14ac:dyDescent="0.3">
      <c r="A68" t="s">
        <v>77</v>
      </c>
      <c r="B68" s="18">
        <v>163</v>
      </c>
    </row>
    <row r="69" spans="1:2" x14ac:dyDescent="0.3">
      <c r="A69" t="s">
        <v>157</v>
      </c>
      <c r="B69" s="18">
        <v>170</v>
      </c>
    </row>
    <row r="70" spans="1:2" x14ac:dyDescent="0.3">
      <c r="A70" t="s">
        <v>158</v>
      </c>
      <c r="B70" s="18">
        <v>379</v>
      </c>
    </row>
    <row r="72" spans="1:2" ht="20" x14ac:dyDescent="0.4">
      <c r="A72" s="5" t="s">
        <v>311</v>
      </c>
    </row>
    <row r="73" spans="1:2" x14ac:dyDescent="0.3">
      <c r="A73" s="13" t="s">
        <v>310</v>
      </c>
      <c r="B73" s="13" t="s">
        <v>106</v>
      </c>
    </row>
    <row r="74" spans="1:2" x14ac:dyDescent="0.3">
      <c r="A74" t="s">
        <v>159</v>
      </c>
      <c r="B74">
        <v>1.71</v>
      </c>
    </row>
    <row r="75" spans="1:2" x14ac:dyDescent="0.3">
      <c r="A75" t="s">
        <v>160</v>
      </c>
      <c r="B75">
        <v>1.77</v>
      </c>
    </row>
    <row r="76" spans="1:2" x14ac:dyDescent="0.3">
      <c r="A76" t="s">
        <v>161</v>
      </c>
      <c r="B76">
        <v>2.7</v>
      </c>
    </row>
    <row r="77" spans="1:2" x14ac:dyDescent="0.3">
      <c r="A77" t="s">
        <v>162</v>
      </c>
      <c r="B77">
        <v>0.43</v>
      </c>
    </row>
    <row r="78" spans="1:2" x14ac:dyDescent="0.3">
      <c r="A78" t="s">
        <v>163</v>
      </c>
      <c r="B78">
        <v>0.17</v>
      </c>
    </row>
    <row r="79" spans="1:2" x14ac:dyDescent="0.3">
      <c r="A79" t="s">
        <v>164</v>
      </c>
      <c r="B79">
        <v>0.18</v>
      </c>
    </row>
    <row r="80" spans="1:2" x14ac:dyDescent="0.3">
      <c r="A80" t="s">
        <v>165</v>
      </c>
      <c r="B80">
        <v>0.18</v>
      </c>
    </row>
    <row r="81" spans="1:2" x14ac:dyDescent="0.3">
      <c r="A81" t="s">
        <v>166</v>
      </c>
      <c r="B81">
        <v>0.19</v>
      </c>
    </row>
    <row r="82" spans="1:2" x14ac:dyDescent="0.3">
      <c r="A82" t="s">
        <v>167</v>
      </c>
      <c r="B82">
        <v>0.2</v>
      </c>
    </row>
    <row r="83" spans="1:2" x14ac:dyDescent="0.3">
      <c r="A83" t="s">
        <v>168</v>
      </c>
      <c r="B83">
        <v>0.21</v>
      </c>
    </row>
    <row r="84" spans="1:2" x14ac:dyDescent="0.3">
      <c r="A84" t="s">
        <v>169</v>
      </c>
      <c r="B84">
        <v>0.22</v>
      </c>
    </row>
    <row r="85" spans="1:2" x14ac:dyDescent="0.3">
      <c r="A85" t="s">
        <v>170</v>
      </c>
      <c r="B85">
        <v>0.23</v>
      </c>
    </row>
    <row r="86" spans="1:2" x14ac:dyDescent="0.3">
      <c r="A86" t="s">
        <v>171</v>
      </c>
      <c r="B86">
        <v>0.22</v>
      </c>
    </row>
    <row r="87" spans="1:2" x14ac:dyDescent="0.3">
      <c r="A87" t="s">
        <v>172</v>
      </c>
      <c r="B87">
        <v>0.22</v>
      </c>
    </row>
    <row r="88" spans="1:2" x14ac:dyDescent="0.3">
      <c r="A88" t="s">
        <v>173</v>
      </c>
      <c r="B88">
        <v>0.26</v>
      </c>
    </row>
    <row r="89" spans="1:2" x14ac:dyDescent="0.3">
      <c r="A89" t="s">
        <v>174</v>
      </c>
      <c r="B89">
        <v>0.45</v>
      </c>
    </row>
    <row r="90" spans="1:2" x14ac:dyDescent="0.3">
      <c r="A90" t="s">
        <v>175</v>
      </c>
      <c r="B90">
        <v>2.5299999999999998</v>
      </c>
    </row>
    <row r="91" spans="1:2" x14ac:dyDescent="0.3">
      <c r="A91" t="s">
        <v>176</v>
      </c>
      <c r="B91">
        <v>1.27</v>
      </c>
    </row>
    <row r="92" spans="1:2" x14ac:dyDescent="0.3">
      <c r="A92" t="s">
        <v>130</v>
      </c>
      <c r="B92">
        <v>0.01</v>
      </c>
    </row>
    <row r="93" spans="1:2" x14ac:dyDescent="0.3">
      <c r="A93" t="s">
        <v>177</v>
      </c>
      <c r="B93" t="s">
        <v>178</v>
      </c>
    </row>
    <row r="94" spans="1:2" x14ac:dyDescent="0.3">
      <c r="A94" t="s">
        <v>179</v>
      </c>
      <c r="B94">
        <v>1.6</v>
      </c>
    </row>
    <row r="95" spans="1:2" x14ac:dyDescent="0.3">
      <c r="A95" t="s">
        <v>180</v>
      </c>
      <c r="B95">
        <v>1.7</v>
      </c>
    </row>
    <row r="96" spans="1:2" x14ac:dyDescent="0.3">
      <c r="A96" t="s">
        <v>181</v>
      </c>
      <c r="B96">
        <v>2.5</v>
      </c>
    </row>
    <row r="97" spans="1:2" x14ac:dyDescent="0.3">
      <c r="A97" t="s">
        <v>182</v>
      </c>
      <c r="B97">
        <v>2.7</v>
      </c>
    </row>
    <row r="98" spans="1:2" x14ac:dyDescent="0.3">
      <c r="A98" t="s">
        <v>183</v>
      </c>
      <c r="B98">
        <v>2.5299999999999998</v>
      </c>
    </row>
    <row r="99" spans="1:2" x14ac:dyDescent="0.3">
      <c r="A99" t="s">
        <v>184</v>
      </c>
      <c r="B99">
        <v>4.2</v>
      </c>
    </row>
    <row r="100" spans="1:2" x14ac:dyDescent="0.3">
      <c r="A100" t="s">
        <v>134</v>
      </c>
      <c r="B100">
        <v>0.06</v>
      </c>
    </row>
    <row r="101" spans="1:2" x14ac:dyDescent="0.3">
      <c r="A101" t="s">
        <v>185</v>
      </c>
      <c r="B101">
        <v>0.02</v>
      </c>
    </row>
    <row r="102" spans="1:2" x14ac:dyDescent="0.3">
      <c r="A102" t="s">
        <v>133</v>
      </c>
      <c r="B102">
        <v>0.01</v>
      </c>
    </row>
    <row r="103" spans="1:2" x14ac:dyDescent="0.3">
      <c r="A103" t="s">
        <v>186</v>
      </c>
      <c r="B103">
        <v>0.02</v>
      </c>
    </row>
    <row r="104" spans="1:2" x14ac:dyDescent="0.3">
      <c r="A104" t="s">
        <v>131</v>
      </c>
      <c r="B104">
        <v>0.14000000000000001</v>
      </c>
    </row>
    <row r="105" spans="1:2" x14ac:dyDescent="0.3">
      <c r="A105" t="s">
        <v>187</v>
      </c>
      <c r="B105">
        <v>0.49</v>
      </c>
    </row>
    <row r="106" spans="1:2" x14ac:dyDescent="0.3">
      <c r="A106" t="s">
        <v>144</v>
      </c>
      <c r="B106">
        <v>3.01</v>
      </c>
    </row>
    <row r="107" spans="1:2" x14ac:dyDescent="0.3">
      <c r="A107" t="s">
        <v>188</v>
      </c>
      <c r="B107">
        <v>8.1</v>
      </c>
    </row>
    <row r="108" spans="1:2" x14ac:dyDescent="0.3">
      <c r="A108" t="s">
        <v>189</v>
      </c>
      <c r="B108">
        <v>4.96</v>
      </c>
    </row>
    <row r="109" spans="1:2" x14ac:dyDescent="0.3">
      <c r="A109" t="s">
        <v>309</v>
      </c>
      <c r="B109">
        <v>0.21</v>
      </c>
    </row>
    <row r="110" spans="1:2" x14ac:dyDescent="0.3">
      <c r="A110" t="s">
        <v>190</v>
      </c>
      <c r="B110">
        <v>0.16</v>
      </c>
    </row>
    <row r="111" spans="1:2" x14ac:dyDescent="0.3">
      <c r="A111" t="s">
        <v>191</v>
      </c>
      <c r="B111">
        <v>0.63</v>
      </c>
    </row>
    <row r="112" spans="1:2" x14ac:dyDescent="0.3">
      <c r="A112" t="s">
        <v>192</v>
      </c>
      <c r="B112">
        <v>0.22</v>
      </c>
    </row>
    <row r="113" spans="1:2" x14ac:dyDescent="0.3">
      <c r="A113" t="s">
        <v>145</v>
      </c>
      <c r="B113">
        <v>1.91</v>
      </c>
    </row>
    <row r="114" spans="1:2" x14ac:dyDescent="0.3">
      <c r="A114" t="s">
        <v>193</v>
      </c>
      <c r="B114">
        <v>6.15</v>
      </c>
    </row>
    <row r="115" spans="1:2" x14ac:dyDescent="0.3">
      <c r="A115" t="s">
        <v>141</v>
      </c>
      <c r="B115">
        <v>8.5500000000000007</v>
      </c>
    </row>
    <row r="116" spans="1:2" x14ac:dyDescent="0.3">
      <c r="A116" t="s">
        <v>151</v>
      </c>
      <c r="B116">
        <v>3.31</v>
      </c>
    </row>
    <row r="117" spans="1:2" x14ac:dyDescent="0.3">
      <c r="A117" t="s">
        <v>194</v>
      </c>
      <c r="B117">
        <v>0.62</v>
      </c>
    </row>
    <row r="118" spans="1:2" x14ac:dyDescent="0.3">
      <c r="A118" t="s">
        <v>195</v>
      </c>
      <c r="B118">
        <v>0.39</v>
      </c>
    </row>
    <row r="119" spans="1:2" x14ac:dyDescent="0.3">
      <c r="A119" t="s">
        <v>196</v>
      </c>
      <c r="B119">
        <v>2.7</v>
      </c>
    </row>
    <row r="120" spans="1:2" x14ac:dyDescent="0.3">
      <c r="A120" t="s">
        <v>197</v>
      </c>
      <c r="B120">
        <v>0.03</v>
      </c>
    </row>
    <row r="121" spans="1:2" x14ac:dyDescent="0.3">
      <c r="A121" t="s">
        <v>198</v>
      </c>
      <c r="B121">
        <v>0.81</v>
      </c>
    </row>
    <row r="122" spans="1:2" x14ac:dyDescent="0.3">
      <c r="A122" t="s">
        <v>132</v>
      </c>
      <c r="B122">
        <v>0.48</v>
      </c>
    </row>
    <row r="123" spans="1:2" x14ac:dyDescent="0.3">
      <c r="A123" t="s">
        <v>135</v>
      </c>
      <c r="B123">
        <v>0.46</v>
      </c>
    </row>
    <row r="124" spans="1:2" x14ac:dyDescent="0.3">
      <c r="A124" t="s">
        <v>137</v>
      </c>
      <c r="B124">
        <v>1.21</v>
      </c>
    </row>
    <row r="125" spans="1:2" x14ac:dyDescent="0.3">
      <c r="A125" t="s">
        <v>199</v>
      </c>
      <c r="B125">
        <v>3.56</v>
      </c>
    </row>
    <row r="126" spans="1:2" x14ac:dyDescent="0.3">
      <c r="A126" t="s">
        <v>139</v>
      </c>
      <c r="B126">
        <v>3.85</v>
      </c>
    </row>
    <row r="127" spans="1:2" x14ac:dyDescent="0.3">
      <c r="A127" t="s">
        <v>140</v>
      </c>
      <c r="B127">
        <v>2.29</v>
      </c>
    </row>
    <row r="128" spans="1:2" x14ac:dyDescent="0.3">
      <c r="A128" t="s">
        <v>142</v>
      </c>
      <c r="B128">
        <v>2.42</v>
      </c>
    </row>
    <row r="129" spans="1:3" x14ac:dyDescent="0.3">
      <c r="A129" t="s">
        <v>143</v>
      </c>
      <c r="B129">
        <v>4.0999999999999996</v>
      </c>
    </row>
    <row r="130" spans="1:3" x14ac:dyDescent="0.3">
      <c r="A130" t="s">
        <v>146</v>
      </c>
      <c r="B130">
        <v>1.33</v>
      </c>
    </row>
    <row r="131" spans="1:3" x14ac:dyDescent="0.3">
      <c r="A131" t="s">
        <v>149</v>
      </c>
      <c r="B131">
        <v>13.7</v>
      </c>
    </row>
    <row r="132" spans="1:3" x14ac:dyDescent="0.3">
      <c r="A132" t="s">
        <v>200</v>
      </c>
      <c r="B132">
        <v>0.65</v>
      </c>
    </row>
    <row r="133" spans="1:3" x14ac:dyDescent="0.3">
      <c r="A133" t="s">
        <v>201</v>
      </c>
      <c r="B133">
        <v>0.38</v>
      </c>
    </row>
    <row r="134" spans="1:3" x14ac:dyDescent="0.3">
      <c r="A134" t="s">
        <v>202</v>
      </c>
      <c r="B134">
        <v>1.86</v>
      </c>
    </row>
    <row r="135" spans="1:3" x14ac:dyDescent="0.3">
      <c r="A135" t="s">
        <v>77</v>
      </c>
      <c r="B135">
        <v>1.32</v>
      </c>
    </row>
    <row r="136" spans="1:3" x14ac:dyDescent="0.3">
      <c r="A136" t="s">
        <v>157</v>
      </c>
      <c r="B136">
        <v>3.18</v>
      </c>
    </row>
    <row r="138" spans="1:3" ht="20" x14ac:dyDescent="0.4">
      <c r="A138" s="5" t="s">
        <v>312</v>
      </c>
    </row>
    <row r="139" spans="1:3" x14ac:dyDescent="0.3">
      <c r="A139" s="6" t="s">
        <v>127</v>
      </c>
      <c r="B139" s="6" t="s">
        <v>203</v>
      </c>
      <c r="C139" s="13" t="s">
        <v>325</v>
      </c>
    </row>
    <row r="140" spans="1:3" x14ac:dyDescent="0.3">
      <c r="A140" s="3" t="s">
        <v>164</v>
      </c>
      <c r="B140" s="4">
        <v>10622</v>
      </c>
      <c r="C140" s="3">
        <v>7.1300000000000002E-2</v>
      </c>
    </row>
    <row r="141" spans="1:3" x14ac:dyDescent="0.3">
      <c r="A141" s="3" t="s">
        <v>165</v>
      </c>
      <c r="B141" s="4">
        <v>9758</v>
      </c>
      <c r="C141" s="3">
        <v>7.1300000000000002E-2</v>
      </c>
    </row>
    <row r="142" spans="1:3" x14ac:dyDescent="0.3">
      <c r="A142" s="3" t="s">
        <v>166</v>
      </c>
      <c r="B142" s="4">
        <v>3147</v>
      </c>
      <c r="C142" s="3">
        <v>7.1300000000000002E-2</v>
      </c>
    </row>
    <row r="143" spans="1:3" x14ac:dyDescent="0.3">
      <c r="A143" s="3" t="s">
        <v>167</v>
      </c>
      <c r="B143" s="4">
        <v>44774</v>
      </c>
      <c r="C143" s="3">
        <v>7.1300000000000002E-2</v>
      </c>
    </row>
    <row r="144" spans="1:3" x14ac:dyDescent="0.3">
      <c r="A144" s="3" t="s">
        <v>168</v>
      </c>
      <c r="B144" s="3">
        <v>3</v>
      </c>
      <c r="C144" s="3">
        <v>7.1300000000000002E-2</v>
      </c>
    </row>
    <row r="145" spans="1:3" x14ac:dyDescent="0.3">
      <c r="A145" s="3" t="s">
        <v>169</v>
      </c>
      <c r="B145" s="4">
        <v>1371</v>
      </c>
      <c r="C145" s="3">
        <v>7.1300000000000002E-2</v>
      </c>
    </row>
    <row r="146" spans="1:3" x14ac:dyDescent="0.3">
      <c r="A146" s="3" t="s">
        <v>204</v>
      </c>
      <c r="B146" s="3">
        <v>31</v>
      </c>
      <c r="C146" s="3">
        <v>7.1300000000000002E-2</v>
      </c>
    </row>
    <row r="147" spans="1:3" x14ac:dyDescent="0.3">
      <c r="A147" s="3" t="s">
        <v>205</v>
      </c>
      <c r="B147" s="4">
        <v>14514</v>
      </c>
      <c r="C147" s="3">
        <v>7.1300000000000002E-2</v>
      </c>
    </row>
    <row r="148" spans="1:3" x14ac:dyDescent="0.3">
      <c r="A148" s="3" t="s">
        <v>206</v>
      </c>
      <c r="B148" s="4">
        <v>17160</v>
      </c>
      <c r="C148" s="3">
        <v>7.1300000000000002E-2</v>
      </c>
    </row>
    <row r="149" spans="1:3" x14ac:dyDescent="0.3">
      <c r="A149" s="3" t="s">
        <v>83</v>
      </c>
      <c r="B149" s="3">
        <v>13</v>
      </c>
      <c r="C149" s="3">
        <v>7.1300000000000002E-2</v>
      </c>
    </row>
    <row r="150" spans="1:3" x14ac:dyDescent="0.3">
      <c r="A150" s="3" t="s">
        <v>207</v>
      </c>
      <c r="B150" s="3">
        <v>8</v>
      </c>
      <c r="C150" s="3">
        <v>7.1300000000000002E-2</v>
      </c>
    </row>
    <row r="151" spans="1:3" x14ac:dyDescent="0.3">
      <c r="A151" s="3" t="s">
        <v>208</v>
      </c>
      <c r="B151" s="4">
        <v>41006</v>
      </c>
      <c r="C151" s="3">
        <v>7.1300000000000002E-2</v>
      </c>
    </row>
    <row r="152" spans="1:3" x14ac:dyDescent="0.3">
      <c r="A152" s="3" t="s">
        <v>182</v>
      </c>
      <c r="B152" s="3">
        <v>79</v>
      </c>
      <c r="C152" s="3">
        <v>7.1300000000000002E-2</v>
      </c>
    </row>
    <row r="153" spans="1:3" x14ac:dyDescent="0.3">
      <c r="A153" s="3" t="s">
        <v>209</v>
      </c>
      <c r="B153" s="3">
        <v>97</v>
      </c>
      <c r="C153" s="3">
        <v>7.1300000000000002E-2</v>
      </c>
    </row>
    <row r="154" spans="1:3" x14ac:dyDescent="0.3">
      <c r="A154" s="3" t="s">
        <v>210</v>
      </c>
      <c r="B154" s="4">
        <v>29964</v>
      </c>
      <c r="C154" s="3">
        <v>7.1300000000000002E-2</v>
      </c>
    </row>
    <row r="155" spans="1:3" x14ac:dyDescent="0.3">
      <c r="A155" s="3" t="s">
        <v>148</v>
      </c>
      <c r="B155" s="4">
        <v>2938</v>
      </c>
      <c r="C155" s="3">
        <v>7.1300000000000002E-2</v>
      </c>
    </row>
    <row r="156" spans="1:3" x14ac:dyDescent="0.3">
      <c r="A156" s="3" t="s">
        <v>211</v>
      </c>
      <c r="B156" s="4">
        <v>1880</v>
      </c>
      <c r="C156" s="3">
        <v>7.1300000000000002E-2</v>
      </c>
    </row>
    <row r="157" spans="1:3" x14ac:dyDescent="0.3">
      <c r="A157" s="3" t="s">
        <v>176</v>
      </c>
      <c r="B157" s="3">
        <v>25</v>
      </c>
      <c r="C157" s="3">
        <v>7.1300000000000002E-2</v>
      </c>
    </row>
    <row r="158" spans="1:3" x14ac:dyDescent="0.3">
      <c r="A158" s="3" t="s">
        <v>212</v>
      </c>
      <c r="B158" s="3">
        <v>25</v>
      </c>
      <c r="C158" s="3">
        <v>7.1300000000000002E-2</v>
      </c>
    </row>
    <row r="159" spans="1:3" x14ac:dyDescent="0.3">
      <c r="A159" s="3" t="s">
        <v>213</v>
      </c>
      <c r="B159" s="4">
        <v>1975</v>
      </c>
      <c r="C159" s="3">
        <v>7.1300000000000002E-2</v>
      </c>
    </row>
    <row r="161" spans="1:2" ht="20" x14ac:dyDescent="0.3">
      <c r="A161" s="15" t="s">
        <v>313</v>
      </c>
    </row>
    <row r="162" spans="1:2" ht="28" x14ac:dyDescent="0.3">
      <c r="A162" s="48" t="s">
        <v>315</v>
      </c>
      <c r="B162" s="29">
        <v>17500</v>
      </c>
    </row>
    <row r="163" spans="1:2" x14ac:dyDescent="0.3">
      <c r="A163" s="48" t="s">
        <v>316</v>
      </c>
      <c r="B163" s="29">
        <v>22500</v>
      </c>
    </row>
    <row r="164" spans="1:2" ht="42" x14ac:dyDescent="0.3">
      <c r="A164" s="48" t="s">
        <v>329</v>
      </c>
      <c r="B164">
        <v>1.575</v>
      </c>
    </row>
    <row r="165" spans="1:2" x14ac:dyDescent="0.3">
      <c r="A165" s="48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5630D-1153-4731-A5A2-1CD8313AA76F}">
  <dimension ref="A2:F100"/>
  <sheetViews>
    <sheetView workbookViewId="0">
      <selection activeCell="A2" sqref="A2:C5"/>
    </sheetView>
  </sheetViews>
  <sheetFormatPr defaultRowHeight="14" x14ac:dyDescent="0.3"/>
  <cols>
    <col min="1" max="1" width="20.9140625" customWidth="1"/>
    <col min="2" max="2" width="25.9140625" customWidth="1"/>
    <col min="3" max="3" width="34.33203125" customWidth="1"/>
    <col min="4" max="4" width="17.9140625" customWidth="1"/>
    <col min="5" max="5" width="50.9140625" bestFit="1" customWidth="1"/>
    <col min="6" max="6" width="20" bestFit="1" customWidth="1"/>
  </cols>
  <sheetData>
    <row r="2" spans="1:6" ht="20" x14ac:dyDescent="0.4">
      <c r="A2" s="5" t="s">
        <v>341</v>
      </c>
    </row>
    <row r="3" spans="1:6" x14ac:dyDescent="0.3">
      <c r="A3" s="12" t="s">
        <v>265</v>
      </c>
      <c r="B3" s="12" t="s">
        <v>266</v>
      </c>
      <c r="C3" s="12" t="s">
        <v>275</v>
      </c>
    </row>
    <row r="4" spans="1:6" x14ac:dyDescent="0.3">
      <c r="A4" t="s">
        <v>342</v>
      </c>
      <c r="B4" s="21">
        <f>C4/$C$7</f>
        <v>0.67861297061905124</v>
      </c>
      <c r="C4" s="26">
        <f>F43</f>
        <v>390961179.3312397</v>
      </c>
    </row>
    <row r="5" spans="1:6" x14ac:dyDescent="0.3">
      <c r="A5" t="s">
        <v>343</v>
      </c>
      <c r="B5" s="21">
        <f>C5/$C$7</f>
        <v>0.14539420721477361</v>
      </c>
      <c r="C5" s="26">
        <f>F67</f>
        <v>83764226.711971313</v>
      </c>
    </row>
    <row r="6" spans="1:6" x14ac:dyDescent="0.3">
      <c r="A6" t="s">
        <v>340</v>
      </c>
      <c r="B6" s="21">
        <f>C6/$C$7</f>
        <v>0.17599282216617523</v>
      </c>
      <c r="C6" s="26">
        <f>E75</f>
        <v>101392641</v>
      </c>
    </row>
    <row r="7" spans="1:6" x14ac:dyDescent="0.3">
      <c r="A7" s="38" t="s">
        <v>255</v>
      </c>
      <c r="B7" s="21">
        <f>SUM(B4:B6)</f>
        <v>1</v>
      </c>
      <c r="C7" s="26">
        <f>SUM(C4:C6)</f>
        <v>576118047.04321098</v>
      </c>
    </row>
    <row r="9" spans="1:6" ht="20" x14ac:dyDescent="0.4">
      <c r="A9" s="5" t="s">
        <v>321</v>
      </c>
    </row>
    <row r="10" spans="1:6" x14ac:dyDescent="0.3">
      <c r="A10" s="13" t="s">
        <v>127</v>
      </c>
      <c r="B10" s="13" t="s">
        <v>128</v>
      </c>
      <c r="C10" s="13" t="s">
        <v>319</v>
      </c>
      <c r="D10" s="13" t="s">
        <v>129</v>
      </c>
      <c r="E10" s="13" t="s">
        <v>325</v>
      </c>
      <c r="F10" s="13" t="s">
        <v>320</v>
      </c>
    </row>
    <row r="11" spans="1:6" x14ac:dyDescent="0.3">
      <c r="A11" t="s">
        <v>130</v>
      </c>
      <c r="B11" s="61">
        <f>'London Olympics Venues'!B39*($B$98+$B$99)/'London Olympics Venues'!$B$163</f>
        <v>9214.8533333333326</v>
      </c>
      <c r="C11" s="23">
        <f>VLOOKUP(A11, 'London Olympics Venues'!$A$74:$B$136, 2, FALSE)</f>
        <v>0.01</v>
      </c>
      <c r="D11">
        <v>76</v>
      </c>
      <c r="E11">
        <v>7.1300000000000002E-2</v>
      </c>
      <c r="F11" s="26">
        <f>E11*D11*B11+B11*1000*C11</f>
        <v>142081.980576</v>
      </c>
    </row>
    <row r="12" spans="1:6" x14ac:dyDescent="0.3">
      <c r="A12" t="s">
        <v>131</v>
      </c>
      <c r="B12" s="61">
        <f>'London Olympics Venues'!B40*($B$98+$B$99)/'London Olympics Venues'!$B$163</f>
        <v>279.45999999999998</v>
      </c>
      <c r="C12" s="23">
        <f>VLOOKUP(A12, 'London Olympics Venues'!$A$74:$B$136, 2, FALSE)</f>
        <v>0.14000000000000001</v>
      </c>
      <c r="D12">
        <v>64</v>
      </c>
      <c r="E12">
        <v>7.1300000000000002E-2</v>
      </c>
      <c r="F12" s="26">
        <f>E12*D12*B12+B12*1000*C12</f>
        <v>40399.631871999998</v>
      </c>
    </row>
    <row r="13" spans="1:6" x14ac:dyDescent="0.3">
      <c r="A13" t="s">
        <v>132</v>
      </c>
      <c r="B13" s="61">
        <f>'London Olympics Venues'!B41*($B$98+$B$99)/'London Olympics Venues'!$B$163</f>
        <v>23.026666666666667</v>
      </c>
      <c r="C13" s="23">
        <f>VLOOKUP(A13, 'London Olympics Venues'!$A$74:$B$136, 2, FALSE)</f>
        <v>0.48</v>
      </c>
      <c r="D13">
        <v>64</v>
      </c>
      <c r="E13">
        <v>7.1300000000000002E-2</v>
      </c>
      <c r="F13" s="26">
        <f>E13*D13*B13+B13*1000*C13</f>
        <v>11157.875285333332</v>
      </c>
    </row>
    <row r="14" spans="1:6" x14ac:dyDescent="0.3">
      <c r="A14" t="s">
        <v>133</v>
      </c>
      <c r="B14" s="61">
        <f>'London Olympics Venues'!B42*($B$98+$B$99)/'London Olympics Venues'!$B$163</f>
        <v>13379.54</v>
      </c>
      <c r="C14" s="23">
        <f>VLOOKUP(A14, 'London Olympics Venues'!$A$74:$B$136, 2, FALSE)</f>
        <v>0.01</v>
      </c>
      <c r="D14">
        <v>16</v>
      </c>
      <c r="E14">
        <v>7.1300000000000002E-2</v>
      </c>
      <c r="F14" s="26">
        <f>E14*D14*B14+B14*1000*C14</f>
        <v>149058.779232</v>
      </c>
    </row>
    <row r="15" spans="1:6" x14ac:dyDescent="0.3">
      <c r="A15" t="s">
        <v>134</v>
      </c>
      <c r="B15" s="61">
        <f>'London Olympics Venues'!B43*($B$98+$B$99)/'London Olympics Venues'!$B$163</f>
        <v>1923.7733333333333</v>
      </c>
      <c r="C15" s="23">
        <f>VLOOKUP(A15, 'London Olympics Venues'!$A$74:$B$136, 2, FALSE)</f>
        <v>0.06</v>
      </c>
      <c r="D15">
        <v>198</v>
      </c>
      <c r="E15">
        <v>7.1300000000000002E-2</v>
      </c>
      <c r="F15" s="26">
        <f>E15*D15*B15+B15*1000*C15</f>
        <v>142585.07765599998</v>
      </c>
    </row>
    <row r="16" spans="1:6" x14ac:dyDescent="0.3">
      <c r="A16" t="s">
        <v>135</v>
      </c>
      <c r="B16" s="61">
        <f>'London Olympics Venues'!B44*($B$98+$B$99)/'London Olympics Venues'!$B$163</f>
        <v>1960.4066666666668</v>
      </c>
      <c r="C16" s="23">
        <f>VLOOKUP(A16, 'London Olympics Venues'!$A$74:$B$136, 2, FALSE)</f>
        <v>0.46</v>
      </c>
      <c r="D16">
        <v>139</v>
      </c>
      <c r="E16">
        <v>7.1300000000000002E-2</v>
      </c>
      <c r="F16" s="26">
        <f>E16*D16*B16+B16*1000*C16</f>
        <v>921216.06901800015</v>
      </c>
    </row>
    <row r="17" spans="1:6" x14ac:dyDescent="0.3">
      <c r="A17" t="s">
        <v>136</v>
      </c>
      <c r="B17" s="61">
        <f>'London Olympics Venues'!B45*($B$98+$B$99)/'London Olympics Venues'!$B$163</f>
        <v>1399.3933333333334</v>
      </c>
      <c r="C17" s="23">
        <f>AVERAGE('London Olympics Venues'!$B$74:$B$136)</f>
        <v>1.8011290322580646</v>
      </c>
      <c r="D17">
        <v>139</v>
      </c>
      <c r="E17">
        <v>7.1300000000000002E-2</v>
      </c>
      <c r="F17" s="26">
        <f>E17*D17*B17+B17*1000*C17</f>
        <v>2534356.9277237211</v>
      </c>
    </row>
    <row r="18" spans="1:6" x14ac:dyDescent="0.3">
      <c r="A18" t="s">
        <v>137</v>
      </c>
      <c r="B18" s="61">
        <f>'London Olympics Venues'!B46*($B$98+$B$99)/'London Olympics Venues'!$B$163</f>
        <v>82.686666666666667</v>
      </c>
      <c r="C18" s="23">
        <f>VLOOKUP(A18, 'London Olympics Venues'!$A$74:$B$136, 2, FALSE)</f>
        <v>1.21</v>
      </c>
      <c r="D18">
        <v>64</v>
      </c>
      <c r="E18">
        <v>7.1300000000000002E-2</v>
      </c>
      <c r="F18" s="26">
        <f>E18*D18*B18+B18*1000*C18</f>
        <v>100428.182464</v>
      </c>
    </row>
    <row r="19" spans="1:6" x14ac:dyDescent="0.3">
      <c r="A19" t="s">
        <v>138</v>
      </c>
      <c r="B19" s="61">
        <f>'London Olympics Venues'!B47*($B$98+$B$99)/'London Olympics Venues'!$B$163</f>
        <v>3555.5266666666666</v>
      </c>
      <c r="C19" s="23">
        <f>'London Olympics Venues'!B125</f>
        <v>3.56</v>
      </c>
      <c r="D19">
        <v>64</v>
      </c>
      <c r="E19">
        <v>7.1300000000000002E-2</v>
      </c>
      <c r="F19" s="26">
        <f>E19*D19*B19+B19*1000*C19</f>
        <v>12673899.512618667</v>
      </c>
    </row>
    <row r="20" spans="1:6" x14ac:dyDescent="0.3">
      <c r="A20" t="s">
        <v>139</v>
      </c>
      <c r="B20" s="61">
        <f>'London Olympics Venues'!B48*($B$98+$B$99)/'London Olympics Venues'!$B$163</f>
        <v>262.71333333333331</v>
      </c>
      <c r="C20" s="23">
        <f>VLOOKUP(A20, 'London Olympics Venues'!$A$74:$B$136, 2, FALSE)</f>
        <v>3.85</v>
      </c>
      <c r="D20">
        <v>64</v>
      </c>
      <c r="E20">
        <v>7.1300000000000002E-2</v>
      </c>
      <c r="F20" s="26">
        <f>E20*D20*B20+B20*1000*C20</f>
        <v>1012645.1468159999</v>
      </c>
    </row>
    <row r="21" spans="1:6" x14ac:dyDescent="0.3">
      <c r="A21" t="s">
        <v>107</v>
      </c>
      <c r="B21" s="61">
        <f>'London Olympics Venues'!B49*($B$98+$B$99)/'London Olympics Venues'!$B$163</f>
        <v>1357.5266666666666</v>
      </c>
      <c r="C21" s="23">
        <f>'London Olympics Venues'!B98</f>
        <v>2.5299999999999998</v>
      </c>
      <c r="D21">
        <v>64</v>
      </c>
      <c r="E21">
        <v>7.1300000000000002E-2</v>
      </c>
      <c r="F21" s="26">
        <f>E21*D21*B21+B21*1000*C21</f>
        <v>3440737.1323520001</v>
      </c>
    </row>
    <row r="22" spans="1:6" x14ac:dyDescent="0.3">
      <c r="A22" t="s">
        <v>140</v>
      </c>
      <c r="B22" s="61">
        <f>'London Olympics Venues'!B50*($B$98+$B$99)/'London Olympics Venues'!$B$163</f>
        <v>73.266666666666666</v>
      </c>
      <c r="C22" s="23">
        <f>VLOOKUP(A22, 'London Olympics Venues'!$A$74:$B$136, 2, FALSE)</f>
        <v>2.29</v>
      </c>
      <c r="D22">
        <v>64</v>
      </c>
      <c r="E22">
        <v>7.1300000000000002E-2</v>
      </c>
      <c r="F22" s="26">
        <f>E22*D22*B22+B22*1000*C22</f>
        <v>168114.99712000001</v>
      </c>
    </row>
    <row r="23" spans="1:6" x14ac:dyDescent="0.3">
      <c r="A23" t="s">
        <v>141</v>
      </c>
      <c r="B23" s="61">
        <f>'London Olympics Venues'!B51*($B$98+$B$99)/'London Olympics Venues'!$B$163</f>
        <v>6586.6733333333332</v>
      </c>
      <c r="C23" s="23">
        <f>VLOOKUP(A23, 'London Olympics Venues'!$A$74:$B$136, 2, FALSE)</f>
        <v>8.5500000000000007</v>
      </c>
      <c r="D23">
        <v>115</v>
      </c>
      <c r="E23">
        <v>7.1300000000000002E-2</v>
      </c>
      <c r="F23" s="26">
        <f>E23*D23*B23+B23*1000*C23</f>
        <v>56370064.427996665</v>
      </c>
    </row>
    <row r="24" spans="1:6" x14ac:dyDescent="0.3">
      <c r="A24" t="s">
        <v>142</v>
      </c>
      <c r="B24" s="61">
        <f>'London Olympics Venues'!B52*($B$98+$B$99)/'London Olympics Venues'!$B$163</f>
        <v>651.02666666666664</v>
      </c>
      <c r="C24" s="23">
        <f>VLOOKUP(A24, 'London Olympics Venues'!$A$74:$B$136, 2, FALSE)</f>
        <v>2.42</v>
      </c>
      <c r="D24">
        <v>115</v>
      </c>
      <c r="E24">
        <v>7.1300000000000002E-2</v>
      </c>
      <c r="F24" s="26">
        <f>E24*D24*B24+B24*1000*C24</f>
        <v>1580822.6264866665</v>
      </c>
    </row>
    <row r="25" spans="1:6" x14ac:dyDescent="0.3">
      <c r="A25" t="s">
        <v>143</v>
      </c>
      <c r="B25" s="61">
        <f>'London Olympics Venues'!B53*($B$98+$B$99)/'London Olympics Venues'!$B$163</f>
        <v>496.12</v>
      </c>
      <c r="C25" s="23">
        <f>VLOOKUP(A25, 'London Olympics Venues'!$A$74:$B$136, 2, FALSE)</f>
        <v>4.0999999999999996</v>
      </c>
      <c r="D25">
        <v>115</v>
      </c>
      <c r="E25">
        <v>7.1300000000000002E-2</v>
      </c>
      <c r="F25" s="26">
        <f>E25*D25*B25+B25*1000*C25</f>
        <v>2038159.9359399998</v>
      </c>
    </row>
    <row r="26" spans="1:6" x14ac:dyDescent="0.3">
      <c r="A26" t="s">
        <v>144</v>
      </c>
      <c r="B26" s="61">
        <f>'London Olympics Venues'!B54*($B$98+$B$99)/'London Olympics Venues'!$B$163</f>
        <v>5318.1133333333337</v>
      </c>
      <c r="C26" s="23">
        <f>VLOOKUP(A26, 'London Olympics Venues'!$A$74:$B$136, 2, FALSE)</f>
        <v>3.01</v>
      </c>
      <c r="D26">
        <v>115</v>
      </c>
      <c r="E26">
        <v>7.1300000000000002E-2</v>
      </c>
      <c r="F26" s="26">
        <f>E26*D26*B26+B26*1000*C26</f>
        <v>16051127.003610002</v>
      </c>
    </row>
    <row r="27" spans="1:6" x14ac:dyDescent="0.3">
      <c r="A27" t="s">
        <v>145</v>
      </c>
      <c r="B27" s="61">
        <f>'London Olympics Venues'!B55*($B$98+$B$99)/'London Olympics Venues'!$B$163</f>
        <v>2295.34</v>
      </c>
      <c r="C27" s="23">
        <f>VLOOKUP(A27, 'London Olympics Venues'!$A$74:$B$136, 2, FALSE)</f>
        <v>1.91</v>
      </c>
      <c r="D27">
        <v>115</v>
      </c>
      <c r="E27">
        <v>7.1300000000000002E-2</v>
      </c>
      <c r="F27" s="26">
        <f>E27*D27*B27+B27*1000*C27</f>
        <v>4402920.0403299993</v>
      </c>
    </row>
    <row r="28" spans="1:6" x14ac:dyDescent="0.3">
      <c r="A28" t="s">
        <v>146</v>
      </c>
      <c r="B28" s="61">
        <f>'London Olympics Venues'!B56*($B$98+$B$99)/'London Olympics Venues'!$B$163</f>
        <v>809.07333333333338</v>
      </c>
      <c r="C28" s="23">
        <f>VLOOKUP(A28, 'London Olympics Venues'!$A$74:$B$136, 2, FALSE)</f>
        <v>1.33</v>
      </c>
      <c r="D28">
        <v>115</v>
      </c>
      <c r="E28">
        <v>7.1300000000000002E-2</v>
      </c>
      <c r="F28" s="26">
        <f>E28*D28*B28+B28*1000*C28</f>
        <v>1082701.5301300001</v>
      </c>
    </row>
    <row r="29" spans="1:6" x14ac:dyDescent="0.3">
      <c r="A29" t="s">
        <v>147</v>
      </c>
      <c r="B29" s="61">
        <f>'London Olympics Venues'!B57*($B$98+$B$99)/'London Olympics Venues'!$B$163</f>
        <v>4841.88</v>
      </c>
      <c r="C29" s="23">
        <f>AVERAGE('London Olympics Venues'!$B$74:$B$77)</f>
        <v>1.6524999999999999</v>
      </c>
      <c r="D29">
        <v>115</v>
      </c>
      <c r="E29">
        <v>7.1300000000000002E-2</v>
      </c>
      <c r="F29" s="26">
        <f>E29*D29*B29+B29*1000*C29</f>
        <v>8040907.6950599989</v>
      </c>
    </row>
    <row r="30" spans="1:6" x14ac:dyDescent="0.3">
      <c r="A30" t="s">
        <v>148</v>
      </c>
      <c r="B30" s="61">
        <f>'London Olympics Venues'!B58*($B$98+$B$99)/'London Olympics Venues'!$B$163</f>
        <v>6357.4533333333329</v>
      </c>
      <c r="C30" s="23">
        <f>AVERAGE('London Olympics Venues'!$B$74:$B$77)</f>
        <v>1.6524999999999999</v>
      </c>
      <c r="D30">
        <v>115</v>
      </c>
      <c r="E30">
        <v>7.1300000000000002E-2</v>
      </c>
      <c r="F30" s="26">
        <f>E30*D30*B30+B30*1000*C30</f>
        <v>10557819.571939999</v>
      </c>
    </row>
    <row r="31" spans="1:6" x14ac:dyDescent="0.3">
      <c r="A31" t="s">
        <v>149</v>
      </c>
      <c r="B31" s="61">
        <f>'London Olympics Venues'!B59*($B$98+$B$99)/'London Olympics Venues'!$B$163</f>
        <v>141.30000000000001</v>
      </c>
      <c r="C31" s="23">
        <f>VLOOKUP(A31, 'London Olympics Venues'!$A$74:$B$136, 2, FALSE)</f>
        <v>13.7</v>
      </c>
      <c r="D31">
        <v>115</v>
      </c>
      <c r="E31">
        <v>7.1300000000000002E-2</v>
      </c>
      <c r="F31" s="26">
        <f>E31*D31*B31+B31*1000*C31</f>
        <v>1936968.58935</v>
      </c>
    </row>
    <row r="32" spans="1:6" x14ac:dyDescent="0.3">
      <c r="A32" t="s">
        <v>150</v>
      </c>
      <c r="B32" s="61">
        <f>'London Olympics Venues'!B60*($B$98+$B$99)/'London Olympics Venues'!$B$163</f>
        <v>1603.4933333333333</v>
      </c>
      <c r="C32" s="23">
        <f>AVERAGE('London Olympics Venues'!$B$74:$B$136)</f>
        <v>1.8011290322580646</v>
      </c>
      <c r="D32">
        <v>115</v>
      </c>
      <c r="E32">
        <v>7.1300000000000002E-2</v>
      </c>
      <c r="F32" s="26">
        <f>E32*D32*B32+B32*1000*C32</f>
        <v>2901246.2392855915</v>
      </c>
    </row>
    <row r="33" spans="1:6" x14ac:dyDescent="0.3">
      <c r="A33" t="s">
        <v>151</v>
      </c>
      <c r="B33" s="61">
        <f>'London Olympics Venues'!B61*($B$98+$B$99)/'London Olympics Venues'!$B$163</f>
        <v>518.1</v>
      </c>
      <c r="C33" s="23">
        <f>VLOOKUP(A33, 'London Olympics Venues'!$A$74:$B$136, 2, FALSE)</f>
        <v>3.31</v>
      </c>
      <c r="D33">
        <v>115</v>
      </c>
      <c r="E33">
        <v>7.1300000000000002E-2</v>
      </c>
      <c r="F33" s="26">
        <f>E33*D33*B33+B33*1000*C33</f>
        <v>1719159.1609499999</v>
      </c>
    </row>
    <row r="34" spans="1:6" x14ac:dyDescent="0.3">
      <c r="A34" t="s">
        <v>83</v>
      </c>
      <c r="B34" s="61">
        <f>'London Olympics Venues'!B62*($B$98+$B$99)/'London Olympics Venues'!$B$163</f>
        <v>1082.2533333333333</v>
      </c>
      <c r="C34" s="23">
        <f>'London Olympics Venues'!B91</f>
        <v>1.27</v>
      </c>
      <c r="D34">
        <v>64</v>
      </c>
      <c r="E34">
        <v>7.1300000000000002E-2</v>
      </c>
      <c r="F34" s="26">
        <f>E34*D34*B34+B34*1000*C34</f>
        <v>1379400.2717439998</v>
      </c>
    </row>
    <row r="35" spans="1:6" x14ac:dyDescent="0.3">
      <c r="A35" t="s">
        <v>322</v>
      </c>
      <c r="B35" s="61">
        <f>'London Olympics Venues'!B63*($B$98+$B$99)/'London Olympics Venues'!$B$163</f>
        <v>512.86666666666667</v>
      </c>
      <c r="C35" s="23">
        <f>'London Olympics Venues'!B132</f>
        <v>0.65</v>
      </c>
      <c r="D35">
        <v>64</v>
      </c>
      <c r="E35">
        <v>7.1300000000000002E-2</v>
      </c>
      <c r="F35" s="26">
        <f>E35*D35*B35+B35*1000*C35</f>
        <v>335703.64650666673</v>
      </c>
    </row>
    <row r="36" spans="1:6" x14ac:dyDescent="0.3">
      <c r="A36" t="s">
        <v>153</v>
      </c>
      <c r="B36" s="61">
        <f>'London Olympics Venues'!B64*($B$98+$B$99)/'London Olympics Venues'!$B$163</f>
        <v>4738.26</v>
      </c>
      <c r="C36" s="23">
        <f>'London Olympics Venues'!B112</f>
        <v>0.22</v>
      </c>
      <c r="D36">
        <v>64</v>
      </c>
      <c r="E36">
        <v>7.1300000000000002E-2</v>
      </c>
      <c r="F36" s="26">
        <f>E36*D36*B36+B36*1000*C36</f>
        <v>1064038.828032</v>
      </c>
    </row>
    <row r="37" spans="1:6" x14ac:dyDescent="0.3">
      <c r="A37" t="s">
        <v>154</v>
      </c>
      <c r="B37" s="61">
        <f>'London Olympics Venues'!B65*($B$98+$B$99)/'London Olympics Venues'!$B$163</f>
        <v>915965.21333333338</v>
      </c>
      <c r="C37" s="23">
        <f>AVERAGE('London Olympics Venues'!$B$78:$B$89)</f>
        <v>0.22750000000000004</v>
      </c>
      <c r="D37">
        <v>98</v>
      </c>
      <c r="E37">
        <v>7.1300000000000002E-2</v>
      </c>
      <c r="F37" s="26">
        <f>E37*D37*B37+B37*1000*C37</f>
        <v>214782301.3649787</v>
      </c>
    </row>
    <row r="38" spans="1:6" x14ac:dyDescent="0.3">
      <c r="A38" t="s">
        <v>323</v>
      </c>
      <c r="B38" s="61">
        <f>'London Olympics Venues'!B66*($B$98+$B$99)/'London Olympics Venues'!$B$163</f>
        <v>22381.919999999998</v>
      </c>
      <c r="C38" s="23">
        <f>'London Olympics Venues'!B133</f>
        <v>0.38</v>
      </c>
      <c r="D38">
        <v>64</v>
      </c>
      <c r="E38">
        <v>7.1300000000000002E-2</v>
      </c>
      <c r="F38" s="26">
        <f>E38*D38*B38+B38*1000*C38</f>
        <v>8607262.7773439996</v>
      </c>
    </row>
    <row r="39" spans="1:6" x14ac:dyDescent="0.3">
      <c r="A39" t="s">
        <v>324</v>
      </c>
      <c r="B39" s="61">
        <f>'London Olympics Venues'!B67*($B$98+$B$99)/'London Olympics Venues'!$B$163</f>
        <v>18913.266666666666</v>
      </c>
      <c r="C39" s="23">
        <f>'London Olympics Venues'!B134</f>
        <v>1.86</v>
      </c>
      <c r="D39">
        <v>64</v>
      </c>
      <c r="E39">
        <v>7.1300000000000002E-2</v>
      </c>
      <c r="F39" s="26">
        <f>E39*D39*B39+B39*1000*C39</f>
        <v>35264981.018453337</v>
      </c>
    </row>
    <row r="40" spans="1:6" x14ac:dyDescent="0.3">
      <c r="A40" t="s">
        <v>77</v>
      </c>
      <c r="B40" s="61">
        <f>'London Olympics Venues'!B68*($B$98+$B$99)/'London Olympics Venues'!$B$163</f>
        <v>170.60666666666665</v>
      </c>
      <c r="C40" s="23">
        <f>VLOOKUP(A40, 'London Olympics Venues'!$A$74:$B$136, 2, FALSE)</f>
        <v>1.32</v>
      </c>
      <c r="D40">
        <v>64</v>
      </c>
      <c r="E40">
        <v>7.1300000000000002E-2</v>
      </c>
      <c r="F40" s="26">
        <f>E40*D40*B40+B40*1000*C40</f>
        <v>225979.31234133331</v>
      </c>
    </row>
    <row r="41" spans="1:6" x14ac:dyDescent="0.3">
      <c r="A41" t="s">
        <v>157</v>
      </c>
      <c r="B41" s="61">
        <f>'London Olympics Venues'!B69*($B$98+$B$99)/'London Olympics Venues'!$B$163</f>
        <v>177.93333333333334</v>
      </c>
      <c r="C41" s="23">
        <f>VLOOKUP(A41, 'London Olympics Venues'!$A$74:$B$136, 2, FALSE)</f>
        <v>3.18</v>
      </c>
      <c r="D41">
        <v>64</v>
      </c>
      <c r="E41">
        <v>7.1300000000000002E-2</v>
      </c>
      <c r="F41" s="26">
        <f>E41*D41*B41+B41*1000*C41</f>
        <v>566639.9453866668</v>
      </c>
    </row>
    <row r="42" spans="1:6" x14ac:dyDescent="0.3">
      <c r="A42" t="s">
        <v>158</v>
      </c>
      <c r="B42" s="61">
        <f>'London Olympics Venues'!B70*($B$98+$B$99)/'London Olympics Venues'!$B$163</f>
        <v>396.68666666666667</v>
      </c>
      <c r="C42" s="23">
        <f>AVERAGE('London Olympics Venues'!$B$74:$B$136)</f>
        <v>1.8011290322580646</v>
      </c>
      <c r="D42">
        <v>64</v>
      </c>
      <c r="E42">
        <v>7.1300000000000002E-2</v>
      </c>
      <c r="F42" s="26">
        <f>E42*D42*B42+B42*1000*C42</f>
        <v>716294.03264034423</v>
      </c>
    </row>
    <row r="43" spans="1:6" x14ac:dyDescent="0.3">
      <c r="A43" s="13" t="s">
        <v>254</v>
      </c>
      <c r="F43" s="26">
        <f>SUM(F11:F42)</f>
        <v>390961179.3312397</v>
      </c>
    </row>
    <row r="45" spans="1:6" ht="20" x14ac:dyDescent="0.4">
      <c r="A45" s="5" t="s">
        <v>326</v>
      </c>
    </row>
    <row r="46" spans="1:6" x14ac:dyDescent="0.3">
      <c r="A46" s="13" t="s">
        <v>127</v>
      </c>
      <c r="B46" s="13" t="s">
        <v>203</v>
      </c>
      <c r="C46" s="13" t="s">
        <v>327</v>
      </c>
      <c r="D46" s="13" t="s">
        <v>129</v>
      </c>
      <c r="E46" s="13" t="s">
        <v>325</v>
      </c>
      <c r="F46" s="13" t="s">
        <v>328</v>
      </c>
    </row>
    <row r="47" spans="1:6" x14ac:dyDescent="0.3">
      <c r="A47" t="s">
        <v>164</v>
      </c>
      <c r="B47" s="62">
        <f>'London Olympics Venues'!B140*'Paris Olympics Venues'!$B$97/'London Olympics Venues'!$B$162</f>
        <v>7890.6285714285714</v>
      </c>
      <c r="C47" s="23">
        <f>VLOOKUP(A47, 'London Olympics Venues'!$A$74:$B$136, 2, FALSE)</f>
        <v>0.18</v>
      </c>
      <c r="D47" s="23">
        <f>'London Olympics Venues'!$B$30</f>
        <v>98</v>
      </c>
      <c r="E47">
        <v>7.1300000000000002E-2</v>
      </c>
      <c r="F47" s="26">
        <f>E47*D47*B47+B47*1000*C47</f>
        <v>1475448.120937143</v>
      </c>
    </row>
    <row r="48" spans="1:6" x14ac:dyDescent="0.3">
      <c r="A48" t="s">
        <v>165</v>
      </c>
      <c r="B48" s="62">
        <f>'London Olympics Venues'!B141*'Paris Olympics Venues'!$B$97/'London Olympics Venues'!$B$162</f>
        <v>7248.8</v>
      </c>
      <c r="C48" s="23">
        <f>VLOOKUP(A48, 'London Olympics Venues'!$A$74:$B$136, 2, FALSE)</f>
        <v>0.18</v>
      </c>
      <c r="D48" s="23">
        <f>'London Olympics Venues'!$B$30</f>
        <v>98</v>
      </c>
      <c r="E48">
        <v>7.1300000000000002E-2</v>
      </c>
      <c r="F48" s="26">
        <f>E48*D48*B48+B48*1000*C48</f>
        <v>1355434.2651200001</v>
      </c>
    </row>
    <row r="49" spans="1:6" x14ac:dyDescent="0.3">
      <c r="A49" t="s">
        <v>166</v>
      </c>
      <c r="B49" s="62">
        <f>'London Olympics Venues'!B142*'Paris Olympics Venues'!$B$97/'London Olympics Venues'!$B$162</f>
        <v>2337.7714285714287</v>
      </c>
      <c r="C49" s="23">
        <f>VLOOKUP(A49, 'London Olympics Venues'!$A$74:$B$136, 2, FALSE)</f>
        <v>0.19</v>
      </c>
      <c r="D49" s="23">
        <f>'London Olympics Venues'!$B$30</f>
        <v>98</v>
      </c>
      <c r="E49">
        <v>7.1300000000000002E-2</v>
      </c>
      <c r="F49" s="26">
        <f>E49*D49*B49+B49*1000*C49</f>
        <v>460511.51550857141</v>
      </c>
    </row>
    <row r="50" spans="1:6" x14ac:dyDescent="0.3">
      <c r="A50" t="s">
        <v>167</v>
      </c>
      <c r="B50" s="62">
        <f>'London Olympics Venues'!B143*'Paris Olympics Venues'!$B$97/'London Olympics Venues'!$B$162</f>
        <v>33260.685714285712</v>
      </c>
      <c r="C50" s="23">
        <f>VLOOKUP(A50, 'London Olympics Venues'!$A$74:$B$136, 2, FALSE)</f>
        <v>0.2</v>
      </c>
      <c r="D50" s="23">
        <f>'London Olympics Venues'!$B$30</f>
        <v>98</v>
      </c>
      <c r="E50">
        <v>7.1300000000000002E-2</v>
      </c>
      <c r="F50" s="26">
        <f>E50*D50*B50+B50*1000*C50</f>
        <v>6884542.8582171425</v>
      </c>
    </row>
    <row r="51" spans="1:6" x14ac:dyDescent="0.3">
      <c r="A51" t="s">
        <v>168</v>
      </c>
      <c r="B51" s="62">
        <f>'London Olympics Venues'!B144*'Paris Olympics Venues'!$B$97/'London Olympics Venues'!$B$162</f>
        <v>2.2285714285714286</v>
      </c>
      <c r="C51" s="23">
        <f>VLOOKUP(A51, 'London Olympics Venues'!$A$74:$B$136, 2, FALSE)</f>
        <v>0.21</v>
      </c>
      <c r="D51" s="23">
        <f>'London Olympics Venues'!$B$30</f>
        <v>98</v>
      </c>
      <c r="E51">
        <v>7.1300000000000002E-2</v>
      </c>
      <c r="F51" s="26">
        <f>E51*D51*B51+B51*1000*C51</f>
        <v>483.57191999999992</v>
      </c>
    </row>
    <row r="52" spans="1:6" x14ac:dyDescent="0.3">
      <c r="A52" t="s">
        <v>169</v>
      </c>
      <c r="B52" s="62">
        <f>'London Olympics Venues'!B145*'Paris Olympics Venues'!$B$97/'London Olympics Venues'!$B$162</f>
        <v>1018.4571428571429</v>
      </c>
      <c r="C52" s="23">
        <f>VLOOKUP(A52, 'London Olympics Venues'!$A$74:$B$136, 2, FALSE)</f>
        <v>0.22</v>
      </c>
      <c r="D52" s="23">
        <f>'London Olympics Venues'!$B$30</f>
        <v>98</v>
      </c>
      <c r="E52">
        <v>7.1300000000000002E-2</v>
      </c>
      <c r="F52" s="26">
        <f>E52*D52*B52+B52*1000*C52</f>
        <v>231176.93886857145</v>
      </c>
    </row>
    <row r="53" spans="1:6" x14ac:dyDescent="0.3">
      <c r="A53" t="s">
        <v>204</v>
      </c>
      <c r="B53" s="62">
        <f>'London Olympics Venues'!B146*'Paris Olympics Venues'!$B$97/'London Olympics Venues'!$B$162</f>
        <v>23.028571428571428</v>
      </c>
      <c r="C53" s="23">
        <f>'London Olympics Venues'!B90</f>
        <v>2.5299999999999998</v>
      </c>
      <c r="D53" s="23">
        <f>'London Olympics Venues'!$B$6</f>
        <v>64</v>
      </c>
      <c r="E53">
        <v>7.1300000000000002E-2</v>
      </c>
      <c r="F53" s="26">
        <f>E53*D53*B53+B53*1000*C53</f>
        <v>58367.369691428568</v>
      </c>
    </row>
    <row r="54" spans="1:6" x14ac:dyDescent="0.3">
      <c r="A54" t="s">
        <v>205</v>
      </c>
      <c r="B54" s="62">
        <f>'London Olympics Venues'!B147*'Paris Olympics Venues'!$B$97/'London Olympics Venues'!$B$162</f>
        <v>10781.828571428572</v>
      </c>
      <c r="C54" s="23">
        <f>'London Olympics Venues'!B78</f>
        <v>0.17</v>
      </c>
      <c r="D54" s="23">
        <f>'London Olympics Venues'!$B$30</f>
        <v>98</v>
      </c>
      <c r="E54">
        <v>7.1300000000000002E-2</v>
      </c>
      <c r="F54" s="26">
        <f>E54*D54*B54+B54*1000*C54</f>
        <v>1908247.8061028575</v>
      </c>
    </row>
    <row r="55" spans="1:6" x14ac:dyDescent="0.3">
      <c r="A55" t="s">
        <v>206</v>
      </c>
      <c r="B55" s="62">
        <f>'London Olympics Venues'!B148*'Paris Olympics Venues'!$B$97/'London Olympics Venues'!$B$162</f>
        <v>12747.428571428571</v>
      </c>
      <c r="C55" s="23">
        <f>'London Olympics Venues'!B78</f>
        <v>0.17</v>
      </c>
      <c r="D55" s="23">
        <f>'London Olympics Venues'!$B$30</f>
        <v>98</v>
      </c>
      <c r="E55">
        <v>7.1300000000000002E-2</v>
      </c>
      <c r="F55" s="26">
        <f>E55*D55*B55+B55*1000*C55</f>
        <v>2256134.2395428573</v>
      </c>
    </row>
    <row r="56" spans="1:6" x14ac:dyDescent="0.3">
      <c r="A56" t="s">
        <v>83</v>
      </c>
      <c r="B56" s="62">
        <f>'London Olympics Venues'!B149*'Paris Olympics Venues'!$B$97/'London Olympics Venues'!$B$162</f>
        <v>9.6571428571428566</v>
      </c>
      <c r="C56" s="23">
        <f>C34</f>
        <v>1.27</v>
      </c>
      <c r="D56" s="23">
        <f>VLOOKUP(A56, 'London Olympics Venues'!$A$4:$B$35, 2, FALSE)</f>
        <v>64</v>
      </c>
      <c r="E56">
        <v>7.1300000000000002E-2</v>
      </c>
      <c r="F56" s="26">
        <f>E56*D56*B56+B56*1000*C56</f>
        <v>12308.638902857141</v>
      </c>
    </row>
    <row r="57" spans="1:6" x14ac:dyDescent="0.3">
      <c r="A57" t="s">
        <v>207</v>
      </c>
      <c r="B57" s="62">
        <f>'London Olympics Venues'!B150*'Paris Olympics Venues'!$B$97/'London Olympics Venues'!$B$162</f>
        <v>5.9428571428571431</v>
      </c>
      <c r="C57" s="23">
        <f>C42</f>
        <v>1.8011290322580646</v>
      </c>
      <c r="D57" s="23">
        <f>AVERAGE('London Olympics Venues'!$B$4:$B$35)</f>
        <v>90.34375</v>
      </c>
      <c r="E57">
        <v>7.1300000000000002E-2</v>
      </c>
      <c r="F57" s="26">
        <f>E57*D57*B57+B57*1000*C57</f>
        <v>10742.133504562213</v>
      </c>
    </row>
    <row r="58" spans="1:6" x14ac:dyDescent="0.3">
      <c r="A58" t="s">
        <v>208</v>
      </c>
      <c r="B58" s="62">
        <f>'London Olympics Venues'!B151*'Paris Olympics Venues'!$B$97/'London Olympics Venues'!$B$162</f>
        <v>30461.599999999999</v>
      </c>
      <c r="C58" s="23">
        <f>C42</f>
        <v>1.8011290322580646</v>
      </c>
      <c r="D58" s="23">
        <f>AVERAGE('London Olympics Venues'!$B$4:$B$35)</f>
        <v>90.34375</v>
      </c>
      <c r="E58">
        <v>7.1300000000000002E-2</v>
      </c>
      <c r="F58" s="26">
        <f>E58*D58*B58+B58*1000*C58</f>
        <v>55061490.811009765</v>
      </c>
    </row>
    <row r="59" spans="1:6" x14ac:dyDescent="0.3">
      <c r="A59" t="s">
        <v>182</v>
      </c>
      <c r="B59" s="62">
        <f>'London Olympics Venues'!B152*'Paris Olympics Venues'!$B$97/'London Olympics Venues'!$B$162</f>
        <v>58.685714285714283</v>
      </c>
      <c r="C59" s="23">
        <f>VLOOKUP(A59, 'London Olympics Venues'!$A$74:$B$136, 2, FALSE)</f>
        <v>2.7</v>
      </c>
      <c r="D59" s="23">
        <f>AVERAGE('London Olympics Venues'!$B$4:$B$35)</f>
        <v>90.34375</v>
      </c>
      <c r="E59">
        <v>7.1300000000000002E-2</v>
      </c>
      <c r="F59" s="26">
        <f>E59*D59*B59+B59*1000*C59</f>
        <v>158829.45315017857</v>
      </c>
    </row>
    <row r="60" spans="1:6" x14ac:dyDescent="0.3">
      <c r="A60" t="s">
        <v>209</v>
      </c>
      <c r="B60" s="62">
        <f>'London Olympics Venues'!B153*'Paris Olympics Venues'!$B$97/'London Olympics Venues'!$B$162</f>
        <v>72.057142857142864</v>
      </c>
      <c r="C60" s="23">
        <f>C39</f>
        <v>1.86</v>
      </c>
      <c r="D60" s="23">
        <f>AVERAGE('London Olympics Venues'!$B$4:$B$35)</f>
        <v>90.34375</v>
      </c>
      <c r="E60">
        <v>7.1300000000000002E-2</v>
      </c>
      <c r="F60" s="26">
        <f>E60*D60*B60+B60*1000*C60</f>
        <v>134490.44247553573</v>
      </c>
    </row>
    <row r="61" spans="1:6" x14ac:dyDescent="0.3">
      <c r="A61" t="s">
        <v>210</v>
      </c>
      <c r="B61" s="62">
        <f>'London Olympics Venues'!B154*'Paris Olympics Venues'!$B$97/'London Olympics Venues'!$B$162</f>
        <v>22258.971428571429</v>
      </c>
      <c r="C61" s="23">
        <f>AVERAGE('London Olympics Venues'!B79:B89)</f>
        <v>0.23272727272727273</v>
      </c>
      <c r="D61" s="23">
        <f>'London Olympics Venues'!$B$30</f>
        <v>98</v>
      </c>
      <c r="E61">
        <v>7.1300000000000002E-2</v>
      </c>
      <c r="F61" s="26">
        <f>E61*D61*B61+B61*1000*C61</f>
        <v>5335802.0512457145</v>
      </c>
    </row>
    <row r="62" spans="1:6" x14ac:dyDescent="0.3">
      <c r="A62" t="s">
        <v>148</v>
      </c>
      <c r="B62" s="62">
        <f>'London Olympics Venues'!B155*'Paris Olympics Venues'!$B$97/'London Olympics Venues'!$B$162</f>
        <v>2182.5142857142855</v>
      </c>
      <c r="C62" s="23">
        <f>AVERAGE('London Olympics Venues'!B74:B77)</f>
        <v>1.6524999999999999</v>
      </c>
      <c r="D62" s="23">
        <f>VLOOKUP(A62, 'London Olympics Venues'!$A$4:$B$35, 2, FALSE)</f>
        <v>115</v>
      </c>
      <c r="E62">
        <v>7.1300000000000002E-2</v>
      </c>
      <c r="F62" s="26">
        <f>E62*D62*B62+B62*1000*C62</f>
        <v>3624500.3830285706</v>
      </c>
    </row>
    <row r="63" spans="1:6" x14ac:dyDescent="0.3">
      <c r="A63" t="s">
        <v>211</v>
      </c>
      <c r="B63" s="62">
        <f>'London Olympics Venues'!B156*'Paris Olympics Venues'!$B$97/'London Olympics Venues'!$B$162</f>
        <v>1396.5714285714287</v>
      </c>
      <c r="C63" s="23">
        <f>AVERAGE('London Olympics Venues'!B74:B77)</f>
        <v>1.6524999999999999</v>
      </c>
      <c r="D63" s="23">
        <f>'London Olympics Venues'!B23</f>
        <v>115</v>
      </c>
      <c r="E63">
        <v>7.1300000000000002E-2</v>
      </c>
      <c r="F63" s="26">
        <f>E63*D63*B63+B63*1000*C63</f>
        <v>2319285.4731428567</v>
      </c>
    </row>
    <row r="64" spans="1:6" x14ac:dyDescent="0.3">
      <c r="A64" t="s">
        <v>176</v>
      </c>
      <c r="B64" s="62">
        <f>'London Olympics Venues'!B157*'Paris Olympics Venues'!$B$97/'London Olympics Venues'!$B$162</f>
        <v>18.571428571428573</v>
      </c>
      <c r="C64" s="23">
        <f>VLOOKUP(A64, 'London Olympics Venues'!$A$74:$B$136, 2, FALSE)</f>
        <v>1.27</v>
      </c>
      <c r="D64" s="23">
        <f>'London Olympics Venues'!B27</f>
        <v>64</v>
      </c>
      <c r="E64">
        <v>7.1300000000000002E-2</v>
      </c>
      <c r="F64" s="26">
        <f>E64*D64*B64+B64*1000*C64</f>
        <v>23670.45942857143</v>
      </c>
    </row>
    <row r="65" spans="1:6" x14ac:dyDescent="0.3">
      <c r="A65" t="s">
        <v>212</v>
      </c>
      <c r="B65" s="62">
        <f>'London Olympics Venues'!B158*'Paris Olympics Venues'!$B$97/'London Olympics Venues'!$B$162</f>
        <v>18.571428571428573</v>
      </c>
      <c r="C65" s="23">
        <f>AVERAGE('London Olympics Venues'!B76:B79)</f>
        <v>0.87000000000000011</v>
      </c>
      <c r="D65" s="23">
        <f>AVERAGE('London Olympics Venues'!$B$4:$B$35)</f>
        <v>90.34375</v>
      </c>
      <c r="E65">
        <v>7.1300000000000002E-2</v>
      </c>
      <c r="F65" s="26">
        <f>E65*D65*B65+B65*1000*C65</f>
        <v>16276.770888392861</v>
      </c>
    </row>
    <row r="66" spans="1:6" x14ac:dyDescent="0.3">
      <c r="A66" t="s">
        <v>213</v>
      </c>
      <c r="B66" s="62">
        <f>'London Olympics Venues'!B159*'Paris Olympics Venues'!$B$97/'London Olympics Venues'!$B$162</f>
        <v>1467.1428571428571</v>
      </c>
      <c r="C66" s="23">
        <f>AVERAGE('London Olympics Venues'!B74:B77)</f>
        <v>1.6524999999999999</v>
      </c>
      <c r="D66" s="23">
        <f>'London Olympics Venues'!B23</f>
        <v>115</v>
      </c>
      <c r="E66">
        <v>7.1300000000000002E-2</v>
      </c>
      <c r="F66" s="26">
        <f>E66*D66*B66+B66*1000*C66</f>
        <v>2436483.4092857139</v>
      </c>
    </row>
    <row r="67" spans="1:6" x14ac:dyDescent="0.3">
      <c r="A67" s="13" t="s">
        <v>254</v>
      </c>
      <c r="F67" s="26">
        <f>SUM(F47:F66)</f>
        <v>83764226.711971313</v>
      </c>
    </row>
    <row r="69" spans="1:6" ht="20" x14ac:dyDescent="0.4">
      <c r="A69" s="5" t="s">
        <v>339</v>
      </c>
    </row>
    <row r="70" spans="1:6" x14ac:dyDescent="0.3">
      <c r="A70" s="13" t="s">
        <v>330</v>
      </c>
      <c r="B70" s="13" t="s">
        <v>331</v>
      </c>
      <c r="C70" s="13" t="s">
        <v>332</v>
      </c>
      <c r="D70" s="13" t="s">
        <v>333</v>
      </c>
      <c r="E70" s="13" t="s">
        <v>334</v>
      </c>
    </row>
    <row r="71" spans="1:6" x14ac:dyDescent="0.3">
      <c r="A71" t="s">
        <v>335</v>
      </c>
      <c r="B71" s="61">
        <v>151</v>
      </c>
      <c r="C71" s="21">
        <v>36</v>
      </c>
      <c r="D71" s="26">
        <v>1575</v>
      </c>
      <c r="E71" s="26">
        <f>D71*C71*B71</f>
        <v>8561700</v>
      </c>
    </row>
    <row r="72" spans="1:6" x14ac:dyDescent="0.3">
      <c r="A72" t="s">
        <v>336</v>
      </c>
      <c r="B72" s="61">
        <v>106.87</v>
      </c>
      <c r="C72" s="21">
        <v>36</v>
      </c>
      <c r="D72" s="26">
        <v>1575</v>
      </c>
      <c r="E72" s="26">
        <f>D72*C72*B72</f>
        <v>6059529</v>
      </c>
    </row>
    <row r="73" spans="1:6" x14ac:dyDescent="0.3">
      <c r="A73" t="s">
        <v>337</v>
      </c>
      <c r="B73" s="61">
        <v>1446.83</v>
      </c>
      <c r="C73" s="21">
        <v>36</v>
      </c>
      <c r="D73" s="26">
        <v>1575</v>
      </c>
      <c r="E73" s="26">
        <f>D73*C73*B73</f>
        <v>82035261</v>
      </c>
    </row>
    <row r="74" spans="1:6" x14ac:dyDescent="0.3">
      <c r="A74" t="s">
        <v>338</v>
      </c>
      <c r="B74" s="61">
        <v>83.53</v>
      </c>
      <c r="C74" s="21">
        <v>36</v>
      </c>
      <c r="D74" s="26">
        <v>1575</v>
      </c>
      <c r="E74" s="26">
        <f>D74*C74*B74</f>
        <v>4736151</v>
      </c>
    </row>
    <row r="75" spans="1:6" x14ac:dyDescent="0.3">
      <c r="A75" s="13" t="s">
        <v>254</v>
      </c>
      <c r="B75" s="21"/>
      <c r="C75" s="21"/>
      <c r="D75" s="26"/>
      <c r="E75" s="26">
        <f>SUM(E71:E74)</f>
        <v>101392641</v>
      </c>
    </row>
    <row r="96" spans="1:1" ht="20" x14ac:dyDescent="0.3">
      <c r="A96" s="15" t="s">
        <v>313</v>
      </c>
    </row>
    <row r="97" spans="1:2" ht="56" x14ac:dyDescent="0.3">
      <c r="A97" s="48" t="s">
        <v>314</v>
      </c>
      <c r="B97" s="47">
        <v>13000</v>
      </c>
    </row>
    <row r="98" spans="1:2" ht="28" x14ac:dyDescent="0.3">
      <c r="A98" s="48" t="s">
        <v>317</v>
      </c>
      <c r="B98" s="47">
        <f>14250+8000</f>
        <v>22250</v>
      </c>
    </row>
    <row r="99" spans="1:2" ht="28" x14ac:dyDescent="0.3">
      <c r="A99" s="48" t="s">
        <v>318</v>
      </c>
      <c r="B99" s="47">
        <v>1300</v>
      </c>
    </row>
    <row r="100" spans="1:2" ht="70" x14ac:dyDescent="0.3">
      <c r="A100" s="48" t="s">
        <v>329</v>
      </c>
      <c r="B100">
        <v>1.575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25CB-1FB5-48D4-852C-62E35AA1D3B3}">
  <dimension ref="A1:B4"/>
  <sheetViews>
    <sheetView workbookViewId="0">
      <selection sqref="A1:B4"/>
    </sheetView>
  </sheetViews>
  <sheetFormatPr defaultRowHeight="14" x14ac:dyDescent="0.3"/>
  <cols>
    <col min="1" max="1" width="21" customWidth="1"/>
    <col min="2" max="2" width="17" customWidth="1"/>
  </cols>
  <sheetData>
    <row r="1" spans="1:2" ht="20" x14ac:dyDescent="0.4">
      <c r="A1" s="5" t="s">
        <v>344</v>
      </c>
    </row>
    <row r="2" spans="1:2" x14ac:dyDescent="0.3">
      <c r="A2" s="12" t="s">
        <v>346</v>
      </c>
      <c r="B2" s="12" t="s">
        <v>275</v>
      </c>
    </row>
    <row r="3" spans="1:2" x14ac:dyDescent="0.3">
      <c r="A3" t="s">
        <v>285</v>
      </c>
      <c r="B3" s="44">
        <v>591000000</v>
      </c>
    </row>
    <row r="4" spans="1:2" x14ac:dyDescent="0.3">
      <c r="A4" t="s">
        <v>345</v>
      </c>
      <c r="B4" s="44">
        <v>868000000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F31DA-466B-4C1F-9BE0-C987A1CC831E}">
  <dimension ref="A1:B4"/>
  <sheetViews>
    <sheetView tabSelected="1" workbookViewId="0">
      <selection activeCell="A10" sqref="A10"/>
    </sheetView>
  </sheetViews>
  <sheetFormatPr defaultRowHeight="14" x14ac:dyDescent="0.3"/>
  <cols>
    <col min="1" max="1" width="23.1640625" customWidth="1"/>
    <col min="2" max="2" width="12.25" customWidth="1"/>
  </cols>
  <sheetData>
    <row r="1" spans="1:2" ht="20" x14ac:dyDescent="0.4">
      <c r="A1" s="5" t="s">
        <v>347</v>
      </c>
    </row>
    <row r="2" spans="1:2" x14ac:dyDescent="0.3">
      <c r="A2" s="12" t="s">
        <v>346</v>
      </c>
      <c r="B2" s="12" t="s">
        <v>275</v>
      </c>
    </row>
    <row r="3" spans="1:2" x14ac:dyDescent="0.3">
      <c r="A3" t="s">
        <v>286</v>
      </c>
      <c r="B3" s="63">
        <f>AVERAGE('London &amp; Rio Infrastructure'!B3:B4)</f>
        <v>729500000</v>
      </c>
    </row>
    <row r="4" spans="1:2" x14ac:dyDescent="0.3">
      <c r="B4" s="4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London Olympics Spectators</vt:lpstr>
      <vt:lpstr>Paris Olympics Spectators</vt:lpstr>
      <vt:lpstr>London Olympics Operation</vt:lpstr>
      <vt:lpstr>Paris Olympics Operation</vt:lpstr>
      <vt:lpstr>London Olympics Venues</vt:lpstr>
      <vt:lpstr>Paris Olympics Venues</vt:lpstr>
      <vt:lpstr>London &amp; Rio Infrastructure</vt:lpstr>
      <vt:lpstr>Paris Infrastructure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quanj</dc:creator>
  <cp:lastModifiedBy>Quan, Quan Junyu</cp:lastModifiedBy>
  <dcterms:created xsi:type="dcterms:W3CDTF">2015-06-05T18:17:20Z</dcterms:created>
  <dcterms:modified xsi:type="dcterms:W3CDTF">2024-09-02T00:20:36Z</dcterms:modified>
</cp:coreProperties>
</file>