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420" windowWidth="18795" windowHeight="11460" activeTab="2"/>
  </bookViews>
  <sheets>
    <sheet name="Sommaire" sheetId="3" r:id="rId1"/>
    <sheet name="EMV" sheetId="2" r:id="rId2"/>
    <sheet name="VISA" sheetId="6" r:id="rId3"/>
    <sheet name="MCW" sheetId="8" r:id="rId4"/>
    <sheet name="CB" sheetId="13" r:id="rId5"/>
    <sheet name="Conversion Tables IP" sheetId="7" r:id="rId6"/>
    <sheet name="Code Service" sheetId="9" r:id="rId7"/>
    <sheet name="CB - PP1.4" sheetId="11" r:id="rId8"/>
    <sheet name="Feuil2" sheetId="12" r:id="rId9"/>
    <sheet name="Feuil1" sheetId="14" r:id="rId10"/>
  </sheets>
  <definedNames>
    <definedName name="CVR">MCW!$A$71</definedName>
    <definedName name="EMV_Add_Terminal_Cap">EMV!$A$115</definedName>
    <definedName name="EMV_AIP" localSheetId="4">CB!$A$14</definedName>
    <definedName name="EMV_AIP">EMV!$A$46</definedName>
    <definedName name="EMV_AUC">EMV!$A$67</definedName>
    <definedName name="EMV_Terminal_cap">EMV!$A$87</definedName>
    <definedName name="EMV_TSI">EMV!$A$160</definedName>
    <definedName name="EMV_TVR" localSheetId="4">CB!$A$1</definedName>
    <definedName name="EMV_TVR">EMV!$A$1</definedName>
    <definedName name="MCW_ARPC">MCW!$A$21</definedName>
    <definedName name="MCW_CIAC">MCW!$A$43</definedName>
    <definedName name="MCW_CVR">MCW!$A$71</definedName>
    <definedName name="MCW_D5">MCW!$A$1</definedName>
    <definedName name="TSI">EMV!$A$160</definedName>
    <definedName name="VISA_ADA">VISA!$A$1</definedName>
    <definedName name="VISA_CVR">VISA!$A$38</definedName>
  </definedNames>
  <calcPr calcId="145621"/>
</workbook>
</file>

<file path=xl/calcChain.xml><?xml version="1.0" encoding="utf-8"?>
<calcChain xmlns="http://schemas.openxmlformats.org/spreadsheetml/2006/main">
  <c r="B171" i="2" l="1"/>
  <c r="C178" i="2" s="1"/>
  <c r="B163" i="2"/>
  <c r="C167" i="2" s="1"/>
  <c r="G171" i="2"/>
  <c r="G163" i="2"/>
  <c r="E162" i="2" s="1"/>
  <c r="C171" i="2" l="1"/>
  <c r="C177" i="2"/>
  <c r="C164" i="2"/>
  <c r="C172" i="2"/>
  <c r="C168" i="2"/>
  <c r="C173" i="2"/>
  <c r="C175" i="2"/>
  <c r="C165" i="2"/>
  <c r="C169" i="2"/>
  <c r="C176" i="2"/>
  <c r="C166" i="2"/>
  <c r="C170" i="2"/>
  <c r="C163" i="2"/>
  <c r="C174" i="2"/>
  <c r="B150" i="2"/>
  <c r="C154" i="2" s="1"/>
  <c r="B142" i="2"/>
  <c r="C147" i="2" s="1"/>
  <c r="B134" i="2"/>
  <c r="C139" i="2" s="1"/>
  <c r="B126" i="2"/>
  <c r="C131" i="2" s="1"/>
  <c r="B118" i="2"/>
  <c r="C123" i="2" s="1"/>
  <c r="G150" i="2"/>
  <c r="G142" i="2"/>
  <c r="G134" i="2"/>
  <c r="G126" i="2"/>
  <c r="G118" i="2"/>
  <c r="E117" i="2" s="1"/>
  <c r="B106" i="2"/>
  <c r="C113" i="2" s="1"/>
  <c r="B98" i="2"/>
  <c r="C105" i="2" s="1"/>
  <c r="B90" i="2"/>
  <c r="C97" i="2" s="1"/>
  <c r="G106" i="2"/>
  <c r="G98" i="2"/>
  <c r="G90" i="2"/>
  <c r="C151" i="2" l="1"/>
  <c r="C155" i="2"/>
  <c r="C144" i="2"/>
  <c r="C148" i="2"/>
  <c r="C136" i="2"/>
  <c r="C140" i="2"/>
  <c r="C128" i="2"/>
  <c r="C132" i="2"/>
  <c r="C120" i="2"/>
  <c r="C124" i="2"/>
  <c r="C152" i="2"/>
  <c r="C156" i="2"/>
  <c r="C145" i="2"/>
  <c r="C149" i="2"/>
  <c r="C137" i="2"/>
  <c r="C141" i="2"/>
  <c r="C129" i="2"/>
  <c r="C133" i="2"/>
  <c r="C121" i="2"/>
  <c r="C125" i="2"/>
  <c r="C157" i="2"/>
  <c r="C153" i="2"/>
  <c r="C142" i="2"/>
  <c r="C146" i="2"/>
  <c r="C134" i="2"/>
  <c r="C138" i="2"/>
  <c r="C126" i="2"/>
  <c r="C130" i="2"/>
  <c r="C118" i="2"/>
  <c r="C122" i="2"/>
  <c r="C150" i="2"/>
  <c r="C143" i="2"/>
  <c r="C135" i="2"/>
  <c r="C127" i="2"/>
  <c r="C119" i="2"/>
  <c r="C90" i="2"/>
  <c r="C94" i="2"/>
  <c r="C98" i="2"/>
  <c r="C102" i="2"/>
  <c r="C106" i="2"/>
  <c r="C110" i="2"/>
  <c r="C91" i="2"/>
  <c r="C95" i="2"/>
  <c r="C99" i="2"/>
  <c r="C103" i="2"/>
  <c r="C107" i="2"/>
  <c r="C111" i="2"/>
  <c r="C92" i="2"/>
  <c r="C96" i="2"/>
  <c r="C100" i="2"/>
  <c r="C104" i="2"/>
  <c r="C108" i="2"/>
  <c r="C112" i="2"/>
  <c r="C93" i="2"/>
  <c r="C101" i="2"/>
  <c r="C109" i="2"/>
  <c r="E89" i="2"/>
  <c r="B78" i="2"/>
  <c r="C85" i="2" s="1"/>
  <c r="B70" i="2"/>
  <c r="C76" i="2" s="1"/>
  <c r="G78" i="2"/>
  <c r="G70" i="2"/>
  <c r="E69" i="2" s="1"/>
  <c r="C73" i="2" l="1"/>
  <c r="C77" i="2"/>
  <c r="C80" i="2"/>
  <c r="C84" i="2"/>
  <c r="C70" i="2"/>
  <c r="C74" i="2"/>
  <c r="C71" i="2"/>
  <c r="C75" i="2"/>
  <c r="C78" i="2"/>
  <c r="C82" i="2"/>
  <c r="C72" i="2"/>
  <c r="C79" i="2"/>
  <c r="C83" i="2"/>
  <c r="C81" i="2"/>
  <c r="B12" i="13"/>
  <c r="B4" i="13"/>
  <c r="C11" i="13" s="1"/>
  <c r="C32" i="13"/>
  <c r="G25" i="13"/>
  <c r="B25" i="13"/>
  <c r="C30" i="13" s="1"/>
  <c r="G17" i="13"/>
  <c r="B17" i="13"/>
  <c r="C24" i="13" s="1"/>
  <c r="E16" i="13" l="1"/>
  <c r="G12" i="13"/>
  <c r="D12" i="13" s="1"/>
  <c r="C22" i="13"/>
  <c r="E3" i="13"/>
  <c r="C18" i="13"/>
  <c r="C21" i="13"/>
  <c r="C8" i="13"/>
  <c r="C10" i="13"/>
  <c r="C4" i="13"/>
  <c r="D5" i="13" s="1"/>
  <c r="C6" i="13"/>
  <c r="D6" i="13" s="1"/>
  <c r="C27" i="13"/>
  <c r="C31" i="13"/>
  <c r="C29" i="13"/>
  <c r="C25" i="13"/>
  <c r="C28" i="13"/>
  <c r="C12" i="13"/>
  <c r="C19" i="13"/>
  <c r="C23" i="13"/>
  <c r="C7" i="13"/>
  <c r="C9" i="13"/>
  <c r="C17" i="13"/>
  <c r="C20" i="13"/>
  <c r="C26" i="13"/>
  <c r="D3" i="8" l="1"/>
  <c r="D36" i="8"/>
  <c r="D35" i="8"/>
  <c r="D34" i="8"/>
  <c r="C38" i="8"/>
  <c r="C37" i="8"/>
  <c r="C36" i="8"/>
  <c r="C35" i="8"/>
  <c r="C34" i="8"/>
  <c r="C33" i="8"/>
  <c r="C32" i="8"/>
  <c r="C31" i="8"/>
  <c r="C30" i="8"/>
  <c r="C29" i="8"/>
  <c r="C28" i="8"/>
  <c r="C27" i="8"/>
  <c r="C26" i="8"/>
  <c r="C25" i="8"/>
  <c r="C24" i="8"/>
  <c r="C23" i="8"/>
  <c r="A55" i="6"/>
  <c r="B58" i="6" s="1"/>
  <c r="C58" i="6" s="1"/>
  <c r="A47" i="6"/>
  <c r="B54" i="6" s="1"/>
  <c r="C54" i="6" s="1"/>
  <c r="A41" i="6"/>
  <c r="B41" i="6" s="1"/>
  <c r="C41" i="6" s="1"/>
  <c r="A40" i="6"/>
  <c r="C39" i="6"/>
  <c r="B47" i="6" l="1"/>
  <c r="C47" i="6" s="1"/>
  <c r="B51" i="6"/>
  <c r="C51" i="6" s="1"/>
  <c r="B48" i="6"/>
  <c r="C48" i="6" s="1"/>
  <c r="B52" i="6"/>
  <c r="C52" i="6" s="1"/>
  <c r="B56" i="6"/>
  <c r="C56" i="6" s="1"/>
  <c r="B55" i="6"/>
  <c r="B49" i="6"/>
  <c r="C49" i="6" s="1"/>
  <c r="B53" i="6"/>
  <c r="C53" i="6" s="1"/>
  <c r="B57" i="6"/>
  <c r="C57" i="6" s="1"/>
  <c r="B59" i="6"/>
  <c r="C59" i="6" s="1"/>
  <c r="B50" i="6"/>
  <c r="C50" i="6" s="1"/>
  <c r="B44" i="6"/>
  <c r="C44" i="6" s="1"/>
  <c r="B45" i="6"/>
  <c r="C45" i="6" s="1"/>
  <c r="B46" i="6"/>
  <c r="C46" i="6" s="1"/>
  <c r="B43" i="6"/>
  <c r="C43" i="6" s="1"/>
  <c r="B42" i="6"/>
  <c r="C42" i="6" s="1"/>
  <c r="B105" i="8" l="1"/>
  <c r="D72" i="8"/>
  <c r="B97" i="8"/>
  <c r="C110" i="8" l="1"/>
  <c r="C106" i="8"/>
  <c r="D106" i="8" s="1"/>
  <c r="C109" i="8"/>
  <c r="D109" i="8" s="1"/>
  <c r="C105" i="8"/>
  <c r="D105" i="8" s="1"/>
  <c r="C112" i="8"/>
  <c r="C108" i="8"/>
  <c r="D108" i="8" s="1"/>
  <c r="C111" i="8"/>
  <c r="D111" i="8" s="1"/>
  <c r="C107" i="8"/>
  <c r="D107" i="8" s="1"/>
  <c r="D112" i="8"/>
  <c r="C104" i="8"/>
  <c r="D104" i="8" s="1"/>
  <c r="C100" i="8"/>
  <c r="D100" i="8" s="1"/>
  <c r="C103" i="8"/>
  <c r="D103" i="8" s="1"/>
  <c r="C99" i="8"/>
  <c r="D99" i="8" s="1"/>
  <c r="D110" i="8"/>
  <c r="C102" i="8"/>
  <c r="D102" i="8" s="1"/>
  <c r="C98" i="8"/>
  <c r="D98" i="8" s="1"/>
  <c r="C101" i="8"/>
  <c r="D101" i="8" s="1"/>
  <c r="C97" i="8"/>
  <c r="D97" i="8" s="1"/>
  <c r="B89" i="8"/>
  <c r="B87" i="8"/>
  <c r="C87" i="8" s="1"/>
  <c r="B79" i="8"/>
  <c r="B73" i="8"/>
  <c r="B45" i="8"/>
  <c r="C51" i="8" l="1"/>
  <c r="C47" i="8"/>
  <c r="C50" i="8"/>
  <c r="C46" i="8"/>
  <c r="C49" i="8"/>
  <c r="C45" i="8"/>
  <c r="C52" i="8"/>
  <c r="C48" i="8"/>
  <c r="D73" i="8"/>
  <c r="C78" i="8"/>
  <c r="D78" i="8" s="1"/>
  <c r="C77" i="8"/>
  <c r="D77" i="8" s="1"/>
  <c r="C76" i="8"/>
  <c r="D76" i="8" s="1"/>
  <c r="C75" i="8"/>
  <c r="D75" i="8" s="1"/>
  <c r="C86" i="8"/>
  <c r="D86" i="8" s="1"/>
  <c r="C82" i="8"/>
  <c r="D82" i="8" s="1"/>
  <c r="C85" i="8"/>
  <c r="D85" i="8" s="1"/>
  <c r="C81" i="8"/>
  <c r="D81" i="8" s="1"/>
  <c r="C84" i="8"/>
  <c r="D84" i="8" s="1"/>
  <c r="C80" i="8"/>
  <c r="D80" i="8" s="1"/>
  <c r="C83" i="8"/>
  <c r="D83" i="8" s="1"/>
  <c r="C79" i="8"/>
  <c r="D79" i="8" s="1"/>
  <c r="C96" i="8"/>
  <c r="D96" i="8" s="1"/>
  <c r="C92" i="8"/>
  <c r="D92" i="8" s="1"/>
  <c r="C95" i="8"/>
  <c r="D95" i="8" s="1"/>
  <c r="C91" i="8"/>
  <c r="D91" i="8" s="1"/>
  <c r="C94" i="8"/>
  <c r="D94" i="8" s="1"/>
  <c r="C90" i="8"/>
  <c r="D90" i="8" s="1"/>
  <c r="C93" i="8"/>
  <c r="D93" i="8" s="1"/>
  <c r="C89" i="8"/>
  <c r="D89" i="8" s="1"/>
  <c r="C88" i="8"/>
  <c r="C74" i="8"/>
  <c r="D74" i="8" s="1"/>
  <c r="C73" i="8"/>
  <c r="K61" i="8"/>
  <c r="K53" i="8"/>
  <c r="K45" i="8"/>
  <c r="I61" i="8"/>
  <c r="I53" i="8"/>
  <c r="I45" i="8"/>
  <c r="B61" i="8"/>
  <c r="B53" i="8"/>
  <c r="B4" i="2"/>
  <c r="G45" i="8"/>
  <c r="C67" i="8" l="1"/>
  <c r="C64" i="8"/>
  <c r="C66" i="8"/>
  <c r="C62" i="8"/>
  <c r="C63" i="8"/>
  <c r="C61" i="8"/>
  <c r="C68" i="8"/>
  <c r="C65" i="8"/>
  <c r="C59" i="8"/>
  <c r="C55" i="8"/>
  <c r="C58" i="8"/>
  <c r="C54" i="8"/>
  <c r="C57" i="8"/>
  <c r="C53" i="8"/>
  <c r="C60" i="8"/>
  <c r="C56" i="8"/>
  <c r="C11" i="2"/>
  <c r="H11" i="2" s="1"/>
  <c r="C7" i="2"/>
  <c r="H7" i="2" s="1"/>
  <c r="C10" i="2"/>
  <c r="H10" i="2" s="1"/>
  <c r="C6" i="2"/>
  <c r="H6" i="2" s="1"/>
  <c r="C9" i="2"/>
  <c r="H9" i="2" s="1"/>
  <c r="C5" i="2"/>
  <c r="H5" i="2" s="1"/>
  <c r="C8" i="2"/>
  <c r="H8" i="2" s="1"/>
  <c r="C4" i="2"/>
  <c r="H4" i="2" s="1"/>
  <c r="I44" i="8"/>
  <c r="K44" i="8"/>
  <c r="B57" i="2"/>
  <c r="B49" i="2"/>
  <c r="G57" i="2"/>
  <c r="G49" i="2"/>
  <c r="E48" i="2" s="1"/>
  <c r="C56" i="2" l="1"/>
  <c r="C52" i="2"/>
  <c r="C55" i="2"/>
  <c r="C51" i="2"/>
  <c r="C54" i="2"/>
  <c r="C50" i="2"/>
  <c r="C53" i="2"/>
  <c r="C64" i="2"/>
  <c r="C60" i="2"/>
  <c r="C63" i="2"/>
  <c r="C59" i="2"/>
  <c r="C62" i="2"/>
  <c r="C58" i="2"/>
  <c r="C61" i="2"/>
  <c r="C57" i="2"/>
  <c r="C49" i="2"/>
  <c r="G61" i="8"/>
  <c r="G53" i="8"/>
  <c r="B31" i="8"/>
  <c r="B23" i="8"/>
  <c r="G31" i="8"/>
  <c r="G23" i="8"/>
  <c r="G12" i="8"/>
  <c r="G4" i="8"/>
  <c r="G44" i="8" l="1"/>
  <c r="G22" i="8"/>
  <c r="C41" i="8"/>
  <c r="D41" i="8" s="1"/>
  <c r="G3" i="8"/>
  <c r="B4" i="8"/>
  <c r="C8" i="8" s="1"/>
  <c r="D8" i="8" s="1"/>
  <c r="B12" i="8"/>
  <c r="C17" i="8" l="1"/>
  <c r="D17" i="8" s="1"/>
  <c r="C13" i="8"/>
  <c r="C16" i="8"/>
  <c r="C12" i="8"/>
  <c r="C19" i="8"/>
  <c r="D19" i="8" s="1"/>
  <c r="C15" i="8"/>
  <c r="C18" i="8"/>
  <c r="D18" i="8" s="1"/>
  <c r="C14" i="8"/>
  <c r="C9" i="8"/>
  <c r="D9" i="8" s="1"/>
  <c r="C5" i="8"/>
  <c r="D5" i="8" s="1"/>
  <c r="C4" i="8"/>
  <c r="D4" i="8" s="1"/>
  <c r="C11" i="8"/>
  <c r="D11" i="8" s="1"/>
  <c r="C7" i="8"/>
  <c r="D7" i="8" s="1"/>
  <c r="C10" i="8"/>
  <c r="D10" i="8" s="1"/>
  <c r="C6" i="8"/>
  <c r="C40" i="8"/>
  <c r="D40" i="8" s="1"/>
  <c r="A2" i="7"/>
  <c r="B2" i="7"/>
  <c r="C2" i="7"/>
  <c r="D2" i="7"/>
  <c r="D3" i="7" s="1"/>
  <c r="E2" i="7"/>
  <c r="A3" i="7"/>
  <c r="B3" i="7"/>
  <c r="C3" i="7"/>
  <c r="E3" i="7"/>
  <c r="A6" i="7"/>
  <c r="B6" i="7"/>
  <c r="C6" i="7"/>
  <c r="D6" i="7"/>
  <c r="E6" i="7"/>
  <c r="G6" i="7" l="1"/>
  <c r="A28" i="6"/>
  <c r="A20" i="6"/>
  <c r="A12" i="6"/>
  <c r="A4" i="6"/>
  <c r="G28" i="6"/>
  <c r="G20" i="6"/>
  <c r="G12" i="6"/>
  <c r="G4" i="6"/>
  <c r="B18" i="6" l="1"/>
  <c r="B14" i="6"/>
  <c r="B17" i="6"/>
  <c r="B13" i="6"/>
  <c r="B16" i="6"/>
  <c r="B12" i="6"/>
  <c r="B19" i="6"/>
  <c r="B15" i="6"/>
  <c r="B26" i="6"/>
  <c r="B22" i="6"/>
  <c r="B25" i="6"/>
  <c r="B21" i="6"/>
  <c r="B24" i="6"/>
  <c r="B20" i="6"/>
  <c r="B27" i="6"/>
  <c r="B23" i="6"/>
  <c r="B34" i="6"/>
  <c r="B30" i="6"/>
  <c r="B33" i="6"/>
  <c r="B29" i="6"/>
  <c r="B32" i="6"/>
  <c r="B28" i="6"/>
  <c r="B35" i="6"/>
  <c r="B31" i="6"/>
  <c r="B10" i="6"/>
  <c r="B6" i="6"/>
  <c r="B9" i="6"/>
  <c r="B5" i="6"/>
  <c r="B8" i="6"/>
  <c r="B4" i="6"/>
  <c r="B11" i="6"/>
  <c r="B7" i="6"/>
  <c r="F3" i="6"/>
  <c r="G36" i="2"/>
  <c r="G28" i="2"/>
  <c r="G20" i="2"/>
  <c r="G4" i="2"/>
  <c r="G12" i="2"/>
  <c r="B36" i="2"/>
  <c r="B28" i="2"/>
  <c r="B20" i="2"/>
  <c r="B12" i="2"/>
  <c r="C35" i="2" l="1"/>
  <c r="H35" i="2" s="1"/>
  <c r="C31" i="2"/>
  <c r="H31" i="2" s="1"/>
  <c r="C34" i="2"/>
  <c r="H34" i="2" s="1"/>
  <c r="C30" i="2"/>
  <c r="H30" i="2" s="1"/>
  <c r="C33" i="2"/>
  <c r="H33" i="2" s="1"/>
  <c r="C29" i="2"/>
  <c r="H29" i="2" s="1"/>
  <c r="C32" i="2"/>
  <c r="H32" i="2" s="1"/>
  <c r="C28" i="2"/>
  <c r="H28" i="2" s="1"/>
  <c r="C43" i="2"/>
  <c r="H43" i="2" s="1"/>
  <c r="C39" i="2"/>
  <c r="H39" i="2" s="1"/>
  <c r="C42" i="2"/>
  <c r="H42" i="2" s="1"/>
  <c r="C38" i="2"/>
  <c r="H38" i="2" s="1"/>
  <c r="C41" i="2"/>
  <c r="H41" i="2" s="1"/>
  <c r="C37" i="2"/>
  <c r="H37" i="2" s="1"/>
  <c r="C40" i="2"/>
  <c r="H40" i="2" s="1"/>
  <c r="C36" i="2"/>
  <c r="H36" i="2" s="1"/>
  <c r="C19" i="2"/>
  <c r="H19" i="2" s="1"/>
  <c r="C15" i="2"/>
  <c r="H15" i="2" s="1"/>
  <c r="C18" i="2"/>
  <c r="H18" i="2" s="1"/>
  <c r="C14" i="2"/>
  <c r="H14" i="2" s="1"/>
  <c r="C17" i="2"/>
  <c r="H17" i="2" s="1"/>
  <c r="C13" i="2"/>
  <c r="H13" i="2" s="1"/>
  <c r="C16" i="2"/>
  <c r="H16" i="2" s="1"/>
  <c r="C12" i="2"/>
  <c r="H12" i="2" s="1"/>
  <c r="C27" i="2"/>
  <c r="H27" i="2" s="1"/>
  <c r="C23" i="2"/>
  <c r="H23" i="2" s="1"/>
  <c r="C26" i="2"/>
  <c r="H26" i="2" s="1"/>
  <c r="C22" i="2"/>
  <c r="H22" i="2" s="1"/>
  <c r="C25" i="2"/>
  <c r="H25" i="2" s="1"/>
  <c r="C21" i="2"/>
  <c r="H21" i="2" s="1"/>
  <c r="C24" i="2"/>
  <c r="H24" i="2" s="1"/>
  <c r="C20" i="2"/>
  <c r="H20" i="2" s="1"/>
  <c r="E3" i="2"/>
</calcChain>
</file>

<file path=xl/comments1.xml><?xml version="1.0" encoding="utf-8"?>
<comments xmlns="http://schemas.openxmlformats.org/spreadsheetml/2006/main">
  <authors>
    <author>Benjamin GIRAUD</author>
  </authors>
  <commentList>
    <comment ref="D122" authorId="0">
      <text>
        <r>
          <rPr>
            <b/>
            <sz val="9"/>
            <color indexed="81"/>
            <rFont val="Tahoma"/>
            <family val="2"/>
          </rPr>
          <t>Benjamin GIRAUD:</t>
        </r>
        <r>
          <rPr>
            <sz val="9"/>
            <color indexed="81"/>
            <rFont val="Tahoma"/>
            <family val="2"/>
          </rPr>
          <t xml:space="preserve">
For the purpose of this specification, an inquiry is a request for information about one of the cardholder’s accounts.</t>
        </r>
      </text>
    </comment>
    <comment ref="D123" authorId="0">
      <text>
        <r>
          <rPr>
            <b/>
            <sz val="9"/>
            <color indexed="81"/>
            <rFont val="Tahoma"/>
            <family val="2"/>
          </rPr>
          <t>Benjamin GIRAUD:</t>
        </r>
        <r>
          <rPr>
            <sz val="9"/>
            <color indexed="81"/>
            <rFont val="Tahoma"/>
            <family val="2"/>
          </rPr>
          <t xml:space="preserve">
For the purpose of this specification, a transfer is a movement of funds by a cardholder from one of its accounts to another of the cardholder’s accounts, both of which are held by the same financial institution</t>
        </r>
      </text>
    </comment>
    <comment ref="D124" authorId="0">
      <text>
        <r>
          <rPr>
            <b/>
            <sz val="9"/>
            <color indexed="81"/>
            <rFont val="Tahoma"/>
            <family val="2"/>
          </rPr>
          <t>Benjamin GIRAUD:</t>
        </r>
        <r>
          <rPr>
            <sz val="9"/>
            <color indexed="81"/>
            <rFont val="Tahoma"/>
            <family val="2"/>
          </rPr>
          <t xml:space="preserve">
For the purpose of this specification, a payment is a movement of funds from a cardholder account to another party, for example, a utility bill payment</t>
        </r>
      </text>
    </comment>
    <comment ref="D126" authorId="0">
      <text>
        <r>
          <rPr>
            <b/>
            <sz val="9"/>
            <color indexed="81"/>
            <rFont val="Tahoma"/>
            <family val="2"/>
          </rPr>
          <t>Benjamin GIRAUD:</t>
        </r>
        <r>
          <rPr>
            <sz val="9"/>
            <color indexed="81"/>
            <rFont val="Tahoma"/>
            <family val="2"/>
          </rPr>
          <t xml:space="preserve">
A cash deposit is considered to be a transaction at an attended or unattended terminal where a cardholder deposits cash into a bank account related to an application on the card used.</t>
        </r>
      </text>
    </comment>
  </commentList>
</comments>
</file>

<file path=xl/comments2.xml><?xml version="1.0" encoding="utf-8"?>
<comments xmlns="http://schemas.openxmlformats.org/spreadsheetml/2006/main">
  <authors>
    <author>Benjamin GIRAUD</author>
  </authors>
  <commentList>
    <comment ref="B4" authorId="0">
      <text>
        <r>
          <rPr>
            <b/>
            <sz val="9"/>
            <color indexed="81"/>
            <rFont val="Tahoma"/>
            <family val="2"/>
          </rPr>
          <t>Benjamin GIRAUD:</t>
        </r>
        <r>
          <rPr>
            <sz val="9"/>
            <color indexed="81"/>
            <rFont val="Tahoma"/>
            <family val="2"/>
          </rPr>
          <t xml:space="preserve">
values 1 and 2 are available for international interchange
values 5 and 6 are available for interchange only in the country of issue, although specific bilateral agreements may override this restriction.
value 7 is not available for general interchange, although specific bilateral agreements may override this restriction.</t>
        </r>
      </text>
    </comment>
    <comment ref="C4" authorId="0">
      <text>
        <r>
          <rPr>
            <b/>
            <sz val="9"/>
            <color indexed="81"/>
            <rFont val="Tahoma"/>
            <family val="2"/>
          </rPr>
          <t>Benjamin GIRAUD:</t>
        </r>
        <r>
          <rPr>
            <sz val="9"/>
            <color indexed="81"/>
            <rFont val="Tahoma"/>
            <family val="2"/>
          </rPr>
          <t xml:space="preserve">
values 2 and 6 indicate that the card contains an integrated circuit and that the financial transaction should be processed from the integrated circuit, if feasible.</t>
        </r>
      </text>
    </comment>
    <comment ref="E4" authorId="0">
      <text>
        <r>
          <rPr>
            <b/>
            <sz val="9"/>
            <color indexed="81"/>
            <rFont val="Tahoma"/>
            <family val="2"/>
          </rPr>
          <t>Benjamin GIRAUD:</t>
        </r>
        <r>
          <rPr>
            <sz val="9"/>
            <color indexed="81"/>
            <rFont val="Tahoma"/>
            <family val="2"/>
          </rPr>
          <t xml:space="preserve">
value 0 requires that transactions are authorized according to the requirements specified in the merchant
agreement and/or the card scheme’s established rules governing acceptance at the particular point of sale
values 2 and 4 require that transactions are processed online and approved by the issuer or the issuer’s
processing agent</t>
        </r>
      </text>
    </comment>
    <comment ref="H4" authorId="0">
      <text>
        <r>
          <rPr>
            <b/>
            <sz val="9"/>
            <color indexed="81"/>
            <rFont val="Tahoma"/>
            <family val="2"/>
          </rPr>
          <t>Benjamin GIRAUD:</t>
        </r>
        <r>
          <rPr>
            <sz val="9"/>
            <color indexed="81"/>
            <rFont val="Tahoma"/>
            <family val="2"/>
          </rPr>
          <t xml:space="preserve">
values 6 and 7 require merchants to follow the rules in their merchant agreements and/or the card scheme’s established rules if the PIN pad is inoperable, or in the case where the PIN prompt was given but the PIN was not supplied by
the cardholder.</t>
        </r>
      </text>
    </comment>
  </commentList>
</comments>
</file>

<file path=xl/comments3.xml><?xml version="1.0" encoding="utf-8"?>
<comments xmlns="http://schemas.openxmlformats.org/spreadsheetml/2006/main">
  <authors>
    <author>Benjamin GIRAUD</author>
  </authors>
  <commentList>
    <comment ref="H36" authorId="0">
      <text>
        <r>
          <rPr>
            <b/>
            <sz val="9"/>
            <color indexed="81"/>
            <rFont val="Tahoma"/>
            <family val="2"/>
          </rPr>
          <t>Benjamin GIRAUD:</t>
        </r>
        <r>
          <rPr>
            <sz val="9"/>
            <color indexed="81"/>
            <rFont val="Tahoma"/>
            <family val="2"/>
          </rPr>
          <t xml:space="preserve">
Code couleur : 
- gras et rouge : obligatoire
- gras et gris : optionnel
- barré et noir : obligatoirement absent</t>
        </r>
      </text>
    </comment>
    <comment ref="J36" authorId="0">
      <text>
        <r>
          <rPr>
            <b/>
            <sz val="9"/>
            <color indexed="81"/>
            <rFont val="Tahoma"/>
            <family val="2"/>
          </rPr>
          <t>Benjamin GIRAUD:</t>
        </r>
        <r>
          <rPr>
            <sz val="9"/>
            <color indexed="81"/>
            <rFont val="Tahoma"/>
            <family val="2"/>
          </rPr>
          <t xml:space="preserve">
Code couleur : 
- gras et rouge : obligatoire
- gras et gris : optionnel
- barré et noir : obligatoirement absent</t>
        </r>
      </text>
    </comment>
    <comment ref="H93" authorId="0">
      <text>
        <r>
          <rPr>
            <b/>
            <sz val="9"/>
            <color indexed="81"/>
            <rFont val="Tahoma"/>
            <family val="2"/>
          </rPr>
          <t>Benjamin GIRAUD:</t>
        </r>
        <r>
          <rPr>
            <sz val="9"/>
            <color indexed="81"/>
            <rFont val="Tahoma"/>
            <family val="2"/>
          </rPr>
          <t xml:space="preserve">
VALEUR A CONFIRMER</t>
        </r>
      </text>
    </comment>
    <comment ref="J93" authorId="0">
      <text>
        <r>
          <rPr>
            <b/>
            <sz val="9"/>
            <color indexed="81"/>
            <rFont val="Tahoma"/>
            <family val="2"/>
          </rPr>
          <t>Benjamin GIRAUD:</t>
        </r>
        <r>
          <rPr>
            <sz val="9"/>
            <color indexed="81"/>
            <rFont val="Tahoma"/>
            <family val="2"/>
          </rPr>
          <t xml:space="preserve">
VALEUR A CONFIRMER</t>
        </r>
      </text>
    </comment>
  </commentList>
</comments>
</file>

<file path=xl/sharedStrings.xml><?xml version="1.0" encoding="utf-8"?>
<sst xmlns="http://schemas.openxmlformats.org/spreadsheetml/2006/main" count="1704" uniqueCount="576">
  <si>
    <t>Valeur (hex)</t>
  </si>
  <si>
    <t>valeur (bin)</t>
  </si>
  <si>
    <t>Offline data authentication was not performed</t>
  </si>
  <si>
    <t>SDA failed</t>
  </si>
  <si>
    <t>ICC data missing</t>
  </si>
  <si>
    <t>Card appears on terminal exception file</t>
  </si>
  <si>
    <t>DDA failed</t>
  </si>
  <si>
    <t>CDA failed</t>
  </si>
  <si>
    <t>RFU</t>
  </si>
  <si>
    <t>ICC and terminal have different application versions</t>
  </si>
  <si>
    <t>Expired application</t>
  </si>
  <si>
    <t>Application not yet effective</t>
  </si>
  <si>
    <t>Requested service not allowed for card product</t>
  </si>
  <si>
    <t>New card</t>
  </si>
  <si>
    <t>Cardholder verification was not successful</t>
  </si>
  <si>
    <t>Unrecognised CVM</t>
  </si>
  <si>
    <t>PIN Try Limit exceeded</t>
  </si>
  <si>
    <t>PIN entry required and PIN pad not present or not working</t>
  </si>
  <si>
    <t>PIN entry required, PIN pad present, but PIN was not entered</t>
  </si>
  <si>
    <t>Online PIN entered</t>
  </si>
  <si>
    <t>Transaction exceeds floor limit</t>
  </si>
  <si>
    <t>Lower consecutive offline limit exceeded</t>
  </si>
  <si>
    <t>Upper consecutive offline limit exceeded</t>
  </si>
  <si>
    <t>Transaction selected randomly for online processing</t>
  </si>
  <si>
    <t>Merchant forced transaction online</t>
  </si>
  <si>
    <t>Script processing failed after final GENERATE AC</t>
  </si>
  <si>
    <t>Script processing failed before final GENERATE AC</t>
  </si>
  <si>
    <t>Issuer authentication failed</t>
  </si>
  <si>
    <t>Default TDOL used</t>
  </si>
  <si>
    <t>Valeur Hexa</t>
  </si>
  <si>
    <t>Décomposition</t>
  </si>
  <si>
    <t>Composition</t>
  </si>
  <si>
    <t>Remplir les parties en jaunes uniquement</t>
  </si>
  <si>
    <t>Les réulstats apparaitront alors dans les zones en bleu</t>
  </si>
  <si>
    <t>If Issuer Authentication failure, transmit next transaction online</t>
  </si>
  <si>
    <t>If Issuer Authentication performed and failed, decline transaction</t>
  </si>
  <si>
    <t>If Issuer Authentication is mandatory and no ARPC received, decline transaction</t>
  </si>
  <si>
    <t>If transaction declined offline, create advice</t>
  </si>
  <si>
    <t>If PIN Try Limit exceeded on current transaction and transaction is declined, create advice</t>
  </si>
  <si>
    <t>If transaction declined because Issuer Authentication failed or not performed, create advice</t>
  </si>
  <si>
    <t>If new card, transmit transaction online</t>
  </si>
  <si>
    <t>If new card, decline if unable to transmit transaction online</t>
  </si>
  <si>
    <t>If PIN Try Limit exceeded on current transaction, block application</t>
  </si>
  <si>
    <t>If PIN Try Limit exceeded on previous transaction, decline transaction</t>
  </si>
  <si>
    <t>If PIN Try Limit exceeded on previous transaction, transmit transaction online</t>
  </si>
  <si>
    <t>If PIN Try Limit exceeded on previous transaction, decline if unable to transmit transaction online</t>
  </si>
  <si>
    <t>If Issuer Script failed on a previous transaction, transmit transaction online</t>
  </si>
  <si>
    <t>If PIN Try Limit exceeded on previous transaction, decline and block application</t>
  </si>
  <si>
    <t>Do not reset Cumulative Total Transaction Amount (CTTA) to zero during GENERATE AC. CTTA is reset to zero during Issuer Script processing if PUT DATA to Cumulative Total Transaction Amount Limit is successful.</t>
  </si>
  <si>
    <t>Do not reset VLP Available Funds during GENERATE AC. VLP Available Funds is reset to VLP Funds Limit during Issuer Script processing if PUT DATA to VLP Funds Limit is successful.</t>
  </si>
  <si>
    <t>Do not include offline approved transactions in the transaction log</t>
  </si>
  <si>
    <t>Do not include online approved transactions in the transaction log</t>
  </si>
  <si>
    <t>Include declined transactions in the transaction log</t>
  </si>
  <si>
    <t>Reset VLP Available Funds to VLP Funds Limit whenever Offline PIN is successfully verified</t>
  </si>
  <si>
    <t>b8</t>
  </si>
  <si>
    <t>b7</t>
  </si>
  <si>
    <t>b6</t>
  </si>
  <si>
    <t>b5</t>
  </si>
  <si>
    <t>b4</t>
  </si>
  <si>
    <t>b3</t>
  </si>
  <si>
    <t>b2</t>
  </si>
  <si>
    <t>b1</t>
  </si>
  <si>
    <t>Reserved</t>
  </si>
  <si>
    <t>Tag D5 - Application Control</t>
  </si>
  <si>
    <t>Tag .. - ARPC Code</t>
  </si>
  <si>
    <t>Pin Try counter</t>
  </si>
  <si>
    <t>Update counters</t>
  </si>
  <si>
    <t>0C0C</t>
  </si>
  <si>
    <t>Card IACs -</t>
  </si>
  <si>
    <t>TVR</t>
  </si>
  <si>
    <t>AIP</t>
  </si>
  <si>
    <t xml:space="preserve">Données exploitables </t>
  </si>
  <si>
    <t>EMV</t>
  </si>
  <si>
    <t>ADA</t>
  </si>
  <si>
    <t>VISA</t>
  </si>
  <si>
    <t>MasterCard</t>
  </si>
  <si>
    <t>Autre</t>
  </si>
  <si>
    <t>Application Control (D5)</t>
  </si>
  <si>
    <t>TVR (95)</t>
  </si>
  <si>
    <t>AIP (82)</t>
  </si>
  <si>
    <t>ADA (9F52)</t>
  </si>
  <si>
    <t>CVR</t>
  </si>
  <si>
    <t>SDA Supported</t>
  </si>
  <si>
    <t>DDA supported</t>
  </si>
  <si>
    <t>Cardholder verification is supported</t>
  </si>
  <si>
    <t>Reserved for use by the EMV Contactless Specifications</t>
  </si>
  <si>
    <t>Conmposition</t>
  </si>
  <si>
    <t>Terminal risk management is to be performed</t>
  </si>
  <si>
    <t>Issuer authentication is supported</t>
  </si>
  <si>
    <t>CDA supported</t>
  </si>
  <si>
    <t>Values</t>
  </si>
  <si>
    <t>Position 1</t>
  </si>
  <si>
    <t>Position 2</t>
  </si>
  <si>
    <t>Position 3</t>
  </si>
  <si>
    <t>Interchange</t>
  </si>
  <si>
    <t>Technology</t>
  </si>
  <si>
    <t>Authorization processing</t>
  </si>
  <si>
    <t>Range of services</t>
  </si>
  <si>
    <t>PIN requirements</t>
  </si>
  <si>
    <t>_x0001_</t>
  </si>
  <si>
    <t>Normal</t>
  </si>
  <si>
    <t>No restrictions</t>
  </si>
  <si>
    <t>PIN required</t>
  </si>
  <si>
    <t>International</t>
  </si>
  <si>
    <t xml:space="preserve">_x0001_ </t>
  </si>
  <si>
    <t>No restrictions _x0001_</t>
  </si>
  <si>
    <t>ICC</t>
  </si>
  <si>
    <t>By Issuer</t>
  </si>
  <si>
    <t>Goods and services only</t>
  </si>
  <si>
    <t>ATM only</t>
  </si>
  <si>
    <t>By Issuer unless explicit bilateral agreement applies</t>
  </si>
  <si>
    <t>cash only</t>
  </si>
  <si>
    <t>National</t>
  </si>
  <si>
    <t>Prompt for PIN if PIN pad present</t>
  </si>
  <si>
    <t>Private</t>
  </si>
  <si>
    <t>Test</t>
  </si>
  <si>
    <t>Take Action If Lower Consecutive Offline Limit Exceeded if = 1</t>
  </si>
  <si>
    <t>Take Action If Upper Consecutive Offline Limit Exceeded if = 1</t>
  </si>
  <si>
    <t>Take Action If Lower Cumulative Offline Limit Exceeded = 1</t>
  </si>
  <si>
    <t>Take Action If Upper Cumulative Offline Limit Exceeded if = 1</t>
  </si>
  <si>
    <t>Take Action If Go Online On Next Transaction Was Set = 1</t>
  </si>
  <si>
    <t>Take Action If Issuer Authentication Failed if = 1</t>
  </si>
  <si>
    <t>Take Action If Script Received if = 1</t>
  </si>
  <si>
    <t>Take Action If Script Failed if = 1</t>
  </si>
  <si>
    <t>Take Action If Offline PIN Verification Not Performed if = 1</t>
  </si>
  <si>
    <t>Take Action If Unable To Go Online Indicated if = 1</t>
  </si>
  <si>
    <t>Take Action If Offline PIN Verification Failed if = 1</t>
  </si>
  <si>
    <t>Take Action If PTL Exceeded if = 1</t>
  </si>
  <si>
    <t>Take Action If International Transaction if = 1</t>
  </si>
  <si>
    <t>Take Action If Domestic Transaction if = 1</t>
  </si>
  <si>
    <t>Take Action If Terminal Erroneously Considers Offline PIN OK if = 1</t>
  </si>
  <si>
    <t>Take Action If Match Found In Additional Check Table if = 1</t>
  </si>
  <si>
    <t>Take Action If No Match Found In Additional Check Table if = 1</t>
  </si>
  <si>
    <t>C3</t>
  </si>
  <si>
    <t>C4</t>
  </si>
  <si>
    <t>C5</t>
  </si>
  <si>
    <t>ARPC (…)</t>
  </si>
  <si>
    <t>C-IACs</t>
  </si>
  <si>
    <t>Right nibble of Script Counter</t>
  </si>
  <si>
    <t>Right nibble of PIN Try Counter</t>
  </si>
  <si>
    <t>b8-b7</t>
  </si>
  <si>
    <t>b6-b5</t>
  </si>
  <si>
    <t>Number of Issuer Script Commands received after the second GENERATE AC command containing secure messaging processed</t>
  </si>
  <si>
    <t>3c00</t>
  </si>
  <si>
    <t>M</t>
  </si>
  <si>
    <t>P</t>
  </si>
  <si>
    <t>S</t>
  </si>
  <si>
    <t>Upper PayPass Consecutive Offline Limit</t>
  </si>
  <si>
    <t>DF21</t>
  </si>
  <si>
    <t>Upper PayPass Cumulative Offline Limit</t>
  </si>
  <si>
    <t>DF19</t>
  </si>
  <si>
    <t>Upper Cumulative Off line Transaction Amount</t>
  </si>
  <si>
    <t>CB</t>
  </si>
  <si>
    <t>E</t>
  </si>
  <si>
    <t>Upper Consecutive Off line Limit</t>
  </si>
  <si>
    <t>9F23</t>
  </si>
  <si>
    <t>O</t>
  </si>
  <si>
    <t>A</t>
  </si>
  <si>
    <t>-</t>
  </si>
  <si>
    <t>Unpredictable Number Data Object List (UDOL)</t>
  </si>
  <si>
    <t>9F69</t>
  </si>
  <si>
    <t>si présence du PPSE</t>
  </si>
  <si>
    <t>Type de base applicative sans contact</t>
  </si>
  <si>
    <t>DF61</t>
  </si>
  <si>
    <t>Transaction Certificate data object list (TDOL)</t>
  </si>
  <si>
    <t>Track 2 Number of ATC Digits (NATCTRACK2)</t>
  </si>
  <si>
    <t>9F67</t>
  </si>
  <si>
    <t>Valorisation peut être différente selon l’interface dans le cas du double PAN</t>
  </si>
  <si>
    <t>C</t>
  </si>
  <si>
    <t>Track 2 Equivalent Data</t>
  </si>
  <si>
    <t>Track 2 discretionary data</t>
  </si>
  <si>
    <t>9F20</t>
  </si>
  <si>
    <t>Track 2 Data</t>
  </si>
  <si>
    <t>9F6B</t>
  </si>
  <si>
    <t>Track 2 Bit Map for UN and ATC (PUNATCTRACK2)</t>
  </si>
  <si>
    <t>9F66</t>
  </si>
  <si>
    <t>Track 2 Bit Map for CVC3 (PCVC3TRACK2)</t>
  </si>
  <si>
    <t>9F65</t>
  </si>
  <si>
    <t>Track 1 Nr of ATC Digits (NATCTRACK1)</t>
  </si>
  <si>
    <t>9F64</t>
  </si>
  <si>
    <t>Track 1 discretionary data</t>
  </si>
  <si>
    <t>9F1F</t>
  </si>
  <si>
    <t>Track 1 Data</t>
  </si>
  <si>
    <t>Track 1 Bit Map for UN and ATC (PUNATCTRACK1)</t>
  </si>
  <si>
    <t>9F63</t>
  </si>
  <si>
    <t>Track 1 Bit Map for CVC3 (PCVC3TRACK1)</t>
  </si>
  <si>
    <t>9F62</t>
  </si>
  <si>
    <t>Static data authentication tag list</t>
  </si>
  <si>
    <t>9F4A</t>
  </si>
  <si>
    <t>SMI Session Key Counter Limit (LIMSMI)</t>
  </si>
  <si>
    <t>D</t>
  </si>
  <si>
    <t>SMI Session Key Counter (CTRSMI)</t>
  </si>
  <si>
    <t>Donnée pouvant être spécifique entre interfaces dans le cas du double PAN</t>
  </si>
  <si>
    <t>SMI Master Key (MKSMI)</t>
  </si>
  <si>
    <t>SMC Master Key (MKSMC)</t>
  </si>
  <si>
    <t>Signed static application data</t>
  </si>
  <si>
    <t>Security Limits Status</t>
  </si>
  <si>
    <t>DF02</t>
  </si>
  <si>
    <t>Service code</t>
  </si>
  <si>
    <t>5F30</t>
  </si>
  <si>
    <t>Reference PIN</t>
  </si>
  <si>
    <t>Processing Options data object list (PDOL)</t>
  </si>
  <si>
    <t>9F38</t>
  </si>
  <si>
    <t>Previous Transaction History (PTH)</t>
  </si>
  <si>
    <t>PIN Try Limit</t>
  </si>
  <si>
    <t>PIN Try Counter</t>
  </si>
  <si>
    <t>9F17</t>
  </si>
  <si>
    <t>MTA (PayPass)</t>
  </si>
  <si>
    <t>DF26</t>
  </si>
  <si>
    <t>MTA</t>
  </si>
  <si>
    <t>DF22</t>
  </si>
  <si>
    <t>Lower PayPass Consecutive Offline Limit</t>
  </si>
  <si>
    <t>DF1F</t>
  </si>
  <si>
    <t>Lower PayPass Cumulative Offline Limit</t>
  </si>
  <si>
    <t>DF18</t>
  </si>
  <si>
    <t>Lower Cumulative Off line Transaction Amount</t>
  </si>
  <si>
    <t>CA</t>
  </si>
  <si>
    <t>Lower Consecutive Off line Limit</t>
  </si>
  <si>
    <t>9F14</t>
  </si>
  <si>
    <t>Log format</t>
  </si>
  <si>
    <t>9F4F</t>
  </si>
  <si>
    <t>Absent en sans-contact</t>
  </si>
  <si>
    <t>Log entry</t>
  </si>
  <si>
    <t>9F4D</t>
  </si>
  <si>
    <t>Length of ICC PIN Public Key Modulus (NIC)</t>
  </si>
  <si>
    <t>Length of ICC PIN Encipherment Public Key Modulus (NPE)</t>
  </si>
  <si>
    <t>Language preference</t>
  </si>
  <si>
    <t>5F2D</t>
  </si>
  <si>
    <t>Key Derivation index</t>
  </si>
  <si>
    <t>IVCVC3TRACK2</t>
  </si>
  <si>
    <t>DD</t>
  </si>
  <si>
    <t>IVCVC3TRACK1</t>
  </si>
  <si>
    <t>DC</t>
  </si>
  <si>
    <t>Issuer Public Key Remainder</t>
  </si>
  <si>
    <t>Issuer Public Key Exponent</t>
  </si>
  <si>
    <t>9F32</t>
  </si>
  <si>
    <t>Issuer Public Key Certificate</t>
  </si>
  <si>
    <t>Issuer Country Code</t>
  </si>
  <si>
    <t>5F28</t>
  </si>
  <si>
    <t>Issuer Code Table Index</t>
  </si>
  <si>
    <t>9F11</t>
  </si>
  <si>
    <t>Valorisation spécifique selon l’interface</t>
  </si>
  <si>
    <t>Issuer Action Code – On line</t>
  </si>
  <si>
    <t>9F0F</t>
  </si>
  <si>
    <t>Issuer Action Code – Denial</t>
  </si>
  <si>
    <t>9F0E</t>
  </si>
  <si>
    <t>Issuer Action Code – Default</t>
  </si>
  <si>
    <t>9F0D</t>
  </si>
  <si>
    <t>Spécifique par interface.</t>
  </si>
  <si>
    <t>Interface Identifier</t>
  </si>
  <si>
    <t>DF3E</t>
  </si>
  <si>
    <t>Interface Enabling Switch</t>
  </si>
  <si>
    <t>DF30</t>
  </si>
  <si>
    <t>ICC Public Key Remainder</t>
  </si>
  <si>
    <t>9F48</t>
  </si>
  <si>
    <t>ICC Public Key Exponent</t>
  </si>
  <si>
    <t>9F47</t>
  </si>
  <si>
    <t>ICC Public Key Certificate</t>
  </si>
  <si>
    <t>9F46</t>
  </si>
  <si>
    <t>ICC Private Key</t>
  </si>
  <si>
    <t>ICC PIN Encipherment Public Key Remainder</t>
  </si>
  <si>
    <t>9F2F</t>
  </si>
  <si>
    <t>ICC PIN Encipherment Public Key Exponent</t>
  </si>
  <si>
    <t>9F2E</t>
  </si>
  <si>
    <t>ICC PIN Encipherment Public Key Certificate</t>
  </si>
  <si>
    <t>9F2D</t>
  </si>
  <si>
    <t>ICC PIN Encipherment Private Key</t>
  </si>
  <si>
    <t>ICC Dynamic Number Master Key</t>
  </si>
  <si>
    <t>ICC Derived Key for CVC3 Generation (KDCVC3)</t>
  </si>
  <si>
    <t>File Control Information (FCI) Issuer Discretionary Data</t>
  </si>
  <si>
    <t>BF0C</t>
  </si>
  <si>
    <t>File Control Information (FCI)</t>
  </si>
  <si>
    <t>6F</t>
  </si>
  <si>
    <t>Dynamic Data Authentication Data Object List (DDOL)</t>
  </si>
  <si>
    <t>9F49</t>
  </si>
  <si>
    <t>Directory Discretionary Template</t>
  </si>
  <si>
    <t>Default ARPC Response Code</t>
  </si>
  <si>
    <t>D6</t>
  </si>
  <si>
    <t>Currency conversion table</t>
  </si>
  <si>
    <t>D1</t>
  </si>
  <si>
    <t>CRM Currency Code</t>
  </si>
  <si>
    <t>C9</t>
  </si>
  <si>
    <t>CRM Country Code</t>
  </si>
  <si>
    <t>C8</t>
  </si>
  <si>
    <t>Contactless Application Capabilities Type</t>
  </si>
  <si>
    <t>9F28</t>
  </si>
  <si>
    <t>Certification Authority Public Key Index</t>
  </si>
  <si>
    <t>8F</t>
  </si>
  <si>
    <t>CDOL1 related data length</t>
  </si>
  <si>
    <t>C7</t>
  </si>
  <si>
    <t>Cardholder Verification Method (CVM) list</t>
  </si>
  <si>
    <t>8E</t>
  </si>
  <si>
    <t>Donnée renseignée avec une valeur non significative en sans-contact</t>
  </si>
  <si>
    <t>Cardholder Name Extended</t>
  </si>
  <si>
    <t>9F0B</t>
  </si>
  <si>
    <t>Cardholder name</t>
  </si>
  <si>
    <t>5F20</t>
  </si>
  <si>
    <t>Card Risk Management data object list 2 (CDOL2)</t>
  </si>
  <si>
    <t>8D</t>
  </si>
  <si>
    <t>Card Risk Management data object list 1 (CDOL1)</t>
  </si>
  <si>
    <t>8C</t>
  </si>
  <si>
    <t>Card Issuer Action Code (PayPass) – On line</t>
  </si>
  <si>
    <t>CE</t>
  </si>
  <si>
    <t>Card Issuer Action Code (PayPass) – Default</t>
  </si>
  <si>
    <t>CD</t>
  </si>
  <si>
    <t>Card Issuer Action Code (PayPass) – Decline</t>
  </si>
  <si>
    <t>CF</t>
  </si>
  <si>
    <t>Card Issuer Action Code – On line</t>
  </si>
  <si>
    <t>Card Issuer Action Code – Default</t>
  </si>
  <si>
    <t>Card Issuer Action Code – Decline</t>
  </si>
  <si>
    <t>Application Version Number</t>
  </si>
  <si>
    <t>9F08</t>
  </si>
  <si>
    <t>Application Usage Control (AUC)</t>
  </si>
  <si>
    <t>9F07</t>
  </si>
  <si>
    <t>Application Transaction Counter Limit</t>
  </si>
  <si>
    <t>Application Priority indicator</t>
  </si>
  <si>
    <t>Application Primary Account Number (PAN)</t>
  </si>
  <si>
    <t>5A</t>
  </si>
  <si>
    <t>Application Primary Account Number – Sequence Number</t>
  </si>
  <si>
    <t>5F34</t>
  </si>
  <si>
    <t>Application preferred name</t>
  </si>
  <si>
    <t>9F12</t>
  </si>
  <si>
    <t>Application Life Cycle Data (ALCD)</t>
  </si>
  <si>
    <t>9F7E</t>
  </si>
  <si>
    <t>Application label</t>
  </si>
  <si>
    <t>Application Interchange Profile (PayPass) (AIP)</t>
  </si>
  <si>
    <t>D8</t>
  </si>
  <si>
    <t>Application Interchange Profile (AIP)</t>
  </si>
  <si>
    <t>Application Identifier (AID)</t>
  </si>
  <si>
    <t>4F</t>
  </si>
  <si>
    <t>Application File Locator (PayPass) (AFL)</t>
  </si>
  <si>
    <t>D9</t>
  </si>
  <si>
    <t>Application File Locator (AFL)</t>
  </si>
  <si>
    <t>Application expiration date</t>
  </si>
  <si>
    <t>5F24</t>
  </si>
  <si>
    <t>Application effective date</t>
  </si>
  <si>
    <t>5F25</t>
  </si>
  <si>
    <t>Application discretionary data</t>
  </si>
  <si>
    <t>9F05</t>
  </si>
  <si>
    <t>Application currency exponent</t>
  </si>
  <si>
    <t>9F44</t>
  </si>
  <si>
    <t>Application currency code</t>
  </si>
  <si>
    <t>9F42</t>
  </si>
  <si>
    <t>Application Control (PayPass)</t>
  </si>
  <si>
    <t>D7</t>
  </si>
  <si>
    <t>Application Control</t>
  </si>
  <si>
    <t>D5</t>
  </si>
  <si>
    <t>Additional Check Table</t>
  </si>
  <si>
    <t>D3</t>
  </si>
  <si>
    <t>AC Master Key (MKAC)</t>
  </si>
  <si>
    <t>Prés.</t>
  </si>
  <si>
    <t>Part.</t>
  </si>
  <si>
    <t>Type</t>
  </si>
  <si>
    <t>Src.</t>
  </si>
  <si>
    <t>Libellé</t>
  </si>
  <si>
    <t>Tag</t>
  </si>
  <si>
    <t>B/b</t>
  </si>
  <si>
    <t>1/8</t>
  </si>
  <si>
    <t>1/1</t>
  </si>
  <si>
    <t>1/7</t>
  </si>
  <si>
    <t>1/6</t>
  </si>
  <si>
    <t>1/5</t>
  </si>
  <si>
    <t>1/4</t>
  </si>
  <si>
    <t>1/3</t>
  </si>
  <si>
    <t>1/2</t>
  </si>
  <si>
    <t>2/8</t>
  </si>
  <si>
    <t>2/7</t>
  </si>
  <si>
    <t>2/6</t>
  </si>
  <si>
    <t>2/5</t>
  </si>
  <si>
    <t>2/4</t>
  </si>
  <si>
    <t>2/3</t>
  </si>
  <si>
    <t>2/2</t>
  </si>
  <si>
    <t>2/1</t>
  </si>
  <si>
    <t>Commentaires CB</t>
  </si>
  <si>
    <t>Commentaires MCW</t>
  </si>
  <si>
    <t>Donnée pouvant être spécifique entre interfaces dans le cas du double PAN
Règles CB (contrôle de validité par l’accepteur, contrôle d’opposition)</t>
  </si>
  <si>
    <t>Règle CB (contrôle de validité par l’accepteur)</t>
  </si>
  <si>
    <t>Valeur : CONTACT : 39 00 / CONTACTLESS : 19 00</t>
  </si>
  <si>
    <t>Valeur spécifique par interface : CONTACT : 0/1-000-XXXX / CONTACTLESS : 0000-XXXX</t>
  </si>
  <si>
    <r>
      <t xml:space="preserve">La valorisation peut être différente selon l’interface :
- CONTACT : </t>
    </r>
    <r>
      <rPr>
        <b/>
        <sz val="11"/>
        <color rgb="FFFF0000"/>
        <rFont val="Calibri"/>
        <family val="2"/>
        <scheme val="minor"/>
      </rPr>
      <t>00000000</t>
    </r>
    <r>
      <rPr>
        <sz val="11"/>
        <color theme="1"/>
        <rFont val="Calibri"/>
        <family val="2"/>
        <scheme val="minor"/>
      </rPr>
      <t xml:space="preserve"> </t>
    </r>
    <r>
      <rPr>
        <b/>
        <sz val="11"/>
        <color rgb="FFFF0000"/>
        <rFont val="Calibri"/>
        <family val="2"/>
        <scheme val="minor"/>
      </rPr>
      <t>00000000</t>
    </r>
    <r>
      <rPr>
        <sz val="11"/>
        <color theme="1"/>
        <rFont val="Calibri"/>
        <family val="2"/>
        <scheme val="minor"/>
      </rPr>
      <t xml:space="preserve"> </t>
    </r>
    <r>
      <rPr>
        <b/>
        <sz val="11"/>
        <color theme="0" tint="-0.499984740745262"/>
        <rFont val="Calibri"/>
        <family val="2"/>
        <scheme val="minor"/>
      </rPr>
      <t>42-01 04-03</t>
    </r>
    <r>
      <rPr>
        <sz val="11"/>
        <color theme="1"/>
        <rFont val="Calibri"/>
        <family val="2"/>
        <scheme val="minor"/>
      </rPr>
      <t xml:space="preserve"> </t>
    </r>
    <r>
      <rPr>
        <b/>
        <sz val="11"/>
        <color rgb="FFFF0000"/>
        <rFont val="Calibri"/>
        <family val="2"/>
        <scheme val="minor"/>
      </rPr>
      <t>01-03 02-03</t>
    </r>
    <r>
      <rPr>
        <sz val="11"/>
        <color theme="1"/>
        <rFont val="Calibri"/>
        <family val="2"/>
        <scheme val="minor"/>
      </rPr>
      <t xml:space="preserve"> </t>
    </r>
    <r>
      <rPr>
        <strike/>
        <sz val="11"/>
        <color theme="1"/>
        <rFont val="Calibri"/>
        <family val="2"/>
        <scheme val="minor"/>
      </rPr>
      <t>1F-03</t>
    </r>
    <r>
      <rPr>
        <sz val="11"/>
        <color theme="1"/>
        <rFont val="Calibri"/>
        <family val="2"/>
        <scheme val="minor"/>
      </rPr>
      <t xml:space="preserve">
- CONTACTLESS :</t>
    </r>
    <r>
      <rPr>
        <b/>
        <sz val="11"/>
        <color rgb="FFFF0000"/>
        <rFont val="Calibri"/>
        <family val="2"/>
        <scheme val="minor"/>
      </rPr>
      <t xml:space="preserve"> 00000000 00000000</t>
    </r>
    <r>
      <rPr>
        <sz val="11"/>
        <color theme="1"/>
        <rFont val="Calibri"/>
        <family val="2"/>
        <scheme val="minor"/>
      </rPr>
      <t xml:space="preserve"> </t>
    </r>
    <r>
      <rPr>
        <strike/>
        <sz val="11"/>
        <color theme="1"/>
        <rFont val="Calibri"/>
        <family val="2"/>
        <scheme val="minor"/>
      </rPr>
      <t>42-01 04-03 01-03 02-03</t>
    </r>
    <r>
      <rPr>
        <sz val="11"/>
        <color theme="1"/>
        <rFont val="Calibri"/>
        <family val="2"/>
        <scheme val="minor"/>
      </rPr>
      <t xml:space="preserve"> </t>
    </r>
    <r>
      <rPr>
        <b/>
        <sz val="11"/>
        <color rgb="FFFF0000"/>
        <rFont val="Calibri"/>
        <family val="2"/>
        <scheme val="minor"/>
      </rPr>
      <t>1F-03</t>
    </r>
    <r>
      <rPr>
        <sz val="11"/>
        <color theme="1"/>
        <rFont val="Calibri"/>
        <family val="2"/>
        <scheme val="minor"/>
      </rPr>
      <t xml:space="preserve">
Exigence de sécurité (spécifique en sans contact : pas d’authentification)</t>
    </r>
  </si>
  <si>
    <r>
      <t xml:space="preserve">La valorisation :
- CONTACT : 
   &gt; Mastercard : </t>
    </r>
    <r>
      <rPr>
        <b/>
        <sz val="11"/>
        <color rgb="FFFF0000"/>
        <rFont val="Calibri"/>
        <family val="2"/>
        <scheme val="minor"/>
      </rPr>
      <t>00000000 00000000</t>
    </r>
    <r>
      <rPr>
        <sz val="11"/>
        <color theme="1"/>
        <rFont val="Calibri"/>
        <family val="2"/>
        <scheme val="minor"/>
      </rPr>
      <t xml:space="preserve"> </t>
    </r>
    <r>
      <rPr>
        <b/>
        <sz val="11"/>
        <color theme="0" tint="-0.499984740745262"/>
        <rFont val="Calibri"/>
        <family val="2"/>
        <scheme val="minor"/>
      </rPr>
      <t>42-01</t>
    </r>
    <r>
      <rPr>
        <sz val="11"/>
        <color theme="1"/>
        <rFont val="Calibri"/>
        <family val="2"/>
        <scheme val="minor"/>
      </rPr>
      <t xml:space="preserve"> </t>
    </r>
    <r>
      <rPr>
        <strike/>
        <sz val="11"/>
        <color theme="1"/>
        <rFont val="Calibri"/>
        <family val="2"/>
        <scheme val="minor"/>
      </rPr>
      <t>02-04</t>
    </r>
    <r>
      <rPr>
        <sz val="11"/>
        <color theme="1"/>
        <rFont val="Calibri"/>
        <family val="2"/>
        <scheme val="minor"/>
      </rPr>
      <t xml:space="preserve"> </t>
    </r>
    <r>
      <rPr>
        <b/>
        <sz val="11"/>
        <color theme="0" tint="-0.499984740745262"/>
        <rFont val="Calibri"/>
        <family val="2"/>
        <scheme val="minor"/>
      </rPr>
      <t>44-03</t>
    </r>
    <r>
      <rPr>
        <strike/>
        <sz val="11"/>
        <color theme="1"/>
        <rFont val="Calibri"/>
        <family val="2"/>
        <scheme val="minor"/>
      </rPr>
      <t xml:space="preserve"> 02-00</t>
    </r>
    <r>
      <rPr>
        <sz val="11"/>
        <color theme="1"/>
        <rFont val="Calibri"/>
        <family val="2"/>
        <scheme val="minor"/>
      </rPr>
      <t xml:space="preserve"> </t>
    </r>
    <r>
      <rPr>
        <b/>
        <sz val="11"/>
        <color rgb="FFFF0000"/>
        <rFont val="Calibri"/>
        <family val="2"/>
        <scheme val="minor"/>
      </rPr>
      <t>41-03 5E-03 42-03</t>
    </r>
    <r>
      <rPr>
        <sz val="11"/>
        <color theme="1"/>
        <rFont val="Calibri"/>
        <family val="2"/>
        <scheme val="minor"/>
      </rPr>
      <t xml:space="preserve"> </t>
    </r>
    <r>
      <rPr>
        <strike/>
        <sz val="11"/>
        <color theme="1"/>
        <rFont val="Calibri"/>
        <family val="2"/>
        <scheme val="minor"/>
      </rPr>
      <t>42-00</t>
    </r>
    <r>
      <rPr>
        <sz val="11"/>
        <color theme="1"/>
        <rFont val="Calibri"/>
        <family val="2"/>
        <scheme val="minor"/>
      </rPr>
      <t xml:space="preserve"> </t>
    </r>
    <r>
      <rPr>
        <b/>
        <sz val="11"/>
        <color rgb="FFFF0000"/>
        <rFont val="Calibri"/>
        <family val="2"/>
        <scheme val="minor"/>
      </rPr>
      <t xml:space="preserve">1F-03
</t>
    </r>
    <r>
      <rPr>
        <sz val="11"/>
        <rFont val="Calibri"/>
        <family val="2"/>
        <scheme val="minor"/>
      </rPr>
      <t xml:space="preserve">   &gt; Maestro :</t>
    </r>
    <r>
      <rPr>
        <b/>
        <sz val="11"/>
        <color rgb="FFFF0000"/>
        <rFont val="Calibri"/>
        <family val="2"/>
        <scheme val="minor"/>
      </rPr>
      <t xml:space="preserve"> 00000000 00000000 </t>
    </r>
    <r>
      <rPr>
        <b/>
        <sz val="11"/>
        <color theme="0" tint="-0.499984740745262"/>
        <rFont val="Calibri"/>
        <family val="2"/>
        <scheme val="minor"/>
      </rPr>
      <t>42-01</t>
    </r>
    <r>
      <rPr>
        <b/>
        <sz val="11"/>
        <color rgb="FFFF0000"/>
        <rFont val="Calibri"/>
        <family val="2"/>
        <scheme val="minor"/>
      </rPr>
      <t xml:space="preserve"> 02-04 </t>
    </r>
    <r>
      <rPr>
        <b/>
        <sz val="11"/>
        <color theme="0" tint="-0.499984740745262"/>
        <rFont val="Calibri"/>
        <family val="2"/>
        <scheme val="minor"/>
      </rPr>
      <t>44-03</t>
    </r>
    <r>
      <rPr>
        <b/>
        <sz val="11"/>
        <color rgb="FFFF0000"/>
        <rFont val="Calibri"/>
        <family val="2"/>
        <scheme val="minor"/>
      </rPr>
      <t xml:space="preserve"> </t>
    </r>
    <r>
      <rPr>
        <strike/>
        <sz val="11"/>
        <rFont val="Calibri"/>
        <family val="2"/>
        <scheme val="minor"/>
      </rPr>
      <t>02-00</t>
    </r>
    <r>
      <rPr>
        <b/>
        <sz val="11"/>
        <color rgb="FFFF0000"/>
        <rFont val="Calibri"/>
        <family val="2"/>
        <scheme val="minor"/>
      </rPr>
      <t xml:space="preserve"> 41-03 </t>
    </r>
    <r>
      <rPr>
        <strike/>
        <sz val="11"/>
        <rFont val="Calibri"/>
        <family val="2"/>
        <scheme val="minor"/>
      </rPr>
      <t>5E-03</t>
    </r>
    <r>
      <rPr>
        <b/>
        <sz val="11"/>
        <color rgb="FFFF0000"/>
        <rFont val="Calibri"/>
        <family val="2"/>
        <scheme val="minor"/>
      </rPr>
      <t xml:space="preserve"> </t>
    </r>
    <r>
      <rPr>
        <strike/>
        <sz val="11"/>
        <rFont val="Calibri"/>
        <family val="2"/>
        <scheme val="minor"/>
      </rPr>
      <t>42-03</t>
    </r>
    <r>
      <rPr>
        <b/>
        <sz val="11"/>
        <color rgb="FFFF0000"/>
        <rFont val="Calibri"/>
        <family val="2"/>
        <scheme val="minor"/>
      </rPr>
      <t xml:space="preserve"> 42-00 </t>
    </r>
    <r>
      <rPr>
        <strike/>
        <sz val="11"/>
        <rFont val="Calibri"/>
        <family val="2"/>
        <scheme val="minor"/>
      </rPr>
      <t>1F-03</t>
    </r>
    <r>
      <rPr>
        <sz val="11"/>
        <color theme="1"/>
        <rFont val="Calibri"/>
        <family val="2"/>
        <scheme val="minor"/>
      </rPr>
      <t xml:space="preserve">
   &gt; Cirrus :</t>
    </r>
    <r>
      <rPr>
        <b/>
        <sz val="11"/>
        <color rgb="FFFF0000"/>
        <rFont val="Calibri"/>
        <family val="2"/>
        <scheme val="minor"/>
      </rPr>
      <t xml:space="preserve"> 00000000 00000000</t>
    </r>
    <r>
      <rPr>
        <sz val="11"/>
        <color theme="1"/>
        <rFont val="Calibri"/>
        <family val="2"/>
        <scheme val="minor"/>
      </rPr>
      <t xml:space="preserve"> </t>
    </r>
    <r>
      <rPr>
        <strike/>
        <sz val="11"/>
        <color theme="1"/>
        <rFont val="Calibri"/>
        <family val="2"/>
        <scheme val="minor"/>
      </rPr>
      <t>42-01 02-04 44-03</t>
    </r>
    <r>
      <rPr>
        <sz val="11"/>
        <color theme="1"/>
        <rFont val="Calibri"/>
        <family val="2"/>
        <scheme val="minor"/>
      </rPr>
      <t xml:space="preserve"> </t>
    </r>
    <r>
      <rPr>
        <b/>
        <sz val="11"/>
        <color rgb="FFFF0000"/>
        <rFont val="Calibri"/>
        <family val="2"/>
        <scheme val="minor"/>
      </rPr>
      <t>02-00</t>
    </r>
    <r>
      <rPr>
        <sz val="11"/>
        <color theme="1"/>
        <rFont val="Calibri"/>
        <family val="2"/>
        <scheme val="minor"/>
      </rPr>
      <t xml:space="preserve"> </t>
    </r>
    <r>
      <rPr>
        <strike/>
        <sz val="11"/>
        <color theme="1"/>
        <rFont val="Calibri"/>
        <family val="2"/>
        <scheme val="minor"/>
      </rPr>
      <t>41-03 5E-03 42-03 42-00 1F-03</t>
    </r>
    <r>
      <rPr>
        <sz val="11"/>
        <color theme="1"/>
        <rFont val="Calibri"/>
        <family val="2"/>
        <scheme val="minor"/>
      </rPr>
      <t xml:space="preserve">
- CONTACTLESS : </t>
    </r>
    <r>
      <rPr>
        <b/>
        <sz val="11"/>
        <color rgb="FFFF0000"/>
        <rFont val="Calibri"/>
        <family val="2"/>
        <scheme val="minor"/>
      </rPr>
      <t>00000000 00000000</t>
    </r>
    <r>
      <rPr>
        <sz val="11"/>
        <color theme="1"/>
        <rFont val="Calibri"/>
        <family val="2"/>
        <scheme val="minor"/>
      </rPr>
      <t xml:space="preserve"> </t>
    </r>
    <r>
      <rPr>
        <strike/>
        <sz val="11"/>
        <color theme="1"/>
        <rFont val="Calibri"/>
        <family val="2"/>
        <scheme val="minor"/>
      </rPr>
      <t>42-01 02-04 44-03 02-00 41-03</t>
    </r>
    <r>
      <rPr>
        <sz val="11"/>
        <color theme="1"/>
        <rFont val="Calibri"/>
        <family val="2"/>
        <scheme val="minor"/>
      </rPr>
      <t xml:space="preserve"> </t>
    </r>
    <r>
      <rPr>
        <b/>
        <sz val="11"/>
        <color rgb="FFFF0000"/>
        <rFont val="Calibri"/>
        <family val="2"/>
        <scheme val="minor"/>
      </rPr>
      <t>5E-03</t>
    </r>
    <r>
      <rPr>
        <sz val="11"/>
        <color theme="1"/>
        <rFont val="Calibri"/>
        <family val="2"/>
        <scheme val="minor"/>
      </rPr>
      <t xml:space="preserve"> </t>
    </r>
    <r>
      <rPr>
        <b/>
        <sz val="11"/>
        <color rgb="FFFF0000"/>
        <rFont val="Calibri"/>
        <family val="2"/>
        <scheme val="minor"/>
      </rPr>
      <t>42-03</t>
    </r>
    <r>
      <rPr>
        <sz val="11"/>
        <color theme="1"/>
        <rFont val="Calibri"/>
        <family val="2"/>
        <scheme val="minor"/>
      </rPr>
      <t xml:space="preserve"> </t>
    </r>
    <r>
      <rPr>
        <strike/>
        <sz val="11"/>
        <color theme="1"/>
        <rFont val="Calibri"/>
        <family val="2"/>
        <scheme val="minor"/>
      </rPr>
      <t>42-00</t>
    </r>
    <r>
      <rPr>
        <sz val="11"/>
        <color theme="1"/>
        <rFont val="Calibri"/>
        <family val="2"/>
        <scheme val="minor"/>
      </rPr>
      <t xml:space="preserve"> </t>
    </r>
    <r>
      <rPr>
        <b/>
        <sz val="11"/>
        <color rgb="FFFF0000"/>
        <rFont val="Calibri"/>
        <family val="2"/>
        <scheme val="minor"/>
      </rPr>
      <t>1F-03</t>
    </r>
  </si>
  <si>
    <t>Exigence de sécurité (authentification de l’application carte)</t>
  </si>
  <si>
    <t>Règle CB (contrôle de validité par l’accepteur)
Toutefois, les spécificités suivantes doivent être prises en compte :
􀂃 l’information « usage international » d’une application CB doit être positionnée pour éviter le rejet d’une transaction CB lorsque ’Transaction Currency Code’ est différent de ‘Application Currency Code’ ;
􀂃 l’information « usage domestique » d’une application agréée doit être positionnée pour éviter le rejet d’une transaction par carte agréée lorsque ’Transaction Currency Code’ est identique à ‘Application Currency Code’</t>
  </si>
  <si>
    <t>Valeur : 03</t>
  </si>
  <si>
    <t>Valeur : 02</t>
  </si>
  <si>
    <t>Donnée pouvant être spécifique entre interfaces dans le cas du double PAN
Exigence de sécurité (authentification de l’application carte)</t>
  </si>
  <si>
    <t>Valeur : CONTACTLESS : 19 00</t>
  </si>
  <si>
    <t>3/8</t>
  </si>
  <si>
    <t>3/7</t>
  </si>
  <si>
    <t>3/6</t>
  </si>
  <si>
    <t>3/5</t>
  </si>
  <si>
    <t>3/4</t>
  </si>
  <si>
    <t>3/3</t>
  </si>
  <si>
    <t>3/2</t>
  </si>
  <si>
    <t>3/1</t>
  </si>
  <si>
    <t>4/8</t>
  </si>
  <si>
    <t>4/7</t>
  </si>
  <si>
    <t>4/6</t>
  </si>
  <si>
    <t>4/5</t>
  </si>
  <si>
    <t>4/4</t>
  </si>
  <si>
    <t>4/3</t>
  </si>
  <si>
    <t>4/2</t>
  </si>
  <si>
    <t>4/1</t>
  </si>
  <si>
    <t>5/8</t>
  </si>
  <si>
    <t>5/7</t>
  </si>
  <si>
    <t>5/6</t>
  </si>
  <si>
    <t>5/5</t>
  </si>
  <si>
    <t>5/4</t>
  </si>
  <si>
    <t>5/3</t>
  </si>
  <si>
    <t>5/2</t>
  </si>
  <si>
    <t>5/1</t>
  </si>
  <si>
    <t>R</t>
  </si>
  <si>
    <t>données authent CB</t>
  </si>
  <si>
    <t>données authent MCW</t>
  </si>
  <si>
    <t>Exigence de sécurité (authentification de l’application carte)
Valeur : 9F37 - Unpredicatble number</t>
  </si>
  <si>
    <t>Valeur : 9F37 - Unpredicatble number</t>
  </si>
  <si>
    <t>identique sur les pistes ISO1 et ISO2, dans la donnée Track 2 Equivalent Data (tag 57)</t>
  </si>
  <si>
    <t>9F02 - Amount Authorized
9F27 - Cryptogram Information Data
9F1A - Terminal Country Code
5F2A - Transaction Currency Code
9A - Transaction Date
9C - TransactionType
9F36 - Application Transaction Counter (ATC)
9F52 - Card Verification Result (CVR)
DF3E -Interface Identifier
9F4E - Merchant Name and Location
9F21 - Transaction Time</t>
  </si>
  <si>
    <t>9F02 -Amount, authorised 
9F03 - Amount, other
9F34 - CVM Results
9F4E - Merchant Name and Location 
9F1A - Terminal country code 
9F35 - Terminal type 
95 - Terminal Verification Results
5F2A - Transaction Currency Code 
9A - Transaction Date 
9F21 - Transaction Time 
9C - Transaction Type 
9F37 - Unpredictable number</t>
  </si>
  <si>
    <t>8A - Authorization response code
91 - Issuer authentication data
95 - Terminal Verification Results
9F37 - Unpredictable number</t>
  </si>
  <si>
    <t>Octet 1 : 99/D9
Octet 2 : F4
Octet 3 : FC/FD/FE/FF</t>
  </si>
  <si>
    <t>Octet 1 : 00
Octet 2 : 00
Octet 3 : 00</t>
  </si>
  <si>
    <t>0978 01 0 - 0978 01 0 - 0978 01 0 - 0978 01 0 - 0978 01 0</t>
  </si>
  <si>
    <t>bit ‘Go online on next transaction’ doit être positionné en personnalisation, afin de forcer l’autorisation de la 1ère transaction en mode contact en combinaison soit avec la saturation des compteurs soit avec le CIAC 2/4 valorisé à {0, 1, 1}.</t>
  </si>
  <si>
    <t>Octet 1 : de 0C à 0F, 1C à 1F
Octet 2 : 00
Octet 3 : de 00 à 07, de 10 à 17</t>
  </si>
  <si>
    <t>Octet 1 : de 00 à 03
Octet 2 : 00
Octet 3 : de 00 à 07, de 10 à 17</t>
  </si>
  <si>
    <t>Contactless Application Capabilities Type (9F28)</t>
  </si>
  <si>
    <t>Application presence</t>
  </si>
  <si>
    <t>E004</t>
  </si>
  <si>
    <t>08A000</t>
  </si>
  <si>
    <t>C6</t>
  </si>
  <si>
    <t>00A80C</t>
  </si>
  <si>
    <t>0008FC</t>
  </si>
  <si>
    <t>2B</t>
  </si>
  <si>
    <t>0978</t>
  </si>
  <si>
    <t>000000030000</t>
  </si>
  <si>
    <t>000000040000</t>
  </si>
  <si>
    <t>00000000000000000000000000000000000000000000000000</t>
  </si>
  <si>
    <t>000000000000000000000000000000000000</t>
  </si>
  <si>
    <t>9C00</t>
  </si>
  <si>
    <t>0010</t>
  </si>
  <si>
    <t>MASTERCARD</t>
  </si>
  <si>
    <t>000000</t>
  </si>
  <si>
    <t>00</t>
  </si>
  <si>
    <t>DF60</t>
  </si>
  <si>
    <t>0B19</t>
  </si>
  <si>
    <t>DF62</t>
  </si>
  <si>
    <t>479051418231B08C24092213880431170000010122130101229901012299114976030901310812345678FFFFFFFFFFFF</t>
  </si>
  <si>
    <t>0E00</t>
  </si>
  <si>
    <t>AUC</t>
  </si>
  <si>
    <t>Valid for domestic cash transactions</t>
  </si>
  <si>
    <t>Valid for international cash transactions</t>
  </si>
  <si>
    <t>Valid for domestic goods</t>
  </si>
  <si>
    <t>Valid for international goods</t>
  </si>
  <si>
    <t>Valid for domestic services</t>
  </si>
  <si>
    <t>Valid for international services</t>
  </si>
  <si>
    <t>Valid at ATMs</t>
  </si>
  <si>
    <t>Valid at terminals other than ATMs</t>
  </si>
  <si>
    <t>Domestic cashback allowed</t>
  </si>
  <si>
    <t>International cashback allowed</t>
  </si>
  <si>
    <t>3100</t>
  </si>
  <si>
    <t>3900</t>
  </si>
  <si>
    <t>2FFCFC</t>
  </si>
  <si>
    <t>03212002</t>
  </si>
  <si>
    <t>C338200B</t>
  </si>
  <si>
    <t>A0C003240800</t>
  </si>
  <si>
    <t>Terminal Cap</t>
  </si>
  <si>
    <t>Terminal Capabilities</t>
  </si>
  <si>
    <t>Manuel key Entry</t>
  </si>
  <si>
    <t>Magnetic stripe</t>
  </si>
  <si>
    <t>IC with contacts</t>
  </si>
  <si>
    <t>Plaintext PIN for ICC verification</t>
  </si>
  <si>
    <t>Enciphered PIN for online verification</t>
  </si>
  <si>
    <t>signature (paper)</t>
  </si>
  <si>
    <t>Enciphered PIN for offline verification</t>
  </si>
  <si>
    <t>SDA</t>
  </si>
  <si>
    <t>DDA</t>
  </si>
  <si>
    <t>Card capture</t>
  </si>
  <si>
    <t>CDA</t>
  </si>
  <si>
    <t>Additional Terminal Capabilities</t>
  </si>
  <si>
    <t>No CVM required</t>
  </si>
  <si>
    <t>Cash</t>
  </si>
  <si>
    <t>goods</t>
  </si>
  <si>
    <t>Services</t>
  </si>
  <si>
    <t>Cashback</t>
  </si>
  <si>
    <t>Inquiry</t>
  </si>
  <si>
    <t>Transfer</t>
  </si>
  <si>
    <t>Payment</t>
  </si>
  <si>
    <t>Administrative</t>
  </si>
  <si>
    <t>Cash deposit</t>
  </si>
  <si>
    <t>Numeric keys</t>
  </si>
  <si>
    <t>Alphabetic and special characters keys</t>
  </si>
  <si>
    <t>Command keys</t>
  </si>
  <si>
    <t>Function keys</t>
  </si>
  <si>
    <t>Print, attendant</t>
  </si>
  <si>
    <t>Print, cardholder</t>
  </si>
  <si>
    <t>Display, attendant</t>
  </si>
  <si>
    <t>Display, cardholder</t>
  </si>
  <si>
    <t>Code table 10</t>
  </si>
  <si>
    <t>Code table 9</t>
  </si>
  <si>
    <t>Code table 8</t>
  </si>
  <si>
    <t>Code table 7</t>
  </si>
  <si>
    <t>Code table 6</t>
  </si>
  <si>
    <t>Code table 5</t>
  </si>
  <si>
    <t>Code table 4</t>
  </si>
  <si>
    <t>Code table 3</t>
  </si>
  <si>
    <t>Code table 2</t>
  </si>
  <si>
    <t>Code table 1</t>
  </si>
  <si>
    <t>Additionnal terminal cap</t>
  </si>
  <si>
    <t>TSI</t>
  </si>
  <si>
    <t>Offline data authentication was performed</t>
  </si>
  <si>
    <t>Cardholder verification was performed</t>
  </si>
  <si>
    <t>Card risk management was performed</t>
  </si>
  <si>
    <t>Issuer authentication was performed</t>
  </si>
  <si>
    <t>Terminal risk management was performed</t>
  </si>
  <si>
    <t>Script processing was performed</t>
  </si>
  <si>
    <t>C0A800510390</t>
  </si>
  <si>
    <t>7F0000010390</t>
  </si>
  <si>
    <t>2090C8</t>
  </si>
  <si>
    <t>2400000000</t>
  </si>
  <si>
    <t>C000</t>
  </si>
  <si>
    <t>6.6 Card Reading</t>
  </si>
  <si>
    <t>If the terminal does not have a combined IC and magnetic stripe reader, when</t>
  </si>
  <si>
    <t>the magnetic stripe of the card is read and the service code begins with a '2' or a</t>
  </si>
  <si>
    <t>'6' indicating that an IC is present, the terminal shall prompt for the card to be</t>
  </si>
  <si>
    <t>inserted into the IC reader such as by displaying the ‘USE CHIP READER’</t>
  </si>
  <si>
    <t>message.</t>
  </si>
  <si>
    <t>If the terminal has a combined IC and magnetic stripe reader, when the</t>
  </si>
  <si>
    <t>magnetic stripe of the card is read and the service code begins with a '2' or a '6'</t>
  </si>
  <si>
    <t>indicating that an IC is present, the terminal shall process the transaction using</t>
  </si>
  <si>
    <t>the IC.</t>
  </si>
  <si>
    <t>6.6.2 Exception Handling</t>
  </si>
  <si>
    <t>When an attended terminal attempts and fails to read the ICC but the magnetic</t>
  </si>
  <si>
    <t>stripe of the card is successfully read, the terminal shall set the POS Entry Mode</t>
  </si>
  <si>
    <t>Code in the transaction message(s) to ‘Magnetic stripe read, last transaction was</t>
  </si>
  <si>
    <t>an unsuccessful IC read’ if the service code on the magnetic stripe indicates that</t>
  </si>
  <si>
    <t>an IC is present.5</t>
  </si>
  <si>
    <t>Payment system rules determine whether fallback to magnetic stripe is allowed</t>
  </si>
  <si>
    <t>after the failure of an IC-read transaction. This behaviour is outside the scope of</t>
  </si>
  <si>
    <t>EMV specifications.</t>
  </si>
  <si>
    <t>ff10181000</t>
  </si>
  <si>
    <t>If: and if</t>
  </si>
  <si>
    <t>Issuer Country Code:</t>
  </si>
  <si>
    <t>then the following bit must be</t>
  </si>
  <si>
    <t>set to 1 in</t>
  </si>
  <si>
    <t>Application Usage Control:</t>
  </si>
  <si>
    <t>Transaction Type</t>
  </si>
  <si>
    <t>indicates cash</t>
  </si>
  <si>
    <t>transaction</t>
  </si>
  <si>
    <t>matches</t>
  </si>
  <si>
    <t>Terminal Country Code</t>
  </si>
  <si>
    <t>‘Valid for domestic cash</t>
  </si>
  <si>
    <t>transactions’</t>
  </si>
  <si>
    <t>does not match</t>
  </si>
  <si>
    <t>‘Valid for international cash</t>
  </si>
  <si>
    <t>indicates</t>
  </si>
  <si>
    <t>purchase (of</t>
  </si>
  <si>
    <t>goods/services)</t>
  </si>
  <si>
    <t>‘Valid for domestic goods’ and/or</t>
  </si>
  <si>
    <t>‘Valid for domestic services’</t>
  </si>
  <si>
    <t>‘Valid for international goods’</t>
  </si>
  <si>
    <t>and/or ‘Valid for international</t>
  </si>
  <si>
    <t>services’</t>
  </si>
  <si>
    <t>transaction has a</t>
  </si>
  <si>
    <t>cashback amount</t>
  </si>
  <si>
    <t>‘Domestic cashback allowed’</t>
  </si>
  <si>
    <t>If the Application Usage Control and Issuer Country Code are both present in the</t>
  </si>
  <si>
    <t>ICC, the terminal shall make the checks described in Table 32.</t>
  </si>
  <si>
    <t>If the transaction is being conducted at an ATM, the ‘Valid at ATMs’ bit must</t>
  </si>
  <si>
    <t>be on in Application Usage Control.</t>
  </si>
  <si>
    <t> If the transaction is not being conducted at an ATM, the ‘Valid at terminals</t>
  </si>
  <si>
    <t>other than ATMs’ bit must be on in Application Usage Control.</t>
  </si>
  <si>
    <t>If any of the above tests fail, the terminal shall set the ‘Requested service not</t>
  </si>
  <si>
    <t>allowed for card product’ bit in the TVR to 1.</t>
  </si>
  <si>
    <t>‘International cashback allowed’</t>
  </si>
  <si>
    <t>Table 32: Terminal Action Regarding Application Usage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</si>
</sst>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sz val="11"/>
      <name val="Calibri"/>
      <family val="2"/>
      <scheme val="minor"/>
    </font>
    <font>
      <sz val="11"/>
      <color rgb="FFFF0000"/>
      <name val="Calibri"/>
      <family val="2"/>
      <scheme val="minor"/>
    </font>
    <font>
      <b/>
      <sz val="11"/>
      <color rgb="FFFF0000"/>
      <name val="Calibri"/>
      <family val="2"/>
      <scheme val="minor"/>
    </font>
    <font>
      <b/>
      <sz val="11"/>
      <color theme="0" tint="-0.499984740745262"/>
      <name val="Calibri"/>
      <family val="2"/>
      <scheme val="minor"/>
    </font>
    <font>
      <strike/>
      <sz val="11"/>
      <color theme="1"/>
      <name val="Calibri"/>
      <family val="2"/>
      <scheme val="minor"/>
    </font>
    <font>
      <strike/>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1" tint="4.9989318521683403E-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5" tint="0.79998168889431442"/>
        <bgColor theme="1"/>
      </patternFill>
    </fill>
    <fill>
      <patternFill patternType="solid">
        <fgColor theme="0" tint="-0.14999847407452621"/>
        <bgColor indexed="64"/>
      </patternFill>
    </fill>
    <fill>
      <patternFill patternType="solid">
        <fgColor theme="5" tint="0.39997558519241921"/>
        <bgColor indexed="64"/>
      </patternFill>
    </fill>
    <fill>
      <patternFill patternType="solid">
        <fgColor theme="8" tint="0.59999389629810485"/>
        <bgColor indexed="64"/>
      </patternFill>
    </fill>
  </fills>
  <borders count="3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5">
    <xf numFmtId="0" fontId="0" fillId="0" borderId="0" xfId="0"/>
    <xf numFmtId="49" fontId="0" fillId="2" borderId="1" xfId="0" applyNumberFormat="1"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xf numFmtId="0" fontId="0" fillId="5" borderId="0" xfId="0" applyFill="1"/>
    <xf numFmtId="0" fontId="1" fillId="6" borderId="0" xfId="0" applyFont="1" applyFill="1" applyAlignment="1">
      <alignment horizontal="center"/>
    </xf>
    <xf numFmtId="0" fontId="2" fillId="6"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0" fillId="0" borderId="0" xfId="0" applyAlignment="1">
      <alignment horizontal="center" vertical="center"/>
    </xf>
    <xf numFmtId="0" fontId="0" fillId="7" borderId="11" xfId="0" applyFill="1" applyBorder="1"/>
    <xf numFmtId="0" fontId="0" fillId="2" borderId="11" xfId="0" applyFill="1" applyBorder="1" applyAlignment="1">
      <alignment horizontal="center" vertical="center"/>
    </xf>
    <xf numFmtId="0" fontId="0" fillId="7" borderId="11" xfId="0" applyFill="1" applyBorder="1" applyAlignment="1">
      <alignment horizontal="center" vertical="center"/>
    </xf>
    <xf numFmtId="0" fontId="0" fillId="0" borderId="0" xfId="0"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8" borderId="0" xfId="0" applyFont="1" applyFill="1"/>
    <xf numFmtId="0" fontId="3" fillId="8" borderId="0" xfId="0" applyFont="1" applyFill="1" applyAlignment="1">
      <alignment wrapText="1"/>
    </xf>
    <xf numFmtId="0" fontId="4" fillId="0" borderId="0" xfId="1"/>
    <xf numFmtId="0" fontId="0" fillId="0" borderId="0" xfId="0" applyAlignment="1"/>
    <xf numFmtId="0" fontId="0" fillId="0" borderId="0" xfId="0" applyAlignment="1">
      <alignment vertical="center"/>
    </xf>
    <xf numFmtId="0" fontId="0" fillId="0" borderId="0" xfId="0" applyAlignment="1">
      <alignment horizontal="center"/>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0"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49" fontId="0" fillId="2" borderId="10" xfId="0" applyNumberFormat="1" applyFill="1" applyBorder="1"/>
    <xf numFmtId="0" fontId="2" fillId="6" borderId="0" xfId="0" applyFont="1" applyFill="1" applyAlignment="1">
      <alignment horizontal="center"/>
    </xf>
    <xf numFmtId="0" fontId="2" fillId="6" borderId="7" xfId="0" applyFont="1" applyFill="1" applyBorder="1" applyAlignment="1">
      <alignment horizontal="center"/>
    </xf>
    <xf numFmtId="0" fontId="2" fillId="6" borderId="8" xfId="0" applyFont="1" applyFill="1" applyBorder="1" applyAlignment="1">
      <alignment horizontal="center"/>
    </xf>
    <xf numFmtId="0" fontId="2" fillId="6" borderId="9" xfId="0" applyFont="1" applyFill="1" applyBorder="1" applyAlignment="1">
      <alignment horizontal="center"/>
    </xf>
    <xf numFmtId="0" fontId="0" fillId="0" borderId="2" xfId="0" applyBorder="1" applyAlignment="1">
      <alignment vertical="center"/>
    </xf>
    <xf numFmtId="0" fontId="0" fillId="0" borderId="0" xfId="0"/>
    <xf numFmtId="0" fontId="0" fillId="0" borderId="3" xfId="0" applyBorder="1" applyAlignment="1">
      <alignment vertical="center"/>
    </xf>
    <xf numFmtId="0" fontId="0" fillId="0" borderId="7" xfId="0" applyBorder="1" applyAlignment="1">
      <alignment vertical="center" wrapText="1"/>
    </xf>
    <xf numFmtId="0" fontId="2" fillId="6" borderId="7" xfId="0" applyFont="1" applyFill="1" applyBorder="1" applyAlignment="1">
      <alignment horizontal="center" vertical="center"/>
    </xf>
    <xf numFmtId="0" fontId="0" fillId="8" borderId="0" xfId="0" applyFill="1"/>
    <xf numFmtId="0" fontId="0" fillId="8" borderId="0" xfId="0" applyFill="1" applyAlignment="1">
      <alignment horizontal="center"/>
    </xf>
    <xf numFmtId="0" fontId="7" fillId="0" borderId="3" xfId="0" applyFont="1" applyBorder="1" applyAlignment="1">
      <alignment horizontal="center"/>
    </xf>
    <xf numFmtId="0" fontId="7" fillId="0" borderId="0" xfId="0" applyFont="1" applyBorder="1" applyAlignment="1">
      <alignment horizontal="center"/>
    </xf>
    <xf numFmtId="0" fontId="0" fillId="8" borderId="0" xfId="0" applyFill="1" applyAlignment="1">
      <alignment wrapText="1"/>
    </xf>
    <xf numFmtId="0" fontId="0" fillId="0" borderId="0" xfId="0" applyAlignment="1">
      <alignment horizontal="center"/>
    </xf>
    <xf numFmtId="49" fontId="0" fillId="8" borderId="0" xfId="0" applyNumberFormat="1" applyFill="1"/>
    <xf numFmtId="49" fontId="0" fillId="5" borderId="0" xfId="0" applyNumberFormat="1" applyFill="1"/>
    <xf numFmtId="49" fontId="0" fillId="2" borderId="0" xfId="0" applyNumberFormat="1" applyFill="1" applyBorder="1" applyAlignment="1">
      <alignment horizontal="center"/>
    </xf>
    <xf numFmtId="49" fontId="0" fillId="0" borderId="0" xfId="0" applyNumberFormat="1"/>
    <xf numFmtId="49" fontId="0" fillId="0" borderId="0" xfId="0" applyNumberFormat="1" applyFill="1"/>
    <xf numFmtId="49" fontId="0" fillId="0" borderId="0" xfId="0" applyNumberFormat="1" applyFill="1" applyBorder="1" applyAlignment="1">
      <alignment horizontal="center"/>
    </xf>
    <xf numFmtId="49" fontId="0" fillId="2" borderId="0" xfId="0" applyNumberFormat="1" applyFill="1"/>
    <xf numFmtId="0" fontId="8" fillId="2" borderId="8" xfId="0" applyFont="1" applyFill="1" applyBorder="1" applyAlignment="1">
      <alignment horizontal="center"/>
    </xf>
    <xf numFmtId="0" fontId="8" fillId="2" borderId="9" xfId="0" applyFont="1" applyFill="1" applyBorder="1" applyAlignment="1">
      <alignment horizontal="center"/>
    </xf>
    <xf numFmtId="0" fontId="0" fillId="2" borderId="0" xfId="0" applyFill="1"/>
    <xf numFmtId="0" fontId="7" fillId="2" borderId="8" xfId="0" applyFont="1" applyFill="1" applyBorder="1" applyAlignment="1">
      <alignment horizontal="center"/>
    </xf>
    <xf numFmtId="0" fontId="7" fillId="2" borderId="9" xfId="0" applyFont="1" applyFill="1" applyBorder="1" applyAlignment="1">
      <alignment horizontal="center"/>
    </xf>
    <xf numFmtId="0" fontId="0" fillId="0" borderId="12" xfId="0" applyBorder="1"/>
    <xf numFmtId="0" fontId="0" fillId="0" borderId="13" xfId="0" applyBorder="1" applyAlignment="1">
      <alignment horizontal="center"/>
    </xf>
    <xf numFmtId="0" fontId="0" fillId="0" borderId="14" xfId="0" applyBorder="1"/>
    <xf numFmtId="0" fontId="0" fillId="2" borderId="14" xfId="0" applyFill="1" applyBorder="1" applyAlignment="1">
      <alignment horizontal="center"/>
    </xf>
    <xf numFmtId="0" fontId="2" fillId="0" borderId="0" xfId="0" applyFont="1"/>
    <xf numFmtId="49" fontId="0" fillId="2" borderId="1" xfId="0" quotePrefix="1" applyNumberFormat="1" applyFill="1" applyBorder="1"/>
    <xf numFmtId="0" fontId="0" fillId="0" borderId="0" xfId="0"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0" xfId="0" quotePrefix="1"/>
    <xf numFmtId="0" fontId="0" fillId="0" borderId="0" xfId="0" applyFont="1"/>
    <xf numFmtId="0" fontId="7" fillId="0" borderId="17"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10" borderId="0" xfId="0" applyFont="1" applyFill="1" applyBorder="1" applyAlignment="1">
      <alignment horizontal="center" vertical="center" wrapText="1"/>
    </xf>
    <xf numFmtId="0" fontId="7" fillId="10" borderId="24" xfId="0" applyFont="1" applyFill="1" applyBorder="1" applyAlignment="1">
      <alignment horizontal="center" vertical="center" wrapText="1"/>
    </xf>
    <xf numFmtId="0" fontId="7" fillId="10" borderId="18" xfId="0" applyFont="1" applyFill="1" applyBorder="1" applyAlignment="1">
      <alignment horizontal="center" vertical="center" wrapText="1"/>
    </xf>
    <xf numFmtId="0" fontId="7" fillId="10" borderId="23" xfId="0" applyFont="1" applyFill="1" applyBorder="1" applyAlignment="1">
      <alignment horizontal="center" vertical="center" wrapText="1"/>
    </xf>
    <xf numFmtId="0" fontId="7" fillId="10" borderId="25" xfId="0" applyFont="1" applyFill="1" applyBorder="1" applyAlignment="1">
      <alignment horizontal="center" vertical="center" wrapText="1"/>
    </xf>
    <xf numFmtId="0" fontId="7" fillId="10" borderId="27" xfId="0" applyFont="1" applyFill="1" applyBorder="1" applyAlignment="1">
      <alignment horizontal="center" vertical="center" wrapText="1"/>
    </xf>
    <xf numFmtId="0" fontId="7" fillId="11" borderId="24" xfId="0" applyFont="1" applyFill="1" applyBorder="1" applyAlignment="1">
      <alignment horizontal="center" vertical="center" wrapText="1"/>
    </xf>
    <xf numFmtId="0" fontId="7" fillId="11" borderId="19" xfId="0" applyFont="1" applyFill="1" applyBorder="1" applyAlignment="1">
      <alignment horizontal="center" vertical="center" wrapText="1"/>
    </xf>
    <xf numFmtId="0" fontId="7" fillId="11" borderId="23" xfId="0" applyFont="1" applyFill="1" applyBorder="1" applyAlignment="1">
      <alignment horizontal="center" vertical="center" wrapText="1"/>
    </xf>
    <xf numFmtId="0" fontId="7" fillId="11" borderId="27" xfId="0" applyFont="1" applyFill="1" applyBorder="1" applyAlignment="1">
      <alignment horizontal="center" vertical="center" wrapText="1"/>
    </xf>
    <xf numFmtId="0" fontId="7" fillId="11" borderId="25" xfId="0" applyFont="1" applyFill="1" applyBorder="1" applyAlignment="1">
      <alignment horizontal="center" vertical="center" wrapText="1"/>
    </xf>
    <xf numFmtId="0" fontId="3" fillId="0" borderId="0" xfId="0" applyFont="1" applyFill="1" applyBorder="1" applyAlignment="1"/>
    <xf numFmtId="0" fontId="0" fillId="0" borderId="0" xfId="0" applyFill="1" applyBorder="1" applyAlignment="1">
      <alignment vertical="top"/>
    </xf>
    <xf numFmtId="0" fontId="7" fillId="9" borderId="25" xfId="0" applyFont="1" applyFill="1" applyBorder="1" applyAlignment="1">
      <alignment horizontal="center" vertical="center"/>
    </xf>
    <xf numFmtId="0" fontId="7" fillId="9" borderId="26" xfId="0" applyFont="1" applyFill="1" applyBorder="1" applyAlignment="1">
      <alignment horizontal="center" vertical="center"/>
    </xf>
    <xf numFmtId="0" fontId="7" fillId="9" borderId="28" xfId="0" applyFont="1" applyFill="1" applyBorder="1" applyAlignment="1">
      <alignment horizontal="center" vertical="center"/>
    </xf>
    <xf numFmtId="0" fontId="7" fillId="9" borderId="29" xfId="0" applyFont="1" applyFill="1" applyBorder="1" applyAlignment="1">
      <alignment horizontal="center" vertical="center"/>
    </xf>
    <xf numFmtId="0" fontId="7" fillId="9" borderId="30" xfId="0" applyFont="1" applyFill="1" applyBorder="1" applyAlignment="1">
      <alignment horizontal="center" vertical="center"/>
    </xf>
    <xf numFmtId="0" fontId="7" fillId="9" borderId="11" xfId="0" applyFont="1" applyFill="1" applyBorder="1" applyAlignment="1">
      <alignment horizontal="center" vertic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3" fillId="11" borderId="28" xfId="0" applyFont="1" applyFill="1" applyBorder="1" applyAlignment="1">
      <alignment horizontal="center" vertical="center"/>
    </xf>
    <xf numFmtId="0" fontId="3" fillId="11" borderId="30" xfId="0" applyFont="1" applyFill="1" applyBorder="1" applyAlignment="1">
      <alignment horizontal="center" vertical="center"/>
    </xf>
    <xf numFmtId="0" fontId="3" fillId="11" borderId="29" xfId="0" applyFont="1" applyFill="1" applyBorder="1" applyAlignment="1">
      <alignment horizontal="center" vertical="center"/>
    </xf>
    <xf numFmtId="0" fontId="0" fillId="12" borderId="28" xfId="0" applyFill="1" applyBorder="1" applyAlignment="1">
      <alignment horizontal="center" vertical="center"/>
    </xf>
    <xf numFmtId="0" fontId="0" fillId="12" borderId="30" xfId="0" applyFill="1" applyBorder="1" applyAlignment="1">
      <alignment horizontal="center" vertical="center"/>
    </xf>
    <xf numFmtId="0" fontId="0" fillId="12" borderId="29" xfId="0" applyFill="1" applyBorder="1" applyAlignment="1">
      <alignment horizontal="center" vertical="center"/>
    </xf>
  </cellXfs>
  <cellStyles count="2">
    <cellStyle name="Lien hypertexte" xfId="1" builtinId="8"/>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au1" displayName="Tableau1" ref="A1:K111" totalsRowShown="0">
  <autoFilter ref="A1:K111"/>
  <sortState ref="A2:H111">
    <sortCondition ref="A2:A111"/>
  </sortState>
  <tableColumns count="11">
    <tableColumn id="1" name="Tag" dataDxfId="1"/>
    <tableColumn id="2" name="Libellé"/>
    <tableColumn id="3" name="Src."/>
    <tableColumn id="4" name="Type"/>
    <tableColumn id="5" name="Part."/>
    <tableColumn id="6" name="Prés."/>
    <tableColumn id="10" name="données authent CB" dataDxfId="0"/>
    <tableColumn id="7" name="Commentaires CB"/>
    <tableColumn id="8" name="MasterCard"/>
    <tableColumn id="9" name="Commentaires MCW"/>
    <tableColumn id="11" name="données authent MCW"/>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2:H15"/>
  <sheetViews>
    <sheetView workbookViewId="0">
      <selection activeCell="B6" sqref="B6"/>
    </sheetView>
  </sheetViews>
  <sheetFormatPr baseColWidth="10" defaultRowHeight="15" x14ac:dyDescent="0.25"/>
  <cols>
    <col min="1" max="1" width="3.7109375" customWidth="1"/>
    <col min="2" max="2" width="49.42578125" bestFit="1" customWidth="1"/>
    <col min="3" max="3" width="3.7109375" customWidth="1"/>
    <col min="5" max="5" width="3.7109375" customWidth="1"/>
  </cols>
  <sheetData>
    <row r="2" spans="1:8" x14ac:dyDescent="0.25">
      <c r="B2" t="s">
        <v>32</v>
      </c>
    </row>
    <row r="3" spans="1:8" x14ac:dyDescent="0.25">
      <c r="B3" t="s">
        <v>33</v>
      </c>
    </row>
    <row r="8" spans="1:8" x14ac:dyDescent="0.25">
      <c r="A8" t="s">
        <v>71</v>
      </c>
    </row>
    <row r="9" spans="1:8" x14ac:dyDescent="0.25">
      <c r="B9" t="s">
        <v>72</v>
      </c>
      <c r="D9" t="s">
        <v>74</v>
      </c>
      <c r="F9" t="s">
        <v>75</v>
      </c>
      <c r="H9" t="s">
        <v>76</v>
      </c>
    </row>
    <row r="11" spans="1:8" x14ac:dyDescent="0.25">
      <c r="B11" s="31" t="s">
        <v>78</v>
      </c>
      <c r="D11" s="31" t="s">
        <v>80</v>
      </c>
      <c r="F11" s="31" t="s">
        <v>77</v>
      </c>
    </row>
    <row r="12" spans="1:8" x14ac:dyDescent="0.25">
      <c r="B12" s="31" t="s">
        <v>79</v>
      </c>
      <c r="D12" s="31" t="s">
        <v>81</v>
      </c>
      <c r="F12" s="31" t="s">
        <v>136</v>
      </c>
    </row>
    <row r="13" spans="1:8" x14ac:dyDescent="0.25">
      <c r="B13" s="31" t="s">
        <v>466</v>
      </c>
      <c r="F13" s="31" t="s">
        <v>137</v>
      </c>
    </row>
    <row r="14" spans="1:8" x14ac:dyDescent="0.25">
      <c r="B14" s="31" t="s">
        <v>508</v>
      </c>
      <c r="F14" s="31" t="s">
        <v>81</v>
      </c>
    </row>
    <row r="15" spans="1:8" x14ac:dyDescent="0.25">
      <c r="B15" s="31" t="s">
        <v>509</v>
      </c>
    </row>
  </sheetData>
  <hyperlinks>
    <hyperlink ref="B11" location="EMV_TVR" display="TVR"/>
    <hyperlink ref="D11" location="VISA_ADA" display="ADA"/>
    <hyperlink ref="F11" location="MCW_D5" display="Application Control (D5)"/>
    <hyperlink ref="B12" location="EMV_AIP" display="AIP (82)"/>
    <hyperlink ref="D12" location="VISA_CVR" display="CVR"/>
    <hyperlink ref="F12" location="MCW_ARPC" display="ARPC (…)"/>
    <hyperlink ref="F13" location="MCW_CIAC" display="C-IACs"/>
    <hyperlink ref="F14" location="MCW_CVR" display="CVR"/>
    <hyperlink ref="B13" location="EMV_Terminal_cap" display="Terminal Cap"/>
    <hyperlink ref="B14" location="EMV_Add_Terminal_Cap" display="Additionnal terminal cap"/>
    <hyperlink ref="B15" location="EMV_TSI" display="TSI"/>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C18"/>
  <sheetViews>
    <sheetView workbookViewId="0">
      <selection activeCell="B19" sqref="B19"/>
    </sheetView>
  </sheetViews>
  <sheetFormatPr baseColWidth="10" defaultRowHeight="15" x14ac:dyDescent="0.25"/>
  <cols>
    <col min="2" max="2" width="31.140625" style="60" customWidth="1"/>
    <col min="3" max="3" width="46.140625" style="60" customWidth="1"/>
  </cols>
  <sheetData>
    <row r="1" spans="1:3" s="47" customFormat="1" x14ac:dyDescent="0.25">
      <c r="B1" s="60" t="s">
        <v>152</v>
      </c>
      <c r="C1" s="60" t="s">
        <v>441</v>
      </c>
    </row>
    <row r="2" spans="1:3" x14ac:dyDescent="0.25">
      <c r="A2" t="s">
        <v>133</v>
      </c>
      <c r="C2" s="60" t="s">
        <v>429</v>
      </c>
    </row>
    <row r="3" spans="1:3" x14ac:dyDescent="0.25">
      <c r="A3" s="47" t="s">
        <v>134</v>
      </c>
      <c r="C3" s="60" t="s">
        <v>431</v>
      </c>
    </row>
    <row r="4" spans="1:3" x14ac:dyDescent="0.25">
      <c r="A4" s="47" t="s">
        <v>135</v>
      </c>
      <c r="C4" s="60" t="s">
        <v>432</v>
      </c>
    </row>
    <row r="5" spans="1:3" x14ac:dyDescent="0.25">
      <c r="A5" s="47" t="s">
        <v>430</v>
      </c>
    </row>
    <row r="6" spans="1:3" x14ac:dyDescent="0.25">
      <c r="A6" s="47" t="s">
        <v>289</v>
      </c>
      <c r="C6" s="60" t="s">
        <v>433</v>
      </c>
    </row>
    <row r="7" spans="1:3" x14ac:dyDescent="0.25">
      <c r="A7" s="47" t="s">
        <v>283</v>
      </c>
      <c r="C7" s="60">
        <v>250</v>
      </c>
    </row>
    <row r="8" spans="1:3" x14ac:dyDescent="0.25">
      <c r="A8" s="47" t="s">
        <v>281</v>
      </c>
      <c r="C8" s="60" t="s">
        <v>434</v>
      </c>
    </row>
    <row r="9" spans="1:3" x14ac:dyDescent="0.25">
      <c r="A9" t="s">
        <v>216</v>
      </c>
      <c r="C9" s="60" t="s">
        <v>435</v>
      </c>
    </row>
    <row r="10" spans="1:3" x14ac:dyDescent="0.25">
      <c r="A10" t="s">
        <v>152</v>
      </c>
      <c r="C10" s="60" t="s">
        <v>436</v>
      </c>
    </row>
    <row r="11" spans="1:3" x14ac:dyDescent="0.25">
      <c r="A11" t="s">
        <v>279</v>
      </c>
      <c r="C11" s="60" t="s">
        <v>437</v>
      </c>
    </row>
    <row r="12" spans="1:3" x14ac:dyDescent="0.25">
      <c r="A12" t="s">
        <v>348</v>
      </c>
      <c r="C12" s="60" t="s">
        <v>438</v>
      </c>
    </row>
    <row r="13" spans="1:3" x14ac:dyDescent="0.25">
      <c r="A13" t="s">
        <v>346</v>
      </c>
      <c r="C13" s="60" t="s">
        <v>439</v>
      </c>
    </row>
    <row r="14" spans="1:3" x14ac:dyDescent="0.25">
      <c r="A14" t="s">
        <v>277</v>
      </c>
      <c r="C14" s="60" t="s">
        <v>440</v>
      </c>
    </row>
    <row r="15" spans="1:3" x14ac:dyDescent="0.25">
      <c r="A15" t="s">
        <v>344</v>
      </c>
      <c r="B15" s="60" t="s">
        <v>442</v>
      </c>
    </row>
    <row r="16" spans="1:3" x14ac:dyDescent="0.25">
      <c r="A16" t="s">
        <v>197</v>
      </c>
      <c r="C16" s="60" t="s">
        <v>443</v>
      </c>
    </row>
    <row r="17" spans="1:2" x14ac:dyDescent="0.25">
      <c r="A17" t="s">
        <v>444</v>
      </c>
      <c r="B17" s="60" t="s">
        <v>445</v>
      </c>
    </row>
    <row r="18" spans="1:2" x14ac:dyDescent="0.25">
      <c r="A18" t="s">
        <v>446</v>
      </c>
      <c r="B18" s="60" t="s">
        <v>447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78"/>
  <sheetViews>
    <sheetView topLeftCell="A142" workbookViewId="0">
      <selection activeCell="D77" sqref="D77"/>
    </sheetView>
  </sheetViews>
  <sheetFormatPr baseColWidth="10" defaultRowHeight="15" x14ac:dyDescent="0.25"/>
  <cols>
    <col min="1" max="1" width="29.85546875" bestFit="1" customWidth="1"/>
    <col min="2" max="2" width="11" bestFit="1" customWidth="1"/>
    <col min="3" max="3" width="9.5703125" style="75" bestFit="1" customWidth="1"/>
    <col min="4" max="4" width="56.140625" bestFit="1" customWidth="1"/>
    <col min="6" max="6" width="4.140625" style="60" bestFit="1" customWidth="1"/>
    <col min="9" max="9" width="73.28515625" bestFit="1" customWidth="1"/>
  </cols>
  <sheetData>
    <row r="1" spans="1:8" x14ac:dyDescent="0.25">
      <c r="A1" s="51" t="s">
        <v>69</v>
      </c>
      <c r="B1" s="51"/>
      <c r="C1" s="52"/>
      <c r="D1" s="51"/>
      <c r="E1" s="51"/>
      <c r="F1" s="57"/>
      <c r="G1" s="51"/>
    </row>
    <row r="2" spans="1:8" ht="15.75" thickBot="1" x14ac:dyDescent="0.3">
      <c r="A2" s="111" t="s">
        <v>30</v>
      </c>
      <c r="B2" s="111"/>
      <c r="C2" s="111"/>
      <c r="D2" s="111"/>
      <c r="E2" s="112" t="s">
        <v>31</v>
      </c>
      <c r="F2" s="112"/>
      <c r="G2" s="112"/>
    </row>
    <row r="3" spans="1:8" ht="15.75" thickBot="1" x14ac:dyDescent="0.3">
      <c r="A3" t="s">
        <v>0</v>
      </c>
      <c r="B3" s="74" t="s">
        <v>519</v>
      </c>
      <c r="E3" s="15" t="str">
        <f>G4&amp;G12&amp;G20&amp;G28&amp;G36</f>
        <v>0430B80000</v>
      </c>
      <c r="F3" s="58"/>
    </row>
    <row r="4" spans="1:8" x14ac:dyDescent="0.25">
      <c r="A4" t="s">
        <v>1</v>
      </c>
      <c r="B4" s="2" t="str">
        <f>HEX2BIN(LEFT(RIGHT($B$3,10),2),8)</f>
        <v>00100100</v>
      </c>
      <c r="C4" s="40">
        <f>VALUE(LEFT(RIGHT($B$4,8),1))</f>
        <v>0</v>
      </c>
      <c r="D4" s="8" t="s">
        <v>2</v>
      </c>
      <c r="E4" s="11">
        <v>0</v>
      </c>
      <c r="F4" s="59" t="s">
        <v>357</v>
      </c>
      <c r="G4" t="str">
        <f>BIN2HEX(E4&amp;E5&amp;E6&amp;E7&amp;E8&amp;E9&amp;E10&amp;E11,2)</f>
        <v>04</v>
      </c>
      <c r="H4" t="str">
        <f>IF(E4=C4,"","différent")</f>
        <v/>
      </c>
    </row>
    <row r="5" spans="1:8" x14ac:dyDescent="0.25">
      <c r="B5" s="4"/>
      <c r="C5" s="38">
        <f>VALUE(LEFT(RIGHT($B$4,7),1))</f>
        <v>0</v>
      </c>
      <c r="D5" s="9" t="s">
        <v>3</v>
      </c>
      <c r="E5" s="12">
        <v>0</v>
      </c>
      <c r="F5" s="59" t="s">
        <v>359</v>
      </c>
      <c r="H5" s="47" t="str">
        <f t="shared" ref="H5:H43" si="0">IF(E5=C5,"","différent")</f>
        <v/>
      </c>
    </row>
    <row r="6" spans="1:8" x14ac:dyDescent="0.25">
      <c r="B6" s="4"/>
      <c r="C6" s="38">
        <f>VALUE(LEFT(RIGHT($B$4,6),1))</f>
        <v>1</v>
      </c>
      <c r="D6" s="9" t="s">
        <v>4</v>
      </c>
      <c r="E6" s="12">
        <v>0</v>
      </c>
      <c r="F6" s="59" t="s">
        <v>360</v>
      </c>
      <c r="H6" s="47" t="str">
        <f t="shared" si="0"/>
        <v>différent</v>
      </c>
    </row>
    <row r="7" spans="1:8" x14ac:dyDescent="0.25">
      <c r="B7" s="4"/>
      <c r="C7" s="38">
        <f>VALUE(LEFT(RIGHT($B$4,5),1))</f>
        <v>0</v>
      </c>
      <c r="D7" s="9" t="s">
        <v>5</v>
      </c>
      <c r="E7" s="12">
        <v>0</v>
      </c>
      <c r="F7" s="59" t="s">
        <v>361</v>
      </c>
      <c r="H7" s="47" t="str">
        <f t="shared" si="0"/>
        <v/>
      </c>
    </row>
    <row r="8" spans="1:8" x14ac:dyDescent="0.25">
      <c r="B8" s="4"/>
      <c r="C8" s="38">
        <f>VALUE(LEFT(RIGHT($B$4,4),1))</f>
        <v>0</v>
      </c>
      <c r="D8" s="9" t="s">
        <v>6</v>
      </c>
      <c r="E8" s="12">
        <v>0</v>
      </c>
      <c r="F8" s="59" t="s">
        <v>362</v>
      </c>
      <c r="H8" s="47" t="str">
        <f t="shared" si="0"/>
        <v/>
      </c>
    </row>
    <row r="9" spans="1:8" x14ac:dyDescent="0.25">
      <c r="B9" s="4"/>
      <c r="C9" s="38">
        <f>VALUE(LEFT(RIGHT($B$4,3),1))</f>
        <v>1</v>
      </c>
      <c r="D9" s="9" t="s">
        <v>7</v>
      </c>
      <c r="E9" s="12">
        <v>1</v>
      </c>
      <c r="F9" s="59" t="s">
        <v>363</v>
      </c>
      <c r="H9" s="47" t="str">
        <f t="shared" si="0"/>
        <v/>
      </c>
    </row>
    <row r="10" spans="1:8" x14ac:dyDescent="0.25">
      <c r="B10" s="4"/>
      <c r="C10" s="38">
        <f>VALUE(LEFT(RIGHT($B$4,2),1))</f>
        <v>0</v>
      </c>
      <c r="D10" s="9" t="s">
        <v>8</v>
      </c>
      <c r="E10" s="12">
        <v>0</v>
      </c>
      <c r="F10" s="59" t="s">
        <v>364</v>
      </c>
      <c r="H10" s="47" t="str">
        <f t="shared" si="0"/>
        <v/>
      </c>
    </row>
    <row r="11" spans="1:8" ht="15.75" thickBot="1" x14ac:dyDescent="0.3">
      <c r="B11" s="6"/>
      <c r="C11" s="38">
        <f>VALUE(LEFT(RIGHT($B$4,1),1))</f>
        <v>0</v>
      </c>
      <c r="D11" s="10" t="s">
        <v>8</v>
      </c>
      <c r="E11" s="13">
        <v>0</v>
      </c>
      <c r="F11" s="59" t="s">
        <v>358</v>
      </c>
      <c r="H11" s="47" t="str">
        <f t="shared" si="0"/>
        <v/>
      </c>
    </row>
    <row r="12" spans="1:8" x14ac:dyDescent="0.25">
      <c r="B12" s="2" t="str">
        <f>HEX2BIN(LEFT(RIGHT($B$3,8),2),8)</f>
        <v>00000000</v>
      </c>
      <c r="C12" s="40">
        <f>VALUE(LEFT(RIGHT($B$12,8),1))</f>
        <v>0</v>
      </c>
      <c r="D12" s="8" t="s">
        <v>9</v>
      </c>
      <c r="E12" s="11">
        <v>0</v>
      </c>
      <c r="F12" s="59" t="s">
        <v>365</v>
      </c>
      <c r="G12" t="str">
        <f>BIN2HEX(E12&amp;E13&amp;E14&amp;E15&amp;E16&amp;E17&amp;E18&amp;E19,2)</f>
        <v>30</v>
      </c>
      <c r="H12" s="47" t="str">
        <f t="shared" si="0"/>
        <v/>
      </c>
    </row>
    <row r="13" spans="1:8" x14ac:dyDescent="0.25">
      <c r="B13" s="4"/>
      <c r="C13" s="38">
        <f>VALUE(LEFT(RIGHT($B$12,7),1))</f>
        <v>0</v>
      </c>
      <c r="D13" s="9" t="s">
        <v>10</v>
      </c>
      <c r="E13" s="12">
        <v>0</v>
      </c>
      <c r="F13" s="59" t="s">
        <v>366</v>
      </c>
      <c r="H13" s="47" t="str">
        <f t="shared" si="0"/>
        <v/>
      </c>
    </row>
    <row r="14" spans="1:8" x14ac:dyDescent="0.25">
      <c r="B14" s="4"/>
      <c r="C14" s="38">
        <f>VALUE(LEFT(RIGHT($B$12,6),1))</f>
        <v>0</v>
      </c>
      <c r="D14" s="9" t="s">
        <v>11</v>
      </c>
      <c r="E14" s="12">
        <v>1</v>
      </c>
      <c r="F14" s="59" t="s">
        <v>367</v>
      </c>
      <c r="H14" s="47" t="str">
        <f t="shared" si="0"/>
        <v>différent</v>
      </c>
    </row>
    <row r="15" spans="1:8" x14ac:dyDescent="0.25">
      <c r="B15" s="4"/>
      <c r="C15" s="38">
        <f>VALUE(LEFT(RIGHT($B$12,5),1))</f>
        <v>0</v>
      </c>
      <c r="D15" s="9" t="s">
        <v>12</v>
      </c>
      <c r="E15" s="12">
        <v>1</v>
      </c>
      <c r="F15" s="59" t="s">
        <v>368</v>
      </c>
      <c r="H15" s="47" t="str">
        <f t="shared" si="0"/>
        <v>différent</v>
      </c>
    </row>
    <row r="16" spans="1:8" x14ac:dyDescent="0.25">
      <c r="B16" s="4"/>
      <c r="C16" s="38">
        <f>VALUE(LEFT(RIGHT($B$12,4),1))</f>
        <v>0</v>
      </c>
      <c r="D16" s="9" t="s">
        <v>13</v>
      </c>
      <c r="E16" s="12">
        <v>0</v>
      </c>
      <c r="F16" s="59" t="s">
        <v>369</v>
      </c>
      <c r="H16" s="47" t="str">
        <f t="shared" si="0"/>
        <v/>
      </c>
    </row>
    <row r="17" spans="2:8" x14ac:dyDescent="0.25">
      <c r="B17" s="4"/>
      <c r="C17" s="38">
        <f>VALUE(LEFT(RIGHT($B$12,3),1))</f>
        <v>0</v>
      </c>
      <c r="D17" s="9" t="s">
        <v>8</v>
      </c>
      <c r="E17" s="12">
        <v>0</v>
      </c>
      <c r="F17" s="59" t="s">
        <v>370</v>
      </c>
      <c r="H17" s="47" t="str">
        <f t="shared" si="0"/>
        <v/>
      </c>
    </row>
    <row r="18" spans="2:8" x14ac:dyDescent="0.25">
      <c r="B18" s="4"/>
      <c r="C18" s="38">
        <f>VALUE(LEFT(RIGHT($B$12,2),1))</f>
        <v>0</v>
      </c>
      <c r="D18" s="9" t="s">
        <v>8</v>
      </c>
      <c r="E18" s="12">
        <v>0</v>
      </c>
      <c r="F18" s="59" t="s">
        <v>371</v>
      </c>
      <c r="H18" s="47" t="str">
        <f t="shared" si="0"/>
        <v/>
      </c>
    </row>
    <row r="19" spans="2:8" ht="15.75" thickBot="1" x14ac:dyDescent="0.3">
      <c r="B19" s="6"/>
      <c r="C19" s="38">
        <f>VALUE(LEFT(RIGHT($B$12,1),1))</f>
        <v>0</v>
      </c>
      <c r="D19" s="10" t="s">
        <v>8</v>
      </c>
      <c r="E19" s="13">
        <v>0</v>
      </c>
      <c r="F19" s="59" t="s">
        <v>372</v>
      </c>
      <c r="H19" s="47" t="str">
        <f t="shared" si="0"/>
        <v/>
      </c>
    </row>
    <row r="20" spans="2:8" x14ac:dyDescent="0.25">
      <c r="B20" s="2" t="str">
        <f>HEX2BIN(LEFT(RIGHT($B$3,6),2),8)</f>
        <v>00000000</v>
      </c>
      <c r="C20" s="40">
        <f>VALUE(LEFT(RIGHT($B$20,8),1))</f>
        <v>0</v>
      </c>
      <c r="D20" s="8" t="s">
        <v>14</v>
      </c>
      <c r="E20" s="11">
        <v>1</v>
      </c>
      <c r="F20" s="59" t="s">
        <v>387</v>
      </c>
      <c r="G20" t="str">
        <f>BIN2HEX(E20&amp;E21&amp;E22&amp;E23&amp;E24&amp;E25&amp;E26&amp;E27,2)</f>
        <v>B8</v>
      </c>
      <c r="H20" s="47" t="str">
        <f t="shared" si="0"/>
        <v>différent</v>
      </c>
    </row>
    <row r="21" spans="2:8" x14ac:dyDescent="0.25">
      <c r="B21" s="4"/>
      <c r="C21" s="38">
        <f>VALUE(LEFT(RIGHT($B$20,7),1))</f>
        <v>0</v>
      </c>
      <c r="D21" s="9" t="s">
        <v>15</v>
      </c>
      <c r="E21" s="12">
        <v>0</v>
      </c>
      <c r="F21" s="59" t="s">
        <v>388</v>
      </c>
      <c r="H21" s="47" t="str">
        <f t="shared" si="0"/>
        <v/>
      </c>
    </row>
    <row r="22" spans="2:8" x14ac:dyDescent="0.25">
      <c r="B22" s="4"/>
      <c r="C22" s="38">
        <f>VALUE(LEFT(RIGHT($B$20,6),1))</f>
        <v>0</v>
      </c>
      <c r="D22" s="9" t="s">
        <v>16</v>
      </c>
      <c r="E22" s="12">
        <v>1</v>
      </c>
      <c r="F22" s="59" t="s">
        <v>389</v>
      </c>
      <c r="H22" s="47" t="str">
        <f t="shared" si="0"/>
        <v>différent</v>
      </c>
    </row>
    <row r="23" spans="2:8" x14ac:dyDescent="0.25">
      <c r="B23" s="4"/>
      <c r="C23" s="38">
        <f>VALUE(LEFT(RIGHT($B$20,5),1))</f>
        <v>0</v>
      </c>
      <c r="D23" s="9" t="s">
        <v>17</v>
      </c>
      <c r="E23" s="12">
        <v>1</v>
      </c>
      <c r="F23" s="59" t="s">
        <v>390</v>
      </c>
      <c r="H23" s="47" t="str">
        <f t="shared" si="0"/>
        <v>différent</v>
      </c>
    </row>
    <row r="24" spans="2:8" x14ac:dyDescent="0.25">
      <c r="B24" s="4"/>
      <c r="C24" s="38">
        <f>VALUE(LEFT(RIGHT($B$20,4),1))</f>
        <v>0</v>
      </c>
      <c r="D24" s="9" t="s">
        <v>18</v>
      </c>
      <c r="E24" s="12">
        <v>1</v>
      </c>
      <c r="F24" s="59" t="s">
        <v>391</v>
      </c>
      <c r="H24" s="47" t="str">
        <f t="shared" si="0"/>
        <v>différent</v>
      </c>
    </row>
    <row r="25" spans="2:8" x14ac:dyDescent="0.25">
      <c r="B25" s="4"/>
      <c r="C25" s="38">
        <f>VALUE(LEFT(RIGHT($B$20,3),1))</f>
        <v>0</v>
      </c>
      <c r="D25" s="9" t="s">
        <v>19</v>
      </c>
      <c r="E25" s="12">
        <v>0</v>
      </c>
      <c r="F25" s="59" t="s">
        <v>392</v>
      </c>
      <c r="H25" s="47" t="str">
        <f t="shared" si="0"/>
        <v/>
      </c>
    </row>
    <row r="26" spans="2:8" x14ac:dyDescent="0.25">
      <c r="B26" s="4"/>
      <c r="C26" s="38">
        <f>VALUE(LEFT(RIGHT($B$20,2),1))</f>
        <v>0</v>
      </c>
      <c r="D26" s="9" t="s">
        <v>8</v>
      </c>
      <c r="E26" s="12">
        <v>0</v>
      </c>
      <c r="F26" s="59" t="s">
        <v>393</v>
      </c>
      <c r="H26" s="47" t="str">
        <f t="shared" si="0"/>
        <v/>
      </c>
    </row>
    <row r="27" spans="2:8" ht="15.75" thickBot="1" x14ac:dyDescent="0.3">
      <c r="B27" s="6"/>
      <c r="C27" s="38">
        <f>VALUE(LEFT(RIGHT($B$20,1),1))</f>
        <v>0</v>
      </c>
      <c r="D27" s="10" t="s">
        <v>8</v>
      </c>
      <c r="E27" s="13">
        <v>0</v>
      </c>
      <c r="F27" s="59" t="s">
        <v>394</v>
      </c>
      <c r="H27" s="47" t="str">
        <f t="shared" si="0"/>
        <v/>
      </c>
    </row>
    <row r="28" spans="2:8" x14ac:dyDescent="0.25">
      <c r="B28" s="2" t="str">
        <f>HEX2BIN(LEFT(RIGHT($B$3,4),2),8)</f>
        <v>00000000</v>
      </c>
      <c r="C28" s="40">
        <f>VALUE(LEFT(RIGHT($B$28,8),1))</f>
        <v>0</v>
      </c>
      <c r="D28" s="8" t="s">
        <v>20</v>
      </c>
      <c r="E28" s="11">
        <v>0</v>
      </c>
      <c r="F28" s="59" t="s">
        <v>395</v>
      </c>
      <c r="G28" t="str">
        <f>BIN2HEX(E28&amp;E29&amp;E30&amp;E31&amp;E32&amp;E33&amp;E34&amp;E35,2)</f>
        <v>00</v>
      </c>
      <c r="H28" s="47" t="str">
        <f t="shared" si="0"/>
        <v/>
      </c>
    </row>
    <row r="29" spans="2:8" x14ac:dyDescent="0.25">
      <c r="B29" s="4"/>
      <c r="C29" s="38">
        <f>VALUE(LEFT(RIGHT($B$28,7),1))</f>
        <v>0</v>
      </c>
      <c r="D29" s="9" t="s">
        <v>21</v>
      </c>
      <c r="E29" s="12">
        <v>0</v>
      </c>
      <c r="F29" s="59" t="s">
        <v>396</v>
      </c>
      <c r="H29" s="47" t="str">
        <f t="shared" si="0"/>
        <v/>
      </c>
    </row>
    <row r="30" spans="2:8" x14ac:dyDescent="0.25">
      <c r="B30" s="4"/>
      <c r="C30" s="38">
        <f>VALUE(LEFT(RIGHT($B$28,6),1))</f>
        <v>0</v>
      </c>
      <c r="D30" s="9" t="s">
        <v>22</v>
      </c>
      <c r="E30" s="12">
        <v>0</v>
      </c>
      <c r="F30" s="59" t="s">
        <v>397</v>
      </c>
      <c r="H30" s="47" t="str">
        <f t="shared" si="0"/>
        <v/>
      </c>
    </row>
    <row r="31" spans="2:8" x14ac:dyDescent="0.25">
      <c r="B31" s="4"/>
      <c r="C31" s="38">
        <f>VALUE(LEFT(RIGHT($B$28,5),1))</f>
        <v>0</v>
      </c>
      <c r="D31" s="9" t="s">
        <v>23</v>
      </c>
      <c r="E31" s="12">
        <v>0</v>
      </c>
      <c r="F31" s="59" t="s">
        <v>398</v>
      </c>
      <c r="H31" s="47" t="str">
        <f t="shared" si="0"/>
        <v/>
      </c>
    </row>
    <row r="32" spans="2:8" x14ac:dyDescent="0.25">
      <c r="B32" s="4"/>
      <c r="C32" s="38">
        <f>VALUE(LEFT(RIGHT($B$28,4),1))</f>
        <v>0</v>
      </c>
      <c r="D32" s="9" t="s">
        <v>24</v>
      </c>
      <c r="E32" s="12">
        <v>0</v>
      </c>
      <c r="F32" s="59" t="s">
        <v>399</v>
      </c>
      <c r="H32" s="47" t="str">
        <f t="shared" si="0"/>
        <v/>
      </c>
    </row>
    <row r="33" spans="1:8" x14ac:dyDescent="0.25">
      <c r="B33" s="4"/>
      <c r="C33" s="38">
        <f>VALUE(LEFT(RIGHT($B$28,3),1))</f>
        <v>0</v>
      </c>
      <c r="D33" s="9" t="s">
        <v>8</v>
      </c>
      <c r="E33" s="12">
        <v>0</v>
      </c>
      <c r="F33" s="59" t="s">
        <v>400</v>
      </c>
      <c r="H33" s="47" t="str">
        <f t="shared" si="0"/>
        <v/>
      </c>
    </row>
    <row r="34" spans="1:8" x14ac:dyDescent="0.25">
      <c r="B34" s="4"/>
      <c r="C34" s="38">
        <f>VALUE(LEFT(RIGHT($B$28,2),1))</f>
        <v>0</v>
      </c>
      <c r="D34" s="9" t="s">
        <v>8</v>
      </c>
      <c r="E34" s="12">
        <v>0</v>
      </c>
      <c r="F34" s="59" t="s">
        <v>401</v>
      </c>
      <c r="H34" s="47" t="str">
        <f t="shared" si="0"/>
        <v/>
      </c>
    </row>
    <row r="35" spans="1:8" ht="15.75" thickBot="1" x14ac:dyDescent="0.3">
      <c r="B35" s="6"/>
      <c r="C35" s="38">
        <f>VALUE(LEFT(RIGHT($B$28,1),1))</f>
        <v>0</v>
      </c>
      <c r="D35" s="10" t="s">
        <v>8</v>
      </c>
      <c r="E35" s="13">
        <v>0</v>
      </c>
      <c r="F35" s="59" t="s">
        <v>402</v>
      </c>
      <c r="H35" s="47" t="str">
        <f t="shared" si="0"/>
        <v/>
      </c>
    </row>
    <row r="36" spans="1:8" x14ac:dyDescent="0.25">
      <c r="B36" s="2" t="str">
        <f>HEX2BIN(LEFT(RIGHT($B$3,2),2),8)</f>
        <v>00000000</v>
      </c>
      <c r="C36" s="40">
        <f>VALUE(LEFT(RIGHT($B$36,8),1))</f>
        <v>0</v>
      </c>
      <c r="D36" s="8" t="s">
        <v>28</v>
      </c>
      <c r="E36" s="11">
        <v>0</v>
      </c>
      <c r="F36" s="63" t="s">
        <v>403</v>
      </c>
      <c r="G36" t="str">
        <f>BIN2HEX(E36&amp;E37&amp;E38&amp;E39&amp;E40&amp;E41&amp;E42&amp;E43,2)</f>
        <v>00</v>
      </c>
      <c r="H36" s="47" t="str">
        <f t="shared" si="0"/>
        <v/>
      </c>
    </row>
    <row r="37" spans="1:8" x14ac:dyDescent="0.25">
      <c r="B37" s="4"/>
      <c r="C37" s="38">
        <f>VALUE(LEFT(RIGHT($B$36,7),1))</f>
        <v>0</v>
      </c>
      <c r="D37" s="9" t="s">
        <v>27</v>
      </c>
      <c r="E37" s="12">
        <v>0</v>
      </c>
      <c r="F37" s="63" t="s">
        <v>404</v>
      </c>
      <c r="H37" s="47" t="str">
        <f t="shared" si="0"/>
        <v/>
      </c>
    </row>
    <row r="38" spans="1:8" x14ac:dyDescent="0.25">
      <c r="B38" s="4"/>
      <c r="C38" s="38">
        <f>VALUE(LEFT(RIGHT($B$36,6),1))</f>
        <v>0</v>
      </c>
      <c r="D38" s="9" t="s">
        <v>26</v>
      </c>
      <c r="E38" s="12">
        <v>0</v>
      </c>
      <c r="F38" s="63" t="s">
        <v>405</v>
      </c>
      <c r="H38" s="47" t="str">
        <f t="shared" si="0"/>
        <v/>
      </c>
    </row>
    <row r="39" spans="1:8" x14ac:dyDescent="0.25">
      <c r="B39" s="4"/>
      <c r="C39" s="38">
        <f>VALUE(LEFT(RIGHT($B$36,5),1))</f>
        <v>0</v>
      </c>
      <c r="D39" s="9" t="s">
        <v>25</v>
      </c>
      <c r="E39" s="12">
        <v>0</v>
      </c>
      <c r="F39" s="63" t="s">
        <v>406</v>
      </c>
      <c r="H39" s="47" t="str">
        <f t="shared" si="0"/>
        <v/>
      </c>
    </row>
    <row r="40" spans="1:8" x14ac:dyDescent="0.25">
      <c r="B40" s="4"/>
      <c r="C40" s="38">
        <f>VALUE(LEFT(RIGHT($B$36,4),1))</f>
        <v>0</v>
      </c>
      <c r="D40" s="9" t="s">
        <v>8</v>
      </c>
      <c r="E40" s="12">
        <v>0</v>
      </c>
      <c r="F40" s="63" t="s">
        <v>407</v>
      </c>
      <c r="H40" s="47" t="str">
        <f t="shared" si="0"/>
        <v/>
      </c>
    </row>
    <row r="41" spans="1:8" x14ac:dyDescent="0.25">
      <c r="B41" s="4"/>
      <c r="C41" s="38">
        <f>VALUE(LEFT(RIGHT($B$36,3),1))</f>
        <v>0</v>
      </c>
      <c r="D41" s="9" t="s">
        <v>8</v>
      </c>
      <c r="E41" s="12">
        <v>0</v>
      </c>
      <c r="F41" s="63" t="s">
        <v>408</v>
      </c>
      <c r="H41" s="47" t="str">
        <f t="shared" si="0"/>
        <v/>
      </c>
    </row>
    <row r="42" spans="1:8" x14ac:dyDescent="0.25">
      <c r="B42" s="4"/>
      <c r="C42" s="38">
        <f>VALUE(LEFT(RIGHT($B$36,2),1))</f>
        <v>0</v>
      </c>
      <c r="D42" s="9" t="s">
        <v>8</v>
      </c>
      <c r="E42" s="12">
        <v>0</v>
      </c>
      <c r="F42" s="63" t="s">
        <v>409</v>
      </c>
      <c r="H42" s="47" t="str">
        <f t="shared" si="0"/>
        <v/>
      </c>
    </row>
    <row r="43" spans="1:8" ht="15.75" thickBot="1" x14ac:dyDescent="0.3">
      <c r="B43" s="6"/>
      <c r="C43" s="39">
        <f>VALUE(LEFT(RIGHT($B$36,1),1))</f>
        <v>0</v>
      </c>
      <c r="D43" s="10" t="s">
        <v>8</v>
      </c>
      <c r="E43" s="13">
        <v>0</v>
      </c>
      <c r="F43" s="63" t="s">
        <v>410</v>
      </c>
      <c r="H43" s="47" t="str">
        <f t="shared" si="0"/>
        <v/>
      </c>
    </row>
    <row r="46" spans="1:8" x14ac:dyDescent="0.25">
      <c r="A46" s="51" t="s">
        <v>70</v>
      </c>
      <c r="B46" s="51"/>
      <c r="C46" s="52"/>
      <c r="D46" s="51"/>
      <c r="E46" s="51"/>
      <c r="F46" s="57"/>
      <c r="G46" s="51"/>
    </row>
    <row r="47" spans="1:8" ht="15.75" thickBot="1" x14ac:dyDescent="0.3">
      <c r="A47" s="111" t="s">
        <v>30</v>
      </c>
      <c r="B47" s="111"/>
      <c r="C47" s="111"/>
      <c r="D47" s="111"/>
      <c r="E47" s="112" t="s">
        <v>86</v>
      </c>
      <c r="F47" s="112"/>
      <c r="G47" s="112"/>
    </row>
    <row r="48" spans="1:8" ht="15.75" thickBot="1" x14ac:dyDescent="0.3">
      <c r="A48" t="s">
        <v>0</v>
      </c>
      <c r="B48" s="1" t="s">
        <v>461</v>
      </c>
      <c r="E48" s="15" t="str">
        <f>G49&amp;G57</f>
        <v>1900</v>
      </c>
      <c r="F48" s="61" t="s">
        <v>356</v>
      </c>
    </row>
    <row r="49" spans="1:9" x14ac:dyDescent="0.25">
      <c r="A49" t="s">
        <v>1</v>
      </c>
      <c r="B49" s="2" t="str">
        <f>HEX2BIN(LEFT(RIGHT($B$48,4),2),8)</f>
        <v>00111001</v>
      </c>
      <c r="C49" s="40" t="str">
        <f>LEFT(RIGHT($B$49,8),1)</f>
        <v>0</v>
      </c>
      <c r="D49" s="8" t="s">
        <v>8</v>
      </c>
      <c r="E49" s="11">
        <v>0</v>
      </c>
      <c r="F49" s="62" t="s">
        <v>357</v>
      </c>
      <c r="G49" t="str">
        <f>BIN2HEX(E49&amp;E50&amp;E51&amp;E52&amp;E53&amp;E54&amp;E55&amp;E56,2)</f>
        <v>19</v>
      </c>
    </row>
    <row r="50" spans="1:9" x14ac:dyDescent="0.25">
      <c r="B50" s="4"/>
      <c r="C50" s="38">
        <f>VALUE(LEFT(RIGHT($B$49,7),1))</f>
        <v>0</v>
      </c>
      <c r="D50" s="9" t="s">
        <v>82</v>
      </c>
      <c r="E50" s="12">
        <v>0</v>
      </c>
      <c r="F50" s="62" t="s">
        <v>359</v>
      </c>
    </row>
    <row r="51" spans="1:9" x14ac:dyDescent="0.25">
      <c r="B51" s="4"/>
      <c r="C51" s="38">
        <f>VALUE(LEFT(RIGHT($B$49,6),1))</f>
        <v>1</v>
      </c>
      <c r="D51" s="9" t="s">
        <v>83</v>
      </c>
      <c r="E51" s="12">
        <v>0</v>
      </c>
      <c r="F51" s="62" t="s">
        <v>360</v>
      </c>
    </row>
    <row r="52" spans="1:9" x14ac:dyDescent="0.25">
      <c r="B52" s="4"/>
      <c r="C52" s="38">
        <f>VALUE(LEFT(RIGHT($B$49,5),1))</f>
        <v>1</v>
      </c>
      <c r="D52" s="9" t="s">
        <v>84</v>
      </c>
      <c r="E52" s="12">
        <v>1</v>
      </c>
      <c r="F52" s="62" t="s">
        <v>361</v>
      </c>
    </row>
    <row r="53" spans="1:9" x14ac:dyDescent="0.25">
      <c r="B53" s="4"/>
      <c r="C53" s="38">
        <f>VALUE(LEFT(RIGHT($B$49,4),1))</f>
        <v>1</v>
      </c>
      <c r="D53" s="9" t="s">
        <v>87</v>
      </c>
      <c r="E53" s="12">
        <v>1</v>
      </c>
      <c r="F53" s="62" t="s">
        <v>362</v>
      </c>
    </row>
    <row r="54" spans="1:9" x14ac:dyDescent="0.25">
      <c r="B54" s="4"/>
      <c r="C54" s="38">
        <f>VALUE(LEFT(RIGHT($B$49,3),1))</f>
        <v>0</v>
      </c>
      <c r="D54" s="9" t="s">
        <v>88</v>
      </c>
      <c r="E54" s="12">
        <v>0</v>
      </c>
      <c r="F54" s="62" t="s">
        <v>363</v>
      </c>
    </row>
    <row r="55" spans="1:9" x14ac:dyDescent="0.25">
      <c r="B55" s="4"/>
      <c r="C55" s="38">
        <f>VALUE(LEFT(RIGHT($B$49,2),1))</f>
        <v>0</v>
      </c>
      <c r="D55" s="9" t="s">
        <v>8</v>
      </c>
      <c r="E55" s="12">
        <v>0</v>
      </c>
      <c r="F55" s="62" t="s">
        <v>364</v>
      </c>
    </row>
    <row r="56" spans="1:9" ht="15.75" thickBot="1" x14ac:dyDescent="0.3">
      <c r="B56" s="6"/>
      <c r="C56" s="39">
        <f>VALUE(LEFT(RIGHT($B$49,1),1))</f>
        <v>1</v>
      </c>
      <c r="D56" s="10" t="s">
        <v>89</v>
      </c>
      <c r="E56" s="13">
        <v>1</v>
      </c>
      <c r="F56" s="62" t="s">
        <v>358</v>
      </c>
    </row>
    <row r="57" spans="1:9" x14ac:dyDescent="0.25">
      <c r="B57" s="2" t="str">
        <f>HEX2BIN(LEFT(RIGHT($B$48,2),2),8)</f>
        <v>00000000</v>
      </c>
      <c r="C57" s="40">
        <f>VALUE(LEFT(RIGHT($B$57,8),1))</f>
        <v>0</v>
      </c>
      <c r="D57" s="26" t="s">
        <v>85</v>
      </c>
      <c r="E57" s="11">
        <v>0</v>
      </c>
      <c r="F57" s="60" t="s">
        <v>365</v>
      </c>
      <c r="G57" t="str">
        <f>BIN2HEX(E57&amp;E58&amp;E59&amp;E60&amp;E61&amp;E62&amp;E63&amp;E64,2)</f>
        <v>00</v>
      </c>
    </row>
    <row r="58" spans="1:9" x14ac:dyDescent="0.25">
      <c r="B58" s="4"/>
      <c r="C58" s="38">
        <f>VALUE(LEFT(RIGHT($B$57,7),1))</f>
        <v>0</v>
      </c>
      <c r="D58" s="9" t="s">
        <v>8</v>
      </c>
      <c r="E58" s="12">
        <v>0</v>
      </c>
      <c r="F58" s="60" t="s">
        <v>366</v>
      </c>
    </row>
    <row r="59" spans="1:9" x14ac:dyDescent="0.25">
      <c r="B59" s="4"/>
      <c r="C59" s="38">
        <f>VALUE(LEFT(RIGHT($B$57,6),1))</f>
        <v>0</v>
      </c>
      <c r="D59" s="9" t="s">
        <v>8</v>
      </c>
      <c r="E59" s="12">
        <v>0</v>
      </c>
      <c r="F59" s="60" t="s">
        <v>367</v>
      </c>
    </row>
    <row r="60" spans="1:9" x14ac:dyDescent="0.25">
      <c r="B60" s="4"/>
      <c r="C60" s="38">
        <f>VALUE(LEFT(RIGHT($B$57,5),1))</f>
        <v>0</v>
      </c>
      <c r="D60" s="9" t="s">
        <v>8</v>
      </c>
      <c r="E60" s="12">
        <v>0</v>
      </c>
      <c r="F60" s="60" t="s">
        <v>368</v>
      </c>
    </row>
    <row r="61" spans="1:9" x14ac:dyDescent="0.25">
      <c r="B61" s="4"/>
      <c r="C61" s="38">
        <f>VALUE(LEFT(RIGHT($B$57,4),1))</f>
        <v>0</v>
      </c>
      <c r="D61" s="9" t="s">
        <v>8</v>
      </c>
      <c r="E61" s="12">
        <v>0</v>
      </c>
      <c r="F61" s="60" t="s">
        <v>369</v>
      </c>
      <c r="I61" s="47" t="s">
        <v>568</v>
      </c>
    </row>
    <row r="62" spans="1:9" x14ac:dyDescent="0.25">
      <c r="B62" s="4"/>
      <c r="C62" s="38">
        <f>VALUE(LEFT(RIGHT($B$57,3),1))</f>
        <v>0</v>
      </c>
      <c r="D62" s="9" t="s">
        <v>8</v>
      </c>
      <c r="E62" s="12">
        <v>0</v>
      </c>
      <c r="F62" s="60" t="s">
        <v>370</v>
      </c>
      <c r="I62" s="47" t="s">
        <v>569</v>
      </c>
    </row>
    <row r="63" spans="1:9" x14ac:dyDescent="0.25">
      <c r="B63" s="4"/>
      <c r="C63" s="38">
        <f>VALUE(LEFT(RIGHT($B$57,2),1))</f>
        <v>0</v>
      </c>
      <c r="D63" s="9" t="s">
        <v>8</v>
      </c>
      <c r="E63" s="12">
        <v>0</v>
      </c>
      <c r="F63" s="60" t="s">
        <v>371</v>
      </c>
      <c r="I63" s="47" t="s">
        <v>570</v>
      </c>
    </row>
    <row r="64" spans="1:9" ht="15.75" thickBot="1" x14ac:dyDescent="0.3">
      <c r="B64" s="6"/>
      <c r="C64" s="39">
        <f>VALUE(LEFT(RIGHT($B$57,1),1))</f>
        <v>0</v>
      </c>
      <c r="D64" s="10" t="s">
        <v>8</v>
      </c>
      <c r="E64" s="13">
        <v>0</v>
      </c>
      <c r="F64" s="60" t="s">
        <v>372</v>
      </c>
      <c r="I64" s="47" t="s">
        <v>571</v>
      </c>
    </row>
    <row r="66" spans="1:9" x14ac:dyDescent="0.25">
      <c r="I66" s="47" t="s">
        <v>566</v>
      </c>
    </row>
    <row r="67" spans="1:9" x14ac:dyDescent="0.25">
      <c r="A67" s="51" t="s">
        <v>449</v>
      </c>
      <c r="B67" s="51"/>
      <c r="C67" s="52"/>
      <c r="D67" s="51"/>
      <c r="E67" s="51"/>
      <c r="F67" s="57"/>
      <c r="G67" s="51"/>
      <c r="I67" s="47" t="s">
        <v>567</v>
      </c>
    </row>
    <row r="68" spans="1:9" ht="15.75" thickBot="1" x14ac:dyDescent="0.3">
      <c r="A68" s="111" t="s">
        <v>30</v>
      </c>
      <c r="B68" s="111"/>
      <c r="C68" s="111"/>
      <c r="D68" s="111"/>
      <c r="E68" s="112" t="s">
        <v>86</v>
      </c>
      <c r="F68" s="112"/>
      <c r="G68" s="112"/>
      <c r="I68" s="47" t="s">
        <v>541</v>
      </c>
    </row>
    <row r="69" spans="1:9" ht="15.75" thickBot="1" x14ac:dyDescent="0.3">
      <c r="A69" s="47" t="s">
        <v>0</v>
      </c>
      <c r="B69" s="1" t="s">
        <v>460</v>
      </c>
      <c r="D69" s="47"/>
      <c r="E69" s="15" t="str">
        <f>G70&amp;G78</f>
        <v>1900</v>
      </c>
      <c r="F69" s="61" t="s">
        <v>356</v>
      </c>
      <c r="G69" s="47"/>
      <c r="I69" s="47" t="s">
        <v>542</v>
      </c>
    </row>
    <row r="70" spans="1:9" x14ac:dyDescent="0.25">
      <c r="A70" s="47" t="s">
        <v>1</v>
      </c>
      <c r="B70" s="2" t="str">
        <f>HEX2BIN(LEFT(RIGHT($B$69,4),2),8)</f>
        <v>00110001</v>
      </c>
      <c r="C70" s="40">
        <f>VALUE(LEFT(RIGHT($B$70,8),1))</f>
        <v>0</v>
      </c>
      <c r="D70" s="8" t="s">
        <v>450</v>
      </c>
      <c r="E70" s="11">
        <v>0</v>
      </c>
      <c r="F70" s="62" t="s">
        <v>357</v>
      </c>
      <c r="G70" s="47" t="str">
        <f>BIN2HEX(E70&amp;E71&amp;E72&amp;E73&amp;E74&amp;E75&amp;E76&amp;E77,2)</f>
        <v>19</v>
      </c>
      <c r="I70" s="47" t="s">
        <v>543</v>
      </c>
    </row>
    <row r="71" spans="1:9" x14ac:dyDescent="0.25">
      <c r="A71" s="47"/>
      <c r="B71" s="4"/>
      <c r="C71" s="38">
        <f>VALUE(LEFT(RIGHT($B$70,7),1))</f>
        <v>0</v>
      </c>
      <c r="D71" s="9" t="s">
        <v>451</v>
      </c>
      <c r="E71" s="12">
        <v>0</v>
      </c>
      <c r="F71" s="62" t="s">
        <v>359</v>
      </c>
      <c r="G71" s="47"/>
      <c r="I71" s="47" t="s">
        <v>544</v>
      </c>
    </row>
    <row r="72" spans="1:9" x14ac:dyDescent="0.25">
      <c r="A72" s="47"/>
      <c r="B72" s="4"/>
      <c r="C72" s="38">
        <f>VALUE(LEFT(RIGHT($B$70,6),1))</f>
        <v>1</v>
      </c>
      <c r="D72" s="9" t="s">
        <v>452</v>
      </c>
      <c r="E72" s="12">
        <v>0</v>
      </c>
      <c r="F72" s="62" t="s">
        <v>360</v>
      </c>
      <c r="G72" s="47"/>
      <c r="I72" s="47" t="s">
        <v>545</v>
      </c>
    </row>
    <row r="73" spans="1:9" x14ac:dyDescent="0.25">
      <c r="A73" s="47"/>
      <c r="B73" s="4"/>
      <c r="C73" s="38">
        <f>VALUE(LEFT(RIGHT($B$70,5),1))</f>
        <v>1</v>
      </c>
      <c r="D73" s="9" t="s">
        <v>453</v>
      </c>
      <c r="E73" s="12">
        <v>1</v>
      </c>
      <c r="F73" s="62" t="s">
        <v>361</v>
      </c>
      <c r="G73" s="47"/>
      <c r="I73" s="47" t="s">
        <v>546</v>
      </c>
    </row>
    <row r="74" spans="1:9" x14ac:dyDescent="0.25">
      <c r="A74" s="47"/>
      <c r="B74" s="4"/>
      <c r="C74" s="38">
        <f>VALUE(LEFT(RIGHT($B$70,4),1))</f>
        <v>0</v>
      </c>
      <c r="D74" s="9" t="s">
        <v>454</v>
      </c>
      <c r="E74" s="12">
        <v>1</v>
      </c>
      <c r="F74" s="62" t="s">
        <v>362</v>
      </c>
      <c r="G74" s="47"/>
      <c r="I74" s="47" t="s">
        <v>547</v>
      </c>
    </row>
    <row r="75" spans="1:9" x14ac:dyDescent="0.25">
      <c r="A75" s="47"/>
      <c r="B75" s="4"/>
      <c r="C75" s="38">
        <f>VALUE(LEFT(RIGHT($B$70,3),1))</f>
        <v>0</v>
      </c>
      <c r="D75" s="9" t="s">
        <v>455</v>
      </c>
      <c r="E75" s="12">
        <v>0</v>
      </c>
      <c r="F75" s="62" t="s">
        <v>363</v>
      </c>
      <c r="G75" s="47"/>
      <c r="I75" s="47" t="s">
        <v>548</v>
      </c>
    </row>
    <row r="76" spans="1:9" x14ac:dyDescent="0.25">
      <c r="A76" s="47"/>
      <c r="B76" s="4"/>
      <c r="C76" s="38">
        <f>VALUE(LEFT(RIGHT($B$70,2),1))</f>
        <v>0</v>
      </c>
      <c r="D76" s="9" t="s">
        <v>456</v>
      </c>
      <c r="E76" s="12">
        <v>0</v>
      </c>
      <c r="F76" s="62" t="s">
        <v>364</v>
      </c>
      <c r="G76" s="47"/>
      <c r="I76" s="47" t="s">
        <v>549</v>
      </c>
    </row>
    <row r="77" spans="1:9" ht="15.75" thickBot="1" x14ac:dyDescent="0.3">
      <c r="A77" s="47"/>
      <c r="B77" s="6"/>
      <c r="C77" s="39">
        <f>VALUE(LEFT(RIGHT($B$70,1),1))</f>
        <v>1</v>
      </c>
      <c r="D77" s="10" t="s">
        <v>457</v>
      </c>
      <c r="E77" s="13">
        <v>1</v>
      </c>
      <c r="F77" s="62" t="s">
        <v>358</v>
      </c>
      <c r="G77" s="47"/>
      <c r="I77" s="47" t="s">
        <v>550</v>
      </c>
    </row>
    <row r="78" spans="1:9" x14ac:dyDescent="0.25">
      <c r="A78" s="47"/>
      <c r="B78" s="2" t="str">
        <f>HEX2BIN(LEFT(RIGHT($B$69,2),2),8)</f>
        <v>00000000</v>
      </c>
      <c r="C78" s="40">
        <f>VALUE(LEFT(RIGHT($B$78,8),1))</f>
        <v>0</v>
      </c>
      <c r="D78" s="26" t="s">
        <v>458</v>
      </c>
      <c r="E78" s="11">
        <v>0</v>
      </c>
      <c r="F78" s="60" t="s">
        <v>365</v>
      </c>
      <c r="G78" s="47" t="str">
        <f>BIN2HEX(E78&amp;E79&amp;E80&amp;E81&amp;E82&amp;E83&amp;E84&amp;E85,2)</f>
        <v>00</v>
      </c>
      <c r="I78" s="47" t="s">
        <v>551</v>
      </c>
    </row>
    <row r="79" spans="1:9" x14ac:dyDescent="0.25">
      <c r="A79" s="47"/>
      <c r="B79" s="4"/>
      <c r="C79" s="38">
        <f>VALUE(LEFT(RIGHT($B$78,7),1))</f>
        <v>0</v>
      </c>
      <c r="D79" s="9" t="s">
        <v>459</v>
      </c>
      <c r="E79" s="12">
        <v>0</v>
      </c>
      <c r="F79" s="60" t="s">
        <v>366</v>
      </c>
      <c r="G79" s="47"/>
      <c r="I79" s="47" t="s">
        <v>552</v>
      </c>
    </row>
    <row r="80" spans="1:9" x14ac:dyDescent="0.25">
      <c r="A80" s="47"/>
      <c r="B80" s="4"/>
      <c r="C80" s="38">
        <f>VALUE(LEFT(RIGHT($B$78,6),1))</f>
        <v>0</v>
      </c>
      <c r="D80" s="9" t="s">
        <v>8</v>
      </c>
      <c r="E80" s="12">
        <v>0</v>
      </c>
      <c r="F80" s="60" t="s">
        <v>367</v>
      </c>
      <c r="G80" s="47"/>
      <c r="I80" s="47" t="s">
        <v>553</v>
      </c>
    </row>
    <row r="81" spans="1:9" x14ac:dyDescent="0.25">
      <c r="A81" s="47"/>
      <c r="B81" s="4"/>
      <c r="C81" s="38">
        <f>VALUE(LEFT(RIGHT($B$78,5),1))</f>
        <v>0</v>
      </c>
      <c r="D81" s="9" t="s">
        <v>8</v>
      </c>
      <c r="E81" s="12">
        <v>0</v>
      </c>
      <c r="F81" s="60" t="s">
        <v>368</v>
      </c>
      <c r="G81" s="47"/>
      <c r="I81" s="47" t="s">
        <v>550</v>
      </c>
    </row>
    <row r="82" spans="1:9" x14ac:dyDescent="0.25">
      <c r="A82" s="47"/>
      <c r="B82" s="4"/>
      <c r="C82" s="38">
        <f>VALUE(LEFT(RIGHT($B$78,4),1))</f>
        <v>0</v>
      </c>
      <c r="D82" s="9" t="s">
        <v>8</v>
      </c>
      <c r="E82" s="12">
        <v>0</v>
      </c>
      <c r="F82" s="60" t="s">
        <v>369</v>
      </c>
      <c r="G82" s="47"/>
      <c r="I82" s="47" t="s">
        <v>554</v>
      </c>
    </row>
    <row r="83" spans="1:9" x14ac:dyDescent="0.25">
      <c r="A83" s="47"/>
      <c r="B83" s="4"/>
      <c r="C83" s="38">
        <f>VALUE(LEFT(RIGHT($B$78,3),1))</f>
        <v>0</v>
      </c>
      <c r="D83" s="9" t="s">
        <v>8</v>
      </c>
      <c r="E83" s="12">
        <v>0</v>
      </c>
      <c r="F83" s="60" t="s">
        <v>370</v>
      </c>
      <c r="G83" s="47"/>
      <c r="I83" s="47" t="s">
        <v>552</v>
      </c>
    </row>
    <row r="84" spans="1:9" x14ac:dyDescent="0.25">
      <c r="A84" s="47"/>
      <c r="B84" s="4"/>
      <c r="C84" s="38">
        <f>VALUE(LEFT(RIGHT($B$78,2),1))</f>
        <v>0</v>
      </c>
      <c r="D84" s="9" t="s">
        <v>8</v>
      </c>
      <c r="E84" s="12">
        <v>0</v>
      </c>
      <c r="F84" s="60" t="s">
        <v>371</v>
      </c>
      <c r="G84" s="47"/>
      <c r="I84" s="47" t="s">
        <v>546</v>
      </c>
    </row>
    <row r="85" spans="1:9" ht="15.75" thickBot="1" x14ac:dyDescent="0.3">
      <c r="A85" s="47"/>
      <c r="B85" s="6"/>
      <c r="C85" s="39">
        <f>VALUE(LEFT(RIGHT($B$78,1),1))</f>
        <v>0</v>
      </c>
      <c r="D85" s="10" t="s">
        <v>8</v>
      </c>
      <c r="E85" s="13">
        <v>0</v>
      </c>
      <c r="F85" s="60" t="s">
        <v>372</v>
      </c>
      <c r="G85" s="47"/>
      <c r="I85" s="47" t="s">
        <v>555</v>
      </c>
    </row>
    <row r="86" spans="1:9" x14ac:dyDescent="0.25">
      <c r="I86" s="47" t="s">
        <v>556</v>
      </c>
    </row>
    <row r="87" spans="1:9" x14ac:dyDescent="0.25">
      <c r="A87" s="51" t="s">
        <v>467</v>
      </c>
      <c r="B87" s="51"/>
      <c r="C87" s="52"/>
      <c r="D87" s="51"/>
      <c r="E87" s="51"/>
      <c r="F87" s="57"/>
      <c r="G87" s="51"/>
      <c r="I87" s="47" t="s">
        <v>557</v>
      </c>
    </row>
    <row r="88" spans="1:9" ht="15.75" thickBot="1" x14ac:dyDescent="0.3">
      <c r="A88" s="111" t="s">
        <v>30</v>
      </c>
      <c r="B88" s="111"/>
      <c r="C88" s="111"/>
      <c r="D88" s="111"/>
      <c r="E88" s="112" t="s">
        <v>31</v>
      </c>
      <c r="F88" s="112"/>
      <c r="G88" s="112"/>
      <c r="I88" s="47" t="s">
        <v>549</v>
      </c>
    </row>
    <row r="89" spans="1:9" ht="15.75" thickBot="1" x14ac:dyDescent="0.3">
      <c r="A89" s="47" t="s">
        <v>0</v>
      </c>
      <c r="B89" s="74" t="s">
        <v>518</v>
      </c>
      <c r="D89" s="47"/>
      <c r="E89" s="15" t="str">
        <f>G90&amp;G98&amp;G106</f>
        <v>6098C8</v>
      </c>
      <c r="F89" s="58"/>
      <c r="G89" s="47"/>
      <c r="I89" s="47" t="s">
        <v>550</v>
      </c>
    </row>
    <row r="90" spans="1:9" x14ac:dyDescent="0.25">
      <c r="A90" s="47" t="s">
        <v>1</v>
      </c>
      <c r="B90" s="2" t="str">
        <f>HEX2BIN(LEFT(RIGHT($B$89,LEN($B$89)),2),8)</f>
        <v>00100000</v>
      </c>
      <c r="C90" s="40">
        <f>VALUE(LEFT(RIGHT($B$90,8),1))</f>
        <v>0</v>
      </c>
      <c r="D90" s="8" t="s">
        <v>468</v>
      </c>
      <c r="E90" s="11">
        <v>0</v>
      </c>
      <c r="F90" s="59" t="s">
        <v>357</v>
      </c>
      <c r="G90" s="47" t="str">
        <f>BIN2HEX(E90&amp;E91&amp;E92&amp;E93&amp;E94&amp;E95&amp;E96&amp;E97,2)</f>
        <v>60</v>
      </c>
      <c r="I90" s="47" t="s">
        <v>558</v>
      </c>
    </row>
    <row r="91" spans="1:9" x14ac:dyDescent="0.25">
      <c r="A91" s="47"/>
      <c r="B91" s="4"/>
      <c r="C91" s="38">
        <f>VALUE(LEFT(RIGHT($B$90,7),1))</f>
        <v>0</v>
      </c>
      <c r="D91" s="9" t="s">
        <v>469</v>
      </c>
      <c r="E91" s="12">
        <v>1</v>
      </c>
      <c r="F91" s="59" t="s">
        <v>359</v>
      </c>
      <c r="G91" s="47"/>
      <c r="I91" s="47" t="s">
        <v>559</v>
      </c>
    </row>
    <row r="92" spans="1:9" x14ac:dyDescent="0.25">
      <c r="A92" s="47"/>
      <c r="B92" s="4"/>
      <c r="C92" s="38">
        <f>VALUE(LEFT(RIGHT($B$90,6),1))</f>
        <v>1</v>
      </c>
      <c r="D92" s="9" t="s">
        <v>470</v>
      </c>
      <c r="E92" s="12">
        <v>1</v>
      </c>
      <c r="F92" s="59" t="s">
        <v>360</v>
      </c>
      <c r="G92" s="47"/>
      <c r="I92" s="47" t="s">
        <v>553</v>
      </c>
    </row>
    <row r="93" spans="1:9" x14ac:dyDescent="0.25">
      <c r="A93" s="47"/>
      <c r="B93" s="4"/>
      <c r="C93" s="38">
        <f>VALUE(LEFT(RIGHT($B$90,5),1))</f>
        <v>0</v>
      </c>
      <c r="D93" s="9" t="s">
        <v>8</v>
      </c>
      <c r="E93" s="12">
        <v>0</v>
      </c>
      <c r="F93" s="59" t="s">
        <v>361</v>
      </c>
      <c r="G93" s="47"/>
      <c r="I93" s="47" t="s">
        <v>550</v>
      </c>
    </row>
    <row r="94" spans="1:9" x14ac:dyDescent="0.25">
      <c r="A94" s="47"/>
      <c r="B94" s="4"/>
      <c r="C94" s="38">
        <f>VALUE(LEFT(RIGHT($B$90,4),1))</f>
        <v>0</v>
      </c>
      <c r="D94" s="9" t="s">
        <v>8</v>
      </c>
      <c r="E94" s="12">
        <v>0</v>
      </c>
      <c r="F94" s="59" t="s">
        <v>362</v>
      </c>
      <c r="G94" s="47"/>
      <c r="I94" s="47" t="s">
        <v>560</v>
      </c>
    </row>
    <row r="95" spans="1:9" x14ac:dyDescent="0.25">
      <c r="A95" s="47"/>
      <c r="B95" s="4"/>
      <c r="C95" s="38">
        <f>VALUE(LEFT(RIGHT($B$90,3),1))</f>
        <v>0</v>
      </c>
      <c r="D95" s="9" t="s">
        <v>8</v>
      </c>
      <c r="E95" s="12">
        <v>0</v>
      </c>
      <c r="F95" s="59" t="s">
        <v>363</v>
      </c>
      <c r="G95" s="47"/>
      <c r="I95" s="47" t="s">
        <v>561</v>
      </c>
    </row>
    <row r="96" spans="1:9" x14ac:dyDescent="0.25">
      <c r="A96" s="47"/>
      <c r="B96" s="4"/>
      <c r="C96" s="38">
        <f>VALUE(LEFT(RIGHT($B$90,2),1))</f>
        <v>0</v>
      </c>
      <c r="D96" s="9" t="s">
        <v>8</v>
      </c>
      <c r="E96" s="12">
        <v>0</v>
      </c>
      <c r="F96" s="59" t="s">
        <v>364</v>
      </c>
      <c r="G96" s="47"/>
      <c r="I96" s="47" t="s">
        <v>562</v>
      </c>
    </row>
    <row r="97" spans="1:9" ht="15.75" thickBot="1" x14ac:dyDescent="0.3">
      <c r="A97" s="47"/>
      <c r="B97" s="6"/>
      <c r="C97" s="38">
        <f>VALUE(LEFT(RIGHT($B$90,1),1))</f>
        <v>0</v>
      </c>
      <c r="D97" s="10" t="s">
        <v>8</v>
      </c>
      <c r="E97" s="13">
        <v>0</v>
      </c>
      <c r="F97" s="59" t="s">
        <v>358</v>
      </c>
      <c r="G97" s="47"/>
      <c r="I97" s="47" t="s">
        <v>563</v>
      </c>
    </row>
    <row r="98" spans="1:9" x14ac:dyDescent="0.25">
      <c r="A98" s="47"/>
      <c r="B98" s="2" t="str">
        <f>HEX2BIN(LEFT(RIGHT($B$89,LEN($B$89)-2),2),8)</f>
        <v>10010000</v>
      </c>
      <c r="C98" s="40">
        <f>VALUE(LEFT(RIGHT($B$98,8),1))</f>
        <v>1</v>
      </c>
      <c r="D98" s="8" t="s">
        <v>471</v>
      </c>
      <c r="E98" s="11">
        <v>1</v>
      </c>
      <c r="F98" s="59" t="s">
        <v>365</v>
      </c>
      <c r="G98" s="47" t="str">
        <f>BIN2HEX(E98&amp;E99&amp;E100&amp;E101&amp;E102&amp;E103&amp;E104&amp;E105,2)</f>
        <v>98</v>
      </c>
      <c r="I98" s="47" t="s">
        <v>564</v>
      </c>
    </row>
    <row r="99" spans="1:9" x14ac:dyDescent="0.25">
      <c r="A99" s="47"/>
      <c r="B99" s="4"/>
      <c r="C99" s="38">
        <f>VALUE(LEFT(RIGHT($B$98,7),1))</f>
        <v>0</v>
      </c>
      <c r="D99" s="9" t="s">
        <v>472</v>
      </c>
      <c r="E99" s="12">
        <v>0</v>
      </c>
      <c r="F99" s="59" t="s">
        <v>366</v>
      </c>
      <c r="G99" s="47"/>
      <c r="I99" s="47" t="s">
        <v>549</v>
      </c>
    </row>
    <row r="100" spans="1:9" x14ac:dyDescent="0.25">
      <c r="A100" s="47"/>
      <c r="B100" s="4"/>
      <c r="C100" s="38">
        <f>VALUE(LEFT(RIGHT($B$98,6),1))</f>
        <v>0</v>
      </c>
      <c r="D100" s="9" t="s">
        <v>473</v>
      </c>
      <c r="E100" s="12">
        <v>0</v>
      </c>
      <c r="F100" s="59" t="s">
        <v>367</v>
      </c>
      <c r="G100" s="47"/>
      <c r="I100" s="47" t="s">
        <v>550</v>
      </c>
    </row>
    <row r="101" spans="1:9" x14ac:dyDescent="0.25">
      <c r="A101" s="47"/>
      <c r="B101" s="4"/>
      <c r="C101" s="38">
        <f>VALUE(LEFT(RIGHT($B$98,5),1))</f>
        <v>1</v>
      </c>
      <c r="D101" s="9" t="s">
        <v>474</v>
      </c>
      <c r="E101" s="12">
        <v>1</v>
      </c>
      <c r="F101" s="59" t="s">
        <v>368</v>
      </c>
      <c r="G101" s="47"/>
      <c r="I101" s="47" t="s">
        <v>565</v>
      </c>
    </row>
    <row r="102" spans="1:9" x14ac:dyDescent="0.25">
      <c r="A102" s="47"/>
      <c r="B102" s="4"/>
      <c r="C102" s="38">
        <f>VALUE(LEFT(RIGHT($B$98,4),1))</f>
        <v>0</v>
      </c>
      <c r="D102" s="9" t="s">
        <v>480</v>
      </c>
      <c r="E102" s="12">
        <v>1</v>
      </c>
      <c r="F102" s="59" t="s">
        <v>369</v>
      </c>
      <c r="G102" s="47"/>
      <c r="I102" s="47" t="s">
        <v>553</v>
      </c>
    </row>
    <row r="103" spans="1:9" x14ac:dyDescent="0.25">
      <c r="A103" s="47"/>
      <c r="B103" s="4"/>
      <c r="C103" s="38">
        <f>VALUE(LEFT(RIGHT($B$98,3),1))</f>
        <v>0</v>
      </c>
      <c r="D103" s="9" t="s">
        <v>8</v>
      </c>
      <c r="E103" s="12">
        <v>0</v>
      </c>
      <c r="F103" s="59" t="s">
        <v>370</v>
      </c>
      <c r="G103" s="47"/>
      <c r="I103" s="47" t="s">
        <v>550</v>
      </c>
    </row>
    <row r="104" spans="1:9" x14ac:dyDescent="0.25">
      <c r="A104" s="47"/>
      <c r="B104" s="4"/>
      <c r="C104" s="38">
        <f>VALUE(LEFT(RIGHT($B$98,2),1))</f>
        <v>0</v>
      </c>
      <c r="D104" s="9" t="s">
        <v>8</v>
      </c>
      <c r="E104" s="12">
        <v>0</v>
      </c>
      <c r="F104" s="59" t="s">
        <v>371</v>
      </c>
      <c r="G104" s="47"/>
      <c r="I104" s="47" t="s">
        <v>574</v>
      </c>
    </row>
    <row r="105" spans="1:9" ht="15.75" thickBot="1" x14ac:dyDescent="0.3">
      <c r="A105" s="47"/>
      <c r="B105" s="6"/>
      <c r="C105" s="38">
        <f>VALUE(LEFT(RIGHT($B$98,1),1))</f>
        <v>0</v>
      </c>
      <c r="D105" s="10" t="s">
        <v>8</v>
      </c>
      <c r="E105" s="13">
        <v>0</v>
      </c>
      <c r="F105" s="59" t="s">
        <v>372</v>
      </c>
      <c r="G105" s="47"/>
      <c r="I105" s="47" t="s">
        <v>575</v>
      </c>
    </row>
    <row r="106" spans="1:9" x14ac:dyDescent="0.25">
      <c r="A106" s="47"/>
      <c r="B106" s="2" t="str">
        <f>HEX2BIN(LEFT(RIGHT($B$89,LEN($B$89)-4),2),8)</f>
        <v>11001000</v>
      </c>
      <c r="C106" s="40">
        <f>VALUE(LEFT(RIGHT($B$106,8),1))</f>
        <v>1</v>
      </c>
      <c r="D106" s="8" t="s">
        <v>475</v>
      </c>
      <c r="E106" s="11">
        <v>1</v>
      </c>
      <c r="F106" s="59" t="s">
        <v>387</v>
      </c>
      <c r="G106" s="47" t="str">
        <f>BIN2HEX(E106&amp;E107&amp;E108&amp;E109&amp;E110&amp;E111&amp;E112&amp;E113,2)</f>
        <v>C8</v>
      </c>
      <c r="I106" s="47"/>
    </row>
    <row r="107" spans="1:9" x14ac:dyDescent="0.25">
      <c r="A107" s="47"/>
      <c r="B107" s="4"/>
      <c r="C107" s="38">
        <f>VALUE(LEFT(RIGHT($B$106,7),1))</f>
        <v>1</v>
      </c>
      <c r="D107" s="9" t="s">
        <v>476</v>
      </c>
      <c r="E107" s="12">
        <v>1</v>
      </c>
      <c r="F107" s="59" t="s">
        <v>388</v>
      </c>
      <c r="G107" s="47"/>
      <c r="I107" s="47"/>
    </row>
    <row r="108" spans="1:9" x14ac:dyDescent="0.25">
      <c r="A108" s="47"/>
      <c r="B108" s="4"/>
      <c r="C108" s="38">
        <f>VALUE(LEFT(RIGHT($B$106,6),1))</f>
        <v>0</v>
      </c>
      <c r="D108" s="9" t="s">
        <v>477</v>
      </c>
      <c r="E108" s="12">
        <v>0</v>
      </c>
      <c r="F108" s="59" t="s">
        <v>389</v>
      </c>
      <c r="G108" s="47"/>
      <c r="I108" s="47" t="s">
        <v>572</v>
      </c>
    </row>
    <row r="109" spans="1:9" x14ac:dyDescent="0.25">
      <c r="A109" s="47"/>
      <c r="B109" s="4"/>
      <c r="C109" s="38">
        <f>VALUE(LEFT(RIGHT($B$106,5),1))</f>
        <v>0</v>
      </c>
      <c r="D109" s="9" t="s">
        <v>8</v>
      </c>
      <c r="E109" s="12">
        <v>0</v>
      </c>
      <c r="F109" s="59" t="s">
        <v>390</v>
      </c>
      <c r="G109" s="47"/>
      <c r="I109" s="47" t="s">
        <v>573</v>
      </c>
    </row>
    <row r="110" spans="1:9" x14ac:dyDescent="0.25">
      <c r="A110" s="47"/>
      <c r="B110" s="4"/>
      <c r="C110" s="38">
        <f>VALUE(LEFT(RIGHT($B$106,4),1))</f>
        <v>1</v>
      </c>
      <c r="D110" s="9" t="s">
        <v>478</v>
      </c>
      <c r="E110" s="12">
        <v>1</v>
      </c>
      <c r="F110" s="59" t="s">
        <v>391</v>
      </c>
      <c r="G110" s="47"/>
    </row>
    <row r="111" spans="1:9" x14ac:dyDescent="0.25">
      <c r="A111" s="47"/>
      <c r="B111" s="4"/>
      <c r="C111" s="38">
        <f>VALUE(LEFT(RIGHT($B$106,3),1))</f>
        <v>0</v>
      </c>
      <c r="D111" s="9" t="s">
        <v>8</v>
      </c>
      <c r="E111" s="12">
        <v>0</v>
      </c>
      <c r="F111" s="59" t="s">
        <v>392</v>
      </c>
      <c r="G111" s="47"/>
    </row>
    <row r="112" spans="1:9" x14ac:dyDescent="0.25">
      <c r="A112" s="47"/>
      <c r="B112" s="4"/>
      <c r="C112" s="38">
        <f>VALUE(LEFT(RIGHT($B$106,2),1))</f>
        <v>0</v>
      </c>
      <c r="D112" s="9" t="s">
        <v>8</v>
      </c>
      <c r="E112" s="12">
        <v>0</v>
      </c>
      <c r="F112" s="59" t="s">
        <v>393</v>
      </c>
      <c r="G112" s="47"/>
    </row>
    <row r="113" spans="1:7" ht="15.75" thickBot="1" x14ac:dyDescent="0.3">
      <c r="A113" s="47"/>
      <c r="B113" s="6"/>
      <c r="C113" s="39">
        <f>VALUE(LEFT(RIGHT($B$106,1),1))</f>
        <v>0</v>
      </c>
      <c r="D113" s="10" t="s">
        <v>8</v>
      </c>
      <c r="E113" s="13">
        <v>0</v>
      </c>
      <c r="F113" s="59" t="s">
        <v>394</v>
      </c>
      <c r="G113" s="47"/>
    </row>
    <row r="115" spans="1:7" x14ac:dyDescent="0.25">
      <c r="A115" s="51" t="s">
        <v>479</v>
      </c>
      <c r="B115" s="51"/>
      <c r="C115" s="52"/>
      <c r="D115" s="51"/>
      <c r="E115" s="51"/>
      <c r="F115" s="57"/>
      <c r="G115" s="51"/>
    </row>
    <row r="116" spans="1:7" ht="15.75" thickBot="1" x14ac:dyDescent="0.3">
      <c r="A116" s="111" t="s">
        <v>30</v>
      </c>
      <c r="B116" s="111"/>
      <c r="C116" s="111"/>
      <c r="D116" s="111"/>
      <c r="E116" s="112" t="s">
        <v>31</v>
      </c>
      <c r="F116" s="112"/>
      <c r="G116" s="112"/>
    </row>
    <row r="117" spans="1:7" ht="15.75" thickBot="1" x14ac:dyDescent="0.3">
      <c r="A117" s="47" t="s">
        <v>0</v>
      </c>
      <c r="B117" s="74" t="s">
        <v>540</v>
      </c>
      <c r="D117" s="47"/>
      <c r="E117" s="15" t="str">
        <f>G118&amp;G126&amp;G134&amp;G142&amp;G150</f>
        <v>0430B80000</v>
      </c>
      <c r="F117" s="58"/>
      <c r="G117" s="47"/>
    </row>
    <row r="118" spans="1:7" x14ac:dyDescent="0.25">
      <c r="A118" s="47" t="s">
        <v>1</v>
      </c>
      <c r="B118" s="2" t="str">
        <f>HEX2BIN(LEFT(RIGHT($B$117,10),2),8)</f>
        <v>11111111</v>
      </c>
      <c r="C118" s="40">
        <f>VALUE(LEFT(RIGHT($B$118,8),1))</f>
        <v>1</v>
      </c>
      <c r="D118" s="8" t="s">
        <v>481</v>
      </c>
      <c r="E118" s="11">
        <v>0</v>
      </c>
      <c r="F118" s="59" t="s">
        <v>357</v>
      </c>
      <c r="G118" s="47" t="str">
        <f>BIN2HEX(E118&amp;E119&amp;E120&amp;E121&amp;E122&amp;E123&amp;E124&amp;E125,2)</f>
        <v>04</v>
      </c>
    </row>
    <row r="119" spans="1:7" x14ac:dyDescent="0.25">
      <c r="A119" s="47"/>
      <c r="B119" s="4"/>
      <c r="C119" s="38">
        <f>VALUE(LEFT(RIGHT($B$118,7),1))</f>
        <v>1</v>
      </c>
      <c r="D119" s="9" t="s">
        <v>482</v>
      </c>
      <c r="E119" s="12">
        <v>0</v>
      </c>
      <c r="F119" s="59" t="s">
        <v>359</v>
      </c>
      <c r="G119" s="47"/>
    </row>
    <row r="120" spans="1:7" x14ac:dyDescent="0.25">
      <c r="A120" s="47"/>
      <c r="B120" s="4"/>
      <c r="C120" s="38">
        <f>VALUE(LEFT(RIGHT($B$118,6),1))</f>
        <v>1</v>
      </c>
      <c r="D120" s="9" t="s">
        <v>483</v>
      </c>
      <c r="E120" s="12">
        <v>0</v>
      </c>
      <c r="F120" s="59" t="s">
        <v>360</v>
      </c>
      <c r="G120" s="47"/>
    </row>
    <row r="121" spans="1:7" x14ac:dyDescent="0.25">
      <c r="A121" s="47"/>
      <c r="B121" s="4"/>
      <c r="C121" s="38">
        <f>VALUE(LEFT(RIGHT($B$118,5),1))</f>
        <v>1</v>
      </c>
      <c r="D121" s="9" t="s">
        <v>484</v>
      </c>
      <c r="E121" s="12">
        <v>0</v>
      </c>
      <c r="F121" s="59" t="s">
        <v>361</v>
      </c>
      <c r="G121" s="47"/>
    </row>
    <row r="122" spans="1:7" x14ac:dyDescent="0.25">
      <c r="A122" s="47"/>
      <c r="B122" s="4"/>
      <c r="C122" s="38">
        <f>VALUE(LEFT(RIGHT($B$118,4),1))</f>
        <v>1</v>
      </c>
      <c r="D122" s="9" t="s">
        <v>485</v>
      </c>
      <c r="E122" s="12">
        <v>0</v>
      </c>
      <c r="F122" s="59" t="s">
        <v>362</v>
      </c>
      <c r="G122" s="47"/>
    </row>
    <row r="123" spans="1:7" x14ac:dyDescent="0.25">
      <c r="A123" s="47"/>
      <c r="B123" s="4"/>
      <c r="C123" s="38">
        <f>VALUE(LEFT(RIGHT($B$118,3),1))</f>
        <v>1</v>
      </c>
      <c r="D123" s="9" t="s">
        <v>486</v>
      </c>
      <c r="E123" s="12">
        <v>1</v>
      </c>
      <c r="F123" s="59" t="s">
        <v>363</v>
      </c>
      <c r="G123" s="47"/>
    </row>
    <row r="124" spans="1:7" x14ac:dyDescent="0.25">
      <c r="A124" s="47"/>
      <c r="B124" s="4"/>
      <c r="C124" s="38">
        <f>VALUE(LEFT(RIGHT($B$118,2),1))</f>
        <v>1</v>
      </c>
      <c r="D124" s="9" t="s">
        <v>487</v>
      </c>
      <c r="E124" s="12">
        <v>0</v>
      </c>
      <c r="F124" s="59" t="s">
        <v>364</v>
      </c>
      <c r="G124" s="47"/>
    </row>
    <row r="125" spans="1:7" ht="15.75" thickBot="1" x14ac:dyDescent="0.3">
      <c r="A125" s="47"/>
      <c r="B125" s="6"/>
      <c r="C125" s="38">
        <f>VALUE(LEFT(RIGHT($B$118,1),1))</f>
        <v>1</v>
      </c>
      <c r="D125" s="10" t="s">
        <v>488</v>
      </c>
      <c r="E125" s="13">
        <v>0</v>
      </c>
      <c r="F125" s="59" t="s">
        <v>358</v>
      </c>
      <c r="G125" s="47"/>
    </row>
    <row r="126" spans="1:7" x14ac:dyDescent="0.25">
      <c r="A126" s="47"/>
      <c r="B126" s="2" t="str">
        <f>HEX2BIN(LEFT(RIGHT($B$117,8),2),8)</f>
        <v>00010000</v>
      </c>
      <c r="C126" s="40">
        <f>VALUE(LEFT(RIGHT($B$126,8),1))</f>
        <v>0</v>
      </c>
      <c r="D126" s="8" t="s">
        <v>489</v>
      </c>
      <c r="E126" s="11">
        <v>0</v>
      </c>
      <c r="F126" s="59" t="s">
        <v>365</v>
      </c>
      <c r="G126" s="47" t="str">
        <f>BIN2HEX(E126&amp;E127&amp;E128&amp;E129&amp;E130&amp;E131&amp;E132&amp;E133,2)</f>
        <v>30</v>
      </c>
    </row>
    <row r="127" spans="1:7" x14ac:dyDescent="0.25">
      <c r="A127" s="47"/>
      <c r="B127" s="4"/>
      <c r="C127" s="38">
        <f>VALUE(LEFT(RIGHT($B$126,7),1))</f>
        <v>0</v>
      </c>
      <c r="D127" s="9" t="s">
        <v>8</v>
      </c>
      <c r="E127" s="12">
        <v>0</v>
      </c>
      <c r="F127" s="59" t="s">
        <v>366</v>
      </c>
      <c r="G127" s="47"/>
    </row>
    <row r="128" spans="1:7" x14ac:dyDescent="0.25">
      <c r="A128" s="47"/>
      <c r="B128" s="4"/>
      <c r="C128" s="38">
        <f>VALUE(LEFT(RIGHT($B$126,6),1))</f>
        <v>0</v>
      </c>
      <c r="D128" s="9" t="s">
        <v>8</v>
      </c>
      <c r="E128" s="12">
        <v>1</v>
      </c>
      <c r="F128" s="59" t="s">
        <v>367</v>
      </c>
      <c r="G128" s="47"/>
    </row>
    <row r="129" spans="1:7" x14ac:dyDescent="0.25">
      <c r="A129" s="47"/>
      <c r="B129" s="4"/>
      <c r="C129" s="38">
        <f>VALUE(LEFT(RIGHT($B$126,5),1))</f>
        <v>1</v>
      </c>
      <c r="D129" s="9" t="s">
        <v>8</v>
      </c>
      <c r="E129" s="12">
        <v>1</v>
      </c>
      <c r="F129" s="59" t="s">
        <v>368</v>
      </c>
      <c r="G129" s="47"/>
    </row>
    <row r="130" spans="1:7" x14ac:dyDescent="0.25">
      <c r="A130" s="47"/>
      <c r="B130" s="4"/>
      <c r="C130" s="38">
        <f>VALUE(LEFT(RIGHT($B$126,4),1))</f>
        <v>0</v>
      </c>
      <c r="D130" s="9" t="s">
        <v>8</v>
      </c>
      <c r="E130" s="12">
        <v>0</v>
      </c>
      <c r="F130" s="59" t="s">
        <v>369</v>
      </c>
      <c r="G130" s="47"/>
    </row>
    <row r="131" spans="1:7" x14ac:dyDescent="0.25">
      <c r="A131" s="47"/>
      <c r="B131" s="4"/>
      <c r="C131" s="38">
        <f>VALUE(LEFT(RIGHT($B$126,3),1))</f>
        <v>0</v>
      </c>
      <c r="D131" s="9" t="s">
        <v>8</v>
      </c>
      <c r="E131" s="12">
        <v>0</v>
      </c>
      <c r="F131" s="59" t="s">
        <v>370</v>
      </c>
      <c r="G131" s="47"/>
    </row>
    <row r="132" spans="1:7" x14ac:dyDescent="0.25">
      <c r="A132" s="47"/>
      <c r="B132" s="4"/>
      <c r="C132" s="38">
        <f>VALUE(LEFT(RIGHT($B$126,2),1))</f>
        <v>0</v>
      </c>
      <c r="D132" s="9" t="s">
        <v>8</v>
      </c>
      <c r="E132" s="12">
        <v>0</v>
      </c>
      <c r="F132" s="59" t="s">
        <v>371</v>
      </c>
      <c r="G132" s="47"/>
    </row>
    <row r="133" spans="1:7" ht="15.75" thickBot="1" x14ac:dyDescent="0.3">
      <c r="A133" s="47"/>
      <c r="B133" s="6"/>
      <c r="C133" s="38">
        <f>VALUE(LEFT(RIGHT($B$126,1),1))</f>
        <v>0</v>
      </c>
      <c r="D133" s="10" t="s">
        <v>8</v>
      </c>
      <c r="E133" s="13">
        <v>0</v>
      </c>
      <c r="F133" s="59" t="s">
        <v>372</v>
      </c>
      <c r="G133" s="47"/>
    </row>
    <row r="134" spans="1:7" x14ac:dyDescent="0.25">
      <c r="A134" s="47"/>
      <c r="B134" s="2" t="str">
        <f>HEX2BIN(LEFT(RIGHT($B$117,6),2),8)</f>
        <v>00011000</v>
      </c>
      <c r="C134" s="40">
        <f>VALUE(LEFT(RIGHT($B$134,8),1))</f>
        <v>0</v>
      </c>
      <c r="D134" s="8" t="s">
        <v>490</v>
      </c>
      <c r="E134" s="11">
        <v>1</v>
      </c>
      <c r="F134" s="59" t="s">
        <v>387</v>
      </c>
      <c r="G134" s="47" t="str">
        <f>BIN2HEX(E134&amp;E135&amp;E136&amp;E137&amp;E138&amp;E139&amp;E140&amp;E141,2)</f>
        <v>B8</v>
      </c>
    </row>
    <row r="135" spans="1:7" x14ac:dyDescent="0.25">
      <c r="A135" s="47"/>
      <c r="B135" s="4"/>
      <c r="C135" s="38">
        <f>VALUE(LEFT(RIGHT($B$134,7),1))</f>
        <v>0</v>
      </c>
      <c r="D135" s="9" t="s">
        <v>491</v>
      </c>
      <c r="E135" s="12">
        <v>0</v>
      </c>
      <c r="F135" s="59" t="s">
        <v>388</v>
      </c>
      <c r="G135" s="47"/>
    </row>
    <row r="136" spans="1:7" x14ac:dyDescent="0.25">
      <c r="A136" s="47"/>
      <c r="B136" s="4"/>
      <c r="C136" s="38">
        <f>VALUE(LEFT(RIGHT($B$134,6),1))</f>
        <v>0</v>
      </c>
      <c r="D136" s="9" t="s">
        <v>492</v>
      </c>
      <c r="E136" s="12">
        <v>1</v>
      </c>
      <c r="F136" s="59" t="s">
        <v>389</v>
      </c>
      <c r="G136" s="47"/>
    </row>
    <row r="137" spans="1:7" x14ac:dyDescent="0.25">
      <c r="A137" s="47"/>
      <c r="B137" s="4"/>
      <c r="C137" s="38">
        <f>VALUE(LEFT(RIGHT($B$134,5),1))</f>
        <v>1</v>
      </c>
      <c r="D137" s="9" t="s">
        <v>493</v>
      </c>
      <c r="E137" s="12">
        <v>1</v>
      </c>
      <c r="F137" s="59" t="s">
        <v>390</v>
      </c>
      <c r="G137" s="47"/>
    </row>
    <row r="138" spans="1:7" x14ac:dyDescent="0.25">
      <c r="A138" s="47"/>
      <c r="B138" s="4"/>
      <c r="C138" s="38">
        <f>VALUE(LEFT(RIGHT($B$134,4),1))</f>
        <v>1</v>
      </c>
      <c r="D138" s="9" t="s">
        <v>8</v>
      </c>
      <c r="E138" s="12">
        <v>1</v>
      </c>
      <c r="F138" s="59" t="s">
        <v>391</v>
      </c>
      <c r="G138" s="47"/>
    </row>
    <row r="139" spans="1:7" x14ac:dyDescent="0.25">
      <c r="A139" s="47"/>
      <c r="B139" s="4"/>
      <c r="C139" s="38">
        <f>VALUE(LEFT(RIGHT($B$134,3),1))</f>
        <v>0</v>
      </c>
      <c r="D139" s="9" t="s">
        <v>8</v>
      </c>
      <c r="E139" s="12">
        <v>0</v>
      </c>
      <c r="F139" s="59" t="s">
        <v>392</v>
      </c>
      <c r="G139" s="47"/>
    </row>
    <row r="140" spans="1:7" x14ac:dyDescent="0.25">
      <c r="A140" s="47"/>
      <c r="B140" s="4"/>
      <c r="C140" s="38">
        <f>VALUE(LEFT(RIGHT($B$134,2),1))</f>
        <v>0</v>
      </c>
      <c r="D140" s="9" t="s">
        <v>8</v>
      </c>
      <c r="E140" s="12">
        <v>0</v>
      </c>
      <c r="F140" s="59" t="s">
        <v>393</v>
      </c>
      <c r="G140" s="47"/>
    </row>
    <row r="141" spans="1:7" ht="15.75" thickBot="1" x14ac:dyDescent="0.3">
      <c r="A141" s="47"/>
      <c r="B141" s="6"/>
      <c r="C141" s="38">
        <f>VALUE(LEFT(RIGHT($B$134,1),1))</f>
        <v>0</v>
      </c>
      <c r="D141" s="10" t="s">
        <v>8</v>
      </c>
      <c r="E141" s="13">
        <v>0</v>
      </c>
      <c r="F141" s="59" t="s">
        <v>394</v>
      </c>
      <c r="G141" s="47"/>
    </row>
    <row r="142" spans="1:7" x14ac:dyDescent="0.25">
      <c r="A142" s="47"/>
      <c r="B142" s="2" t="str">
        <f>HEX2BIN(LEFT(RIGHT($B$117,4),2),8)</f>
        <v>00010000</v>
      </c>
      <c r="C142" s="40">
        <f>VALUE(LEFT(RIGHT($B$142,8),1))</f>
        <v>0</v>
      </c>
      <c r="D142" s="8" t="s">
        <v>494</v>
      </c>
      <c r="E142" s="11">
        <v>0</v>
      </c>
      <c r="F142" s="59" t="s">
        <v>395</v>
      </c>
      <c r="G142" s="47" t="str">
        <f>BIN2HEX(E142&amp;E143&amp;E144&amp;E145&amp;E146&amp;E147&amp;E148&amp;E149,2)</f>
        <v>00</v>
      </c>
    </row>
    <row r="143" spans="1:7" x14ac:dyDescent="0.25">
      <c r="A143" s="47"/>
      <c r="B143" s="4"/>
      <c r="C143" s="38">
        <f>VALUE(LEFT(RIGHT($B$142,7),1))</f>
        <v>0</v>
      </c>
      <c r="D143" s="9" t="s">
        <v>495</v>
      </c>
      <c r="E143" s="12">
        <v>0</v>
      </c>
      <c r="F143" s="59" t="s">
        <v>396</v>
      </c>
      <c r="G143" s="47"/>
    </row>
    <row r="144" spans="1:7" x14ac:dyDescent="0.25">
      <c r="A144" s="47"/>
      <c r="B144" s="4"/>
      <c r="C144" s="38">
        <f>VALUE(LEFT(RIGHT($B$142,6),1))</f>
        <v>0</v>
      </c>
      <c r="D144" s="9" t="s">
        <v>496</v>
      </c>
      <c r="E144" s="12">
        <v>0</v>
      </c>
      <c r="F144" s="59" t="s">
        <v>397</v>
      </c>
      <c r="G144" s="47"/>
    </row>
    <row r="145" spans="1:7" x14ac:dyDescent="0.25">
      <c r="A145" s="47"/>
      <c r="B145" s="4"/>
      <c r="C145" s="38">
        <f>VALUE(LEFT(RIGHT($B$142,5),1))</f>
        <v>1</v>
      </c>
      <c r="D145" s="9" t="s">
        <v>497</v>
      </c>
      <c r="E145" s="12">
        <v>0</v>
      </c>
      <c r="F145" s="59" t="s">
        <v>398</v>
      </c>
      <c r="G145" s="47"/>
    </row>
    <row r="146" spans="1:7" x14ac:dyDescent="0.25">
      <c r="A146" s="47"/>
      <c r="B146" s="4"/>
      <c r="C146" s="38">
        <f>VALUE(LEFT(RIGHT($B$142,4),1))</f>
        <v>0</v>
      </c>
      <c r="D146" s="9" t="s">
        <v>8</v>
      </c>
      <c r="E146" s="12">
        <v>0</v>
      </c>
      <c r="F146" s="59" t="s">
        <v>399</v>
      </c>
      <c r="G146" s="47"/>
    </row>
    <row r="147" spans="1:7" x14ac:dyDescent="0.25">
      <c r="A147" s="47"/>
      <c r="B147" s="4"/>
      <c r="C147" s="38">
        <f>VALUE(LEFT(RIGHT($B$142,3),1))</f>
        <v>0</v>
      </c>
      <c r="D147" s="9" t="s">
        <v>8</v>
      </c>
      <c r="E147" s="12">
        <v>0</v>
      </c>
      <c r="F147" s="59" t="s">
        <v>400</v>
      </c>
      <c r="G147" s="47"/>
    </row>
    <row r="148" spans="1:7" x14ac:dyDescent="0.25">
      <c r="A148" s="47"/>
      <c r="B148" s="4"/>
      <c r="C148" s="38">
        <f>VALUE(LEFT(RIGHT($B$142,2),1))</f>
        <v>0</v>
      </c>
      <c r="D148" s="9" t="s">
        <v>498</v>
      </c>
      <c r="E148" s="12">
        <v>0</v>
      </c>
      <c r="F148" s="59" t="s">
        <v>401</v>
      </c>
      <c r="G148" s="47"/>
    </row>
    <row r="149" spans="1:7" ht="15.75" thickBot="1" x14ac:dyDescent="0.3">
      <c r="A149" s="47"/>
      <c r="B149" s="4"/>
      <c r="C149" s="38">
        <f>VALUE(LEFT(RIGHT($B$142,1),1))</f>
        <v>0</v>
      </c>
      <c r="D149" s="9" t="s">
        <v>499</v>
      </c>
      <c r="E149" s="12">
        <v>0</v>
      </c>
      <c r="F149" s="59" t="s">
        <v>402</v>
      </c>
      <c r="G149" s="47"/>
    </row>
    <row r="150" spans="1:7" x14ac:dyDescent="0.25">
      <c r="A150" s="47"/>
      <c r="B150" s="2" t="str">
        <f>HEX2BIN(LEFT(RIGHT($B$117,2),2),8)</f>
        <v>00000000</v>
      </c>
      <c r="C150" s="40">
        <f>VALUE(LEFT(RIGHT($B$150,8),1))</f>
        <v>0</v>
      </c>
      <c r="D150" s="3" t="s">
        <v>500</v>
      </c>
      <c r="E150" s="77">
        <v>0</v>
      </c>
      <c r="F150" s="63" t="s">
        <v>403</v>
      </c>
      <c r="G150" s="47" t="str">
        <f>BIN2HEX(E150&amp;E151&amp;E152&amp;E153&amp;E154&amp;E155&amp;E156&amp;E157,2)</f>
        <v>00</v>
      </c>
    </row>
    <row r="151" spans="1:7" x14ac:dyDescent="0.25">
      <c r="A151" s="47"/>
      <c r="B151" s="4"/>
      <c r="C151" s="38">
        <f>VALUE(LEFT(RIGHT($B$150,7),1))</f>
        <v>0</v>
      </c>
      <c r="D151" s="5" t="s">
        <v>501</v>
      </c>
      <c r="E151" s="78">
        <v>0</v>
      </c>
      <c r="F151" s="63" t="s">
        <v>404</v>
      </c>
      <c r="G151" s="47"/>
    </row>
    <row r="152" spans="1:7" x14ac:dyDescent="0.25">
      <c r="A152" s="47"/>
      <c r="B152" s="4"/>
      <c r="C152" s="38">
        <f>VALUE(LEFT(RIGHT($B$150,6),1))</f>
        <v>0</v>
      </c>
      <c r="D152" s="5" t="s">
        <v>502</v>
      </c>
      <c r="E152" s="78">
        <v>0</v>
      </c>
      <c r="F152" s="63" t="s">
        <v>405</v>
      </c>
      <c r="G152" s="47"/>
    </row>
    <row r="153" spans="1:7" x14ac:dyDescent="0.25">
      <c r="A153" s="47"/>
      <c r="B153" s="4"/>
      <c r="C153" s="38">
        <f>VALUE(LEFT(RIGHT($B$150,5),1))</f>
        <v>0</v>
      </c>
      <c r="D153" s="5" t="s">
        <v>503</v>
      </c>
      <c r="E153" s="78">
        <v>0</v>
      </c>
      <c r="F153" s="63" t="s">
        <v>406</v>
      </c>
      <c r="G153" s="47"/>
    </row>
    <row r="154" spans="1:7" x14ac:dyDescent="0.25">
      <c r="A154" s="47"/>
      <c r="B154" s="4"/>
      <c r="C154" s="38">
        <f>VALUE(LEFT(RIGHT($B$150,4),1))</f>
        <v>0</v>
      </c>
      <c r="D154" s="5" t="s">
        <v>504</v>
      </c>
      <c r="E154" s="78">
        <v>0</v>
      </c>
      <c r="F154" s="63" t="s">
        <v>407</v>
      </c>
      <c r="G154" s="47"/>
    </row>
    <row r="155" spans="1:7" x14ac:dyDescent="0.25">
      <c r="A155" s="47"/>
      <c r="B155" s="4"/>
      <c r="C155" s="38">
        <f>VALUE(LEFT(RIGHT($B$150,3),1))</f>
        <v>0</v>
      </c>
      <c r="D155" s="5" t="s">
        <v>505</v>
      </c>
      <c r="E155" s="78">
        <v>0</v>
      </c>
      <c r="F155" s="63" t="s">
        <v>408</v>
      </c>
      <c r="G155" s="47"/>
    </row>
    <row r="156" spans="1:7" x14ac:dyDescent="0.25">
      <c r="A156" s="47"/>
      <c r="B156" s="4"/>
      <c r="C156" s="38">
        <f>VALUE(LEFT(RIGHT($B$150,2),1))</f>
        <v>0</v>
      </c>
      <c r="D156" s="5" t="s">
        <v>506</v>
      </c>
      <c r="E156" s="78">
        <v>0</v>
      </c>
      <c r="F156" s="63" t="s">
        <v>409</v>
      </c>
      <c r="G156" s="47"/>
    </row>
    <row r="157" spans="1:7" ht="15.75" thickBot="1" x14ac:dyDescent="0.3">
      <c r="A157" s="47"/>
      <c r="B157" s="6"/>
      <c r="C157" s="39">
        <f>VALUE(LEFT(RIGHT($B$150,1),1))</f>
        <v>0</v>
      </c>
      <c r="D157" s="7" t="s">
        <v>507</v>
      </c>
      <c r="E157" s="79">
        <v>0</v>
      </c>
      <c r="F157" s="63" t="s">
        <v>410</v>
      </c>
      <c r="G157" s="47"/>
    </row>
    <row r="160" spans="1:7" x14ac:dyDescent="0.25">
      <c r="A160" s="51" t="s">
        <v>509</v>
      </c>
      <c r="B160" s="51"/>
      <c r="C160" s="52"/>
      <c r="D160" s="51"/>
      <c r="E160" s="51"/>
      <c r="F160" s="57"/>
      <c r="G160" s="51"/>
    </row>
    <row r="161" spans="1:7" ht="15.75" thickBot="1" x14ac:dyDescent="0.3">
      <c r="A161" s="111" t="s">
        <v>30</v>
      </c>
      <c r="B161" s="111"/>
      <c r="C161" s="111"/>
      <c r="D161" s="111"/>
      <c r="E161" s="112" t="s">
        <v>86</v>
      </c>
      <c r="F161" s="112"/>
      <c r="G161" s="112"/>
    </row>
    <row r="162" spans="1:7" ht="15.75" thickBot="1" x14ac:dyDescent="0.3">
      <c r="A162" s="47" t="s">
        <v>0</v>
      </c>
      <c r="B162" s="1" t="s">
        <v>520</v>
      </c>
      <c r="C162" s="76"/>
      <c r="D162" s="47"/>
      <c r="E162" s="15" t="str">
        <f>G163&amp;G171</f>
        <v>1900</v>
      </c>
      <c r="F162" s="61" t="s">
        <v>356</v>
      </c>
      <c r="G162" s="47"/>
    </row>
    <row r="163" spans="1:7" x14ac:dyDescent="0.25">
      <c r="A163" s="47" t="s">
        <v>1</v>
      </c>
      <c r="B163" s="2" t="str">
        <f>HEX2BIN(LEFT(RIGHT($B$162,4),2),8)</f>
        <v>11000000</v>
      </c>
      <c r="C163" s="40">
        <f>VALUE(LEFT(RIGHT($B$163,8),1))</f>
        <v>1</v>
      </c>
      <c r="D163" s="8" t="s">
        <v>510</v>
      </c>
      <c r="E163" s="11">
        <v>0</v>
      </c>
      <c r="F163" s="62" t="s">
        <v>357</v>
      </c>
      <c r="G163" s="47" t="str">
        <f>BIN2HEX(E163&amp;E164&amp;E165&amp;E166&amp;E167&amp;E168&amp;E169&amp;E170,2)</f>
        <v>19</v>
      </c>
    </row>
    <row r="164" spans="1:7" x14ac:dyDescent="0.25">
      <c r="A164" s="47"/>
      <c r="B164" s="4"/>
      <c r="C164" s="38">
        <f>VALUE(LEFT(RIGHT($B$163,7),1))</f>
        <v>1</v>
      </c>
      <c r="D164" s="9" t="s">
        <v>511</v>
      </c>
      <c r="E164" s="12">
        <v>0</v>
      </c>
      <c r="F164" s="62" t="s">
        <v>359</v>
      </c>
      <c r="G164" s="47"/>
    </row>
    <row r="165" spans="1:7" x14ac:dyDescent="0.25">
      <c r="A165" s="47"/>
      <c r="B165" s="4"/>
      <c r="C165" s="38">
        <f>VALUE(LEFT(RIGHT($B$163,6),1))</f>
        <v>0</v>
      </c>
      <c r="D165" s="9" t="s">
        <v>512</v>
      </c>
      <c r="E165" s="12">
        <v>0</v>
      </c>
      <c r="F165" s="62" t="s">
        <v>360</v>
      </c>
      <c r="G165" s="47"/>
    </row>
    <row r="166" spans="1:7" x14ac:dyDescent="0.25">
      <c r="A166" s="47"/>
      <c r="B166" s="4"/>
      <c r="C166" s="38">
        <f>VALUE(LEFT(RIGHT($B$163,5),1))</f>
        <v>0</v>
      </c>
      <c r="D166" s="9" t="s">
        <v>513</v>
      </c>
      <c r="E166" s="12">
        <v>1</v>
      </c>
      <c r="F166" s="62" t="s">
        <v>361</v>
      </c>
      <c r="G166" s="47"/>
    </row>
    <row r="167" spans="1:7" x14ac:dyDescent="0.25">
      <c r="A167" s="47"/>
      <c r="B167" s="4"/>
      <c r="C167" s="38">
        <f>VALUE(LEFT(RIGHT($B$163,4),1))</f>
        <v>0</v>
      </c>
      <c r="D167" s="9" t="s">
        <v>514</v>
      </c>
      <c r="E167" s="12">
        <v>1</v>
      </c>
      <c r="F167" s="62" t="s">
        <v>362</v>
      </c>
      <c r="G167" s="47"/>
    </row>
    <row r="168" spans="1:7" x14ac:dyDescent="0.25">
      <c r="A168" s="47"/>
      <c r="B168" s="4"/>
      <c r="C168" s="38">
        <f>VALUE(LEFT(RIGHT($B$163,3),1))</f>
        <v>0</v>
      </c>
      <c r="D168" s="9" t="s">
        <v>515</v>
      </c>
      <c r="E168" s="12">
        <v>0</v>
      </c>
      <c r="F168" s="62" t="s">
        <v>363</v>
      </c>
      <c r="G168" s="47"/>
    </row>
    <row r="169" spans="1:7" x14ac:dyDescent="0.25">
      <c r="A169" s="47"/>
      <c r="B169" s="4"/>
      <c r="C169" s="38">
        <f>VALUE(LEFT(RIGHT($B$163,2),1))</f>
        <v>0</v>
      </c>
      <c r="D169" s="9" t="s">
        <v>8</v>
      </c>
      <c r="E169" s="12">
        <v>0</v>
      </c>
      <c r="F169" s="62" t="s">
        <v>364</v>
      </c>
      <c r="G169" s="47"/>
    </row>
    <row r="170" spans="1:7" ht="15.75" thickBot="1" x14ac:dyDescent="0.3">
      <c r="A170" s="47"/>
      <c r="B170" s="6"/>
      <c r="C170" s="39">
        <f>VALUE(LEFT(RIGHT($B$163,1),1))</f>
        <v>0</v>
      </c>
      <c r="D170" s="10" t="s">
        <v>8</v>
      </c>
      <c r="E170" s="13">
        <v>1</v>
      </c>
      <c r="F170" s="62" t="s">
        <v>358</v>
      </c>
      <c r="G170" s="47"/>
    </row>
    <row r="171" spans="1:7" x14ac:dyDescent="0.25">
      <c r="A171" s="47"/>
      <c r="B171" s="2" t="str">
        <f>HEX2BIN(LEFT(RIGHT($B$162,2),2),8)</f>
        <v>00000000</v>
      </c>
      <c r="C171" s="40">
        <f>VALUE(LEFT(RIGHT($B$171,8),1))</f>
        <v>0</v>
      </c>
      <c r="D171" s="26" t="s">
        <v>8</v>
      </c>
      <c r="E171" s="11">
        <v>0</v>
      </c>
      <c r="F171" s="60" t="s">
        <v>365</v>
      </c>
      <c r="G171" s="47" t="str">
        <f>BIN2HEX(E171&amp;E172&amp;E173&amp;E174&amp;E175&amp;E176&amp;E177&amp;E178,2)</f>
        <v>00</v>
      </c>
    </row>
    <row r="172" spans="1:7" x14ac:dyDescent="0.25">
      <c r="A172" s="47"/>
      <c r="B172" s="4"/>
      <c r="C172" s="38">
        <f>VALUE(LEFT(RIGHT($B$171,7),1))</f>
        <v>0</v>
      </c>
      <c r="D172" s="9" t="s">
        <v>8</v>
      </c>
      <c r="E172" s="12">
        <v>0</v>
      </c>
      <c r="F172" s="60" t="s">
        <v>366</v>
      </c>
      <c r="G172" s="47"/>
    </row>
    <row r="173" spans="1:7" x14ac:dyDescent="0.25">
      <c r="A173" s="47"/>
      <c r="B173" s="4"/>
      <c r="C173" s="38">
        <f>VALUE(LEFT(RIGHT($B$171,6),1))</f>
        <v>0</v>
      </c>
      <c r="D173" s="9" t="s">
        <v>8</v>
      </c>
      <c r="E173" s="12">
        <v>0</v>
      </c>
      <c r="F173" s="60" t="s">
        <v>367</v>
      </c>
      <c r="G173" s="47"/>
    </row>
    <row r="174" spans="1:7" x14ac:dyDescent="0.25">
      <c r="A174" s="47"/>
      <c r="B174" s="4"/>
      <c r="C174" s="38">
        <f>VALUE(LEFT(RIGHT($B$171,5),1))</f>
        <v>0</v>
      </c>
      <c r="D174" s="9" t="s">
        <v>8</v>
      </c>
      <c r="E174" s="12">
        <v>0</v>
      </c>
      <c r="F174" s="60" t="s">
        <v>368</v>
      </c>
      <c r="G174" s="47"/>
    </row>
    <row r="175" spans="1:7" x14ac:dyDescent="0.25">
      <c r="A175" s="47"/>
      <c r="B175" s="4"/>
      <c r="C175" s="38">
        <f>VALUE(LEFT(RIGHT($B$171,4),1))</f>
        <v>0</v>
      </c>
      <c r="D175" s="9" t="s">
        <v>8</v>
      </c>
      <c r="E175" s="12">
        <v>0</v>
      </c>
      <c r="F175" s="60" t="s">
        <v>369</v>
      </c>
      <c r="G175" s="47"/>
    </row>
    <row r="176" spans="1:7" x14ac:dyDescent="0.25">
      <c r="A176" s="47"/>
      <c r="B176" s="4"/>
      <c r="C176" s="38">
        <f>VALUE(LEFT(RIGHT($B$171,3),1))</f>
        <v>0</v>
      </c>
      <c r="D176" s="9" t="s">
        <v>8</v>
      </c>
      <c r="E176" s="12">
        <v>0</v>
      </c>
      <c r="F176" s="60" t="s">
        <v>370</v>
      </c>
      <c r="G176" s="47"/>
    </row>
    <row r="177" spans="1:7" x14ac:dyDescent="0.25">
      <c r="A177" s="47"/>
      <c r="B177" s="4"/>
      <c r="C177" s="38">
        <f>VALUE(LEFT(RIGHT($B$171,2),1))</f>
        <v>0</v>
      </c>
      <c r="D177" s="9" t="s">
        <v>8</v>
      </c>
      <c r="E177" s="12">
        <v>0</v>
      </c>
      <c r="F177" s="60" t="s">
        <v>371</v>
      </c>
      <c r="G177" s="47"/>
    </row>
    <row r="178" spans="1:7" ht="15.75" thickBot="1" x14ac:dyDescent="0.3">
      <c r="A178" s="47"/>
      <c r="B178" s="6"/>
      <c r="C178" s="39">
        <f>VALUE(LEFT(RIGHT($B$171,1),1))</f>
        <v>0</v>
      </c>
      <c r="D178" s="10" t="s">
        <v>8</v>
      </c>
      <c r="E178" s="13">
        <v>0</v>
      </c>
      <c r="F178" s="60" t="s">
        <v>372</v>
      </c>
      <c r="G178" s="47"/>
    </row>
  </sheetData>
  <mergeCells count="12">
    <mergeCell ref="A2:D2"/>
    <mergeCell ref="E2:G2"/>
    <mergeCell ref="A47:D47"/>
    <mergeCell ref="E47:G47"/>
    <mergeCell ref="A68:D68"/>
    <mergeCell ref="E68:G68"/>
    <mergeCell ref="A161:D161"/>
    <mergeCell ref="E161:G161"/>
    <mergeCell ref="A88:D88"/>
    <mergeCell ref="E88:G88"/>
    <mergeCell ref="A116:D116"/>
    <mergeCell ref="E116:G116"/>
  </mergeCells>
  <conditionalFormatting sqref="C4:C43">
    <cfRule type="iconSet" priority="7">
      <iconSet iconSet="3Symbols2" showValue="0" reverse="1">
        <cfvo type="percent" val="0"/>
        <cfvo type="percent" val="33"/>
        <cfvo type="percent" val="67"/>
      </iconSet>
    </cfRule>
  </conditionalFormatting>
  <conditionalFormatting sqref="C49:C64">
    <cfRule type="iconSet" priority="6">
      <iconSet iconSet="3Symbols2" showValue="0">
        <cfvo type="percent" val="0"/>
        <cfvo type="percent" val="33"/>
        <cfvo type="percent" val="67"/>
      </iconSet>
    </cfRule>
  </conditionalFormatting>
  <conditionalFormatting sqref="C70:C85">
    <cfRule type="iconSet" priority="5">
      <iconSet iconSet="3Symbols2" showValue="0">
        <cfvo type="percent" val="0"/>
        <cfvo type="percent" val="33"/>
        <cfvo type="percent" val="67"/>
      </iconSet>
    </cfRule>
  </conditionalFormatting>
  <conditionalFormatting sqref="C90:C113">
    <cfRule type="iconSet" priority="3">
      <iconSet iconSet="3Symbols2" showValue="0">
        <cfvo type="percent" val="0"/>
        <cfvo type="percent" val="33"/>
        <cfvo type="percent" val="67"/>
      </iconSet>
    </cfRule>
  </conditionalFormatting>
  <conditionalFormatting sqref="C118:C157">
    <cfRule type="iconSet" priority="2">
      <iconSet iconSet="3Symbols2" showValue="0">
        <cfvo type="percent" val="0"/>
        <cfvo type="percent" val="33"/>
        <cfvo type="percent" val="67"/>
      </iconSet>
    </cfRule>
  </conditionalFormatting>
  <conditionalFormatting sqref="C163:C178">
    <cfRule type="iconSet" priority="1">
      <iconSet iconSet="3Symbols2" showValue="0">
        <cfvo type="percent" val="0"/>
        <cfvo type="percent" val="33"/>
        <cfvo type="percent" val="67"/>
      </iconSet>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G59"/>
  <sheetViews>
    <sheetView tabSelected="1" topLeftCell="A37" zoomScaleNormal="100" workbookViewId="0">
      <selection activeCell="C62" sqref="C62"/>
    </sheetView>
  </sheetViews>
  <sheetFormatPr baseColWidth="10" defaultRowHeight="15" x14ac:dyDescent="0.25"/>
  <cols>
    <col min="1" max="1" width="11" bestFit="1" customWidth="1"/>
    <col min="2" max="2" width="3" customWidth="1"/>
    <col min="3" max="3" width="58.5703125" bestFit="1" customWidth="1"/>
    <col min="4" max="4" width="6" style="34" bestFit="1" customWidth="1"/>
    <col min="5" max="5" width="56.140625" bestFit="1" customWidth="1"/>
  </cols>
  <sheetData>
    <row r="1" spans="1:7" x14ac:dyDescent="0.25">
      <c r="A1" s="51" t="s">
        <v>73</v>
      </c>
      <c r="B1" s="51"/>
      <c r="C1" s="51"/>
      <c r="D1" s="52"/>
      <c r="E1" s="51"/>
      <c r="F1" s="51"/>
      <c r="G1" s="51"/>
    </row>
    <row r="2" spans="1:7" ht="15.75" thickBot="1" x14ac:dyDescent="0.3">
      <c r="A2" s="111"/>
      <c r="B2" s="111"/>
      <c r="C2" s="111"/>
      <c r="D2" s="16"/>
      <c r="E2" s="112" t="s">
        <v>31</v>
      </c>
      <c r="F2" s="112"/>
      <c r="G2" s="112"/>
    </row>
    <row r="3" spans="1:7" ht="15.75" thickBot="1" x14ac:dyDescent="0.3">
      <c r="A3" s="1" t="s">
        <v>464</v>
      </c>
      <c r="D3" s="42"/>
      <c r="E3" t="s">
        <v>29</v>
      </c>
      <c r="F3" s="15" t="str">
        <f>G4&amp;G12&amp;G20&amp;G28</f>
        <v>00482000</v>
      </c>
    </row>
    <row r="4" spans="1:7" x14ac:dyDescent="0.25">
      <c r="A4" s="2" t="str">
        <f>HEX2BIN(LEFT(RIGHT($A$3,8),2),8)</f>
        <v>11000011</v>
      </c>
      <c r="B4" s="3">
        <f>VALUE(LEFT(RIGHT($A$4,8),1))</f>
        <v>1</v>
      </c>
      <c r="C4" s="8" t="s">
        <v>34</v>
      </c>
      <c r="D4" s="43" t="s">
        <v>54</v>
      </c>
      <c r="E4" s="8" t="s">
        <v>34</v>
      </c>
      <c r="F4" s="11">
        <v>0</v>
      </c>
      <c r="G4" t="str">
        <f>BIN2HEX(F4&amp;F5&amp;F6&amp;F7&amp;F8&amp;F9&amp;F10&amp;F11,2)</f>
        <v>00</v>
      </c>
    </row>
    <row r="5" spans="1:7" x14ac:dyDescent="0.25">
      <c r="A5" s="4"/>
      <c r="B5" s="5">
        <f>VALUE(LEFT(RIGHT($A$4,7),1))</f>
        <v>1</v>
      </c>
      <c r="C5" s="9" t="s">
        <v>35</v>
      </c>
      <c r="D5" s="44" t="s">
        <v>55</v>
      </c>
      <c r="E5" s="9" t="s">
        <v>35</v>
      </c>
      <c r="F5" s="12">
        <v>0</v>
      </c>
    </row>
    <row r="6" spans="1:7" x14ac:dyDescent="0.25">
      <c r="A6" s="4"/>
      <c r="B6" s="5">
        <f>VALUE(LEFT(RIGHT($A$4,6),1))</f>
        <v>0</v>
      </c>
      <c r="C6" s="9" t="s">
        <v>36</v>
      </c>
      <c r="D6" s="44" t="s">
        <v>56</v>
      </c>
      <c r="E6" s="9" t="s">
        <v>36</v>
      </c>
      <c r="F6" s="12">
        <v>0</v>
      </c>
    </row>
    <row r="7" spans="1:7" x14ac:dyDescent="0.25">
      <c r="A7" s="4"/>
      <c r="B7" s="5">
        <f>VALUE(LEFT(RIGHT($A$4,5),1))</f>
        <v>0</v>
      </c>
      <c r="C7" s="9" t="s">
        <v>37</v>
      </c>
      <c r="D7" s="44" t="s">
        <v>57</v>
      </c>
      <c r="E7" s="9" t="s">
        <v>37</v>
      </c>
      <c r="F7" s="12">
        <v>0</v>
      </c>
    </row>
    <row r="8" spans="1:7" x14ac:dyDescent="0.25">
      <c r="A8" s="4"/>
      <c r="B8" s="5">
        <f>VALUE(LEFT(RIGHT($A$4,4),1))</f>
        <v>0</v>
      </c>
      <c r="C8" s="9" t="s">
        <v>38</v>
      </c>
      <c r="D8" s="44" t="s">
        <v>58</v>
      </c>
      <c r="E8" s="9" t="s">
        <v>38</v>
      </c>
      <c r="F8" s="12">
        <v>0</v>
      </c>
    </row>
    <row r="9" spans="1:7" x14ac:dyDescent="0.25">
      <c r="A9" s="4"/>
      <c r="B9" s="5">
        <f>VALUE(LEFT(RIGHT($A$4,3),1))</f>
        <v>0</v>
      </c>
      <c r="C9" s="9" t="s">
        <v>39</v>
      </c>
      <c r="D9" s="44" t="s">
        <v>59</v>
      </c>
      <c r="E9" s="9" t="s">
        <v>39</v>
      </c>
      <c r="F9" s="12">
        <v>0</v>
      </c>
    </row>
    <row r="10" spans="1:7" x14ac:dyDescent="0.25">
      <c r="A10" s="4"/>
      <c r="B10" s="5">
        <f>VALUE(LEFT(RIGHT($A$4,2),1))</f>
        <v>1</v>
      </c>
      <c r="C10" s="9" t="s">
        <v>40</v>
      </c>
      <c r="D10" s="44" t="s">
        <v>60</v>
      </c>
      <c r="E10" s="9" t="s">
        <v>40</v>
      </c>
      <c r="F10" s="12">
        <v>0</v>
      </c>
    </row>
    <row r="11" spans="1:7" ht="15.75" thickBot="1" x14ac:dyDescent="0.3">
      <c r="A11" s="6"/>
      <c r="B11" s="7">
        <f>VALUE(LEFT(RIGHT($A$4,1),1))</f>
        <v>1</v>
      </c>
      <c r="C11" s="10" t="s">
        <v>41</v>
      </c>
      <c r="D11" s="45" t="s">
        <v>61</v>
      </c>
      <c r="E11" s="10" t="s">
        <v>41</v>
      </c>
      <c r="F11" s="13">
        <v>0</v>
      </c>
    </row>
    <row r="12" spans="1:7" x14ac:dyDescent="0.25">
      <c r="A12" s="2" t="str">
        <f>HEX2BIN(LEFT(RIGHT($A$3,6),2),8)</f>
        <v>00111000</v>
      </c>
      <c r="B12" s="3">
        <f>VALUE(LEFT(RIGHT($A$12,8),1))</f>
        <v>0</v>
      </c>
      <c r="C12" s="8" t="s">
        <v>42</v>
      </c>
      <c r="D12" s="43" t="s">
        <v>54</v>
      </c>
      <c r="E12" s="8" t="s">
        <v>42</v>
      </c>
      <c r="F12" s="11">
        <v>0</v>
      </c>
      <c r="G12" t="str">
        <f>BIN2HEX(F12&amp;F13&amp;F14&amp;F15&amp;F16&amp;F17&amp;F18&amp;F19,2)</f>
        <v>48</v>
      </c>
    </row>
    <row r="13" spans="1:7" x14ac:dyDescent="0.25">
      <c r="A13" s="4"/>
      <c r="B13" s="5">
        <f>VALUE(LEFT(RIGHT($A$12,7),1))</f>
        <v>0</v>
      </c>
      <c r="C13" s="9" t="s">
        <v>43</v>
      </c>
      <c r="D13" s="44" t="s">
        <v>55</v>
      </c>
      <c r="E13" s="9" t="s">
        <v>43</v>
      </c>
      <c r="F13" s="12">
        <v>1</v>
      </c>
    </row>
    <row r="14" spans="1:7" x14ac:dyDescent="0.25">
      <c r="A14" s="4"/>
      <c r="B14" s="5">
        <f>VALUE(LEFT(RIGHT($A$12,6),1))</f>
        <v>1</v>
      </c>
      <c r="C14" s="9" t="s">
        <v>44</v>
      </c>
      <c r="D14" s="44" t="s">
        <v>56</v>
      </c>
      <c r="E14" s="9" t="s">
        <v>44</v>
      </c>
      <c r="F14" s="12">
        <v>0</v>
      </c>
    </row>
    <row r="15" spans="1:7" x14ac:dyDescent="0.25">
      <c r="A15" s="4"/>
      <c r="B15" s="5">
        <f>VALUE(LEFT(RIGHT($A$12,5),1))</f>
        <v>1</v>
      </c>
      <c r="C15" s="9" t="s">
        <v>45</v>
      </c>
      <c r="D15" s="44" t="s">
        <v>57</v>
      </c>
      <c r="E15" s="9" t="s">
        <v>45</v>
      </c>
      <c r="F15" s="12">
        <v>0</v>
      </c>
    </row>
    <row r="16" spans="1:7" x14ac:dyDescent="0.25">
      <c r="A16" s="4"/>
      <c r="B16" s="5">
        <f>VALUE(LEFT(RIGHT($A$12,4),1))</f>
        <v>1</v>
      </c>
      <c r="C16" s="9" t="s">
        <v>46</v>
      </c>
      <c r="D16" s="44" t="s">
        <v>58</v>
      </c>
      <c r="E16" s="9" t="s">
        <v>46</v>
      </c>
      <c r="F16" s="12">
        <v>1</v>
      </c>
    </row>
    <row r="17" spans="1:7" x14ac:dyDescent="0.25">
      <c r="A17" s="4"/>
      <c r="B17" s="5">
        <f>VALUE(LEFT(RIGHT($A$12,3),1))</f>
        <v>0</v>
      </c>
      <c r="C17" s="9" t="s">
        <v>47</v>
      </c>
      <c r="D17" s="44" t="s">
        <v>59</v>
      </c>
      <c r="E17" s="9" t="s">
        <v>47</v>
      </c>
      <c r="F17" s="12">
        <v>0</v>
      </c>
    </row>
    <row r="18" spans="1:7" x14ac:dyDescent="0.25">
      <c r="A18" s="4"/>
      <c r="B18" s="5">
        <f>VALUE(LEFT(RIGHT($A$12,2),1))</f>
        <v>0</v>
      </c>
      <c r="C18" s="9" t="s">
        <v>48</v>
      </c>
      <c r="D18" s="44" t="s">
        <v>60</v>
      </c>
      <c r="E18" s="9" t="s">
        <v>48</v>
      </c>
      <c r="F18" s="12">
        <v>0</v>
      </c>
    </row>
    <row r="19" spans="1:7" ht="15.75" thickBot="1" x14ac:dyDescent="0.3">
      <c r="A19" s="6"/>
      <c r="B19" s="7">
        <f>VALUE(LEFT(RIGHT($A$12,1),1))</f>
        <v>0</v>
      </c>
      <c r="C19" s="10" t="s">
        <v>49</v>
      </c>
      <c r="D19" s="45" t="s">
        <v>61</v>
      </c>
      <c r="E19" s="10" t="s">
        <v>49</v>
      </c>
      <c r="F19" s="13">
        <v>0</v>
      </c>
    </row>
    <row r="20" spans="1:7" x14ac:dyDescent="0.25">
      <c r="A20" s="2" t="str">
        <f>HEX2BIN(LEFT(RIGHT($A$3,4),2),8)</f>
        <v>00100000</v>
      </c>
      <c r="B20" s="3">
        <f>VALUE(LEFT(RIGHT($A$20,8),1))</f>
        <v>0</v>
      </c>
      <c r="C20" s="8" t="s">
        <v>50</v>
      </c>
      <c r="D20" s="43" t="s">
        <v>54</v>
      </c>
      <c r="E20" s="8" t="s">
        <v>50</v>
      </c>
      <c r="F20" s="11">
        <v>0</v>
      </c>
      <c r="G20" t="str">
        <f>BIN2HEX(F20&amp;F21&amp;F22&amp;F23&amp;F24&amp;F25&amp;F26&amp;F27,2)</f>
        <v>20</v>
      </c>
    </row>
    <row r="21" spans="1:7" x14ac:dyDescent="0.25">
      <c r="A21" s="4"/>
      <c r="B21" s="5">
        <f>VALUE(LEFT(RIGHT($A$20,7),1))</f>
        <v>0</v>
      </c>
      <c r="C21" s="9" t="s">
        <v>51</v>
      </c>
      <c r="D21" s="44" t="s">
        <v>55</v>
      </c>
      <c r="E21" s="9" t="s">
        <v>51</v>
      </c>
      <c r="F21" s="12">
        <v>0</v>
      </c>
    </row>
    <row r="22" spans="1:7" x14ac:dyDescent="0.25">
      <c r="A22" s="4"/>
      <c r="B22" s="5">
        <f>VALUE(LEFT(RIGHT($A$20,6),1))</f>
        <v>1</v>
      </c>
      <c r="C22" s="9" t="s">
        <v>52</v>
      </c>
      <c r="D22" s="44" t="s">
        <v>56</v>
      </c>
      <c r="E22" s="9" t="s">
        <v>52</v>
      </c>
      <c r="F22" s="12">
        <v>1</v>
      </c>
    </row>
    <row r="23" spans="1:7" x14ac:dyDescent="0.25">
      <c r="A23" s="4"/>
      <c r="B23" s="5">
        <f>VALUE(LEFT(RIGHT($A$20,5),1))</f>
        <v>0</v>
      </c>
      <c r="C23" s="9" t="s">
        <v>53</v>
      </c>
      <c r="D23" s="44" t="s">
        <v>57</v>
      </c>
      <c r="E23" s="9" t="s">
        <v>53</v>
      </c>
      <c r="F23" s="12">
        <v>0</v>
      </c>
    </row>
    <row r="24" spans="1:7" x14ac:dyDescent="0.25">
      <c r="A24" s="4"/>
      <c r="B24" s="5">
        <f>VALUE(LEFT(RIGHT($A$20,4),1))</f>
        <v>0</v>
      </c>
      <c r="C24" s="9" t="s">
        <v>8</v>
      </c>
      <c r="D24" s="44" t="s">
        <v>58</v>
      </c>
      <c r="E24" s="9" t="s">
        <v>8</v>
      </c>
      <c r="F24" s="12">
        <v>0</v>
      </c>
    </row>
    <row r="25" spans="1:7" x14ac:dyDescent="0.25">
      <c r="A25" s="4"/>
      <c r="B25" s="5">
        <f>VALUE(LEFT(RIGHT($A$20,3),1))</f>
        <v>0</v>
      </c>
      <c r="C25" s="9" t="s">
        <v>8</v>
      </c>
      <c r="D25" s="44" t="s">
        <v>59</v>
      </c>
      <c r="E25" s="9" t="s">
        <v>8</v>
      </c>
      <c r="F25" s="12">
        <v>0</v>
      </c>
    </row>
    <row r="26" spans="1:7" x14ac:dyDescent="0.25">
      <c r="A26" s="4"/>
      <c r="B26" s="5">
        <f>VALUE(LEFT(RIGHT($A$20,2),1))</f>
        <v>0</v>
      </c>
      <c r="C26" s="9" t="s">
        <v>8</v>
      </c>
      <c r="D26" s="44" t="s">
        <v>60</v>
      </c>
      <c r="E26" s="9" t="s">
        <v>8</v>
      </c>
      <c r="F26" s="12">
        <v>0</v>
      </c>
    </row>
    <row r="27" spans="1:7" ht="15.75" thickBot="1" x14ac:dyDescent="0.3">
      <c r="A27" s="6"/>
      <c r="B27" s="7">
        <f>VALUE(LEFT(RIGHT($A$20,1),1))</f>
        <v>0</v>
      </c>
      <c r="C27" s="10" t="s">
        <v>8</v>
      </c>
      <c r="D27" s="45" t="s">
        <v>61</v>
      </c>
      <c r="E27" s="10" t="s">
        <v>8</v>
      </c>
      <c r="F27" s="13">
        <v>0</v>
      </c>
    </row>
    <row r="28" spans="1:7" x14ac:dyDescent="0.25">
      <c r="A28" s="2" t="str">
        <f>HEX2BIN(LEFT(RIGHT($A$3,2),2),8)</f>
        <v>00001011</v>
      </c>
      <c r="B28" s="3">
        <f>VALUE(LEFT(RIGHT($A$28,8),1))</f>
        <v>0</v>
      </c>
      <c r="C28" s="8" t="s">
        <v>8</v>
      </c>
      <c r="D28" s="43" t="s">
        <v>54</v>
      </c>
      <c r="E28" s="9" t="s">
        <v>8</v>
      </c>
      <c r="F28" s="11">
        <v>0</v>
      </c>
      <c r="G28" t="str">
        <f>BIN2HEX(F28&amp;F29&amp;F30&amp;F31&amp;F32&amp;F33&amp;F34&amp;F35,2)</f>
        <v>00</v>
      </c>
    </row>
    <row r="29" spans="1:7" x14ac:dyDescent="0.25">
      <c r="A29" s="4"/>
      <c r="B29" s="5">
        <f>VALUE(LEFT(RIGHT($A$28,7),1))</f>
        <v>0</v>
      </c>
      <c r="C29" s="9" t="s">
        <v>8</v>
      </c>
      <c r="D29" s="44" t="s">
        <v>55</v>
      </c>
      <c r="E29" s="9" t="s">
        <v>8</v>
      </c>
      <c r="F29" s="12">
        <v>0</v>
      </c>
    </row>
    <row r="30" spans="1:7" x14ac:dyDescent="0.25">
      <c r="A30" s="4"/>
      <c r="B30" s="5">
        <f>VALUE(LEFT(RIGHT($A$28,6),1))</f>
        <v>0</v>
      </c>
      <c r="C30" s="9" t="s">
        <v>8</v>
      </c>
      <c r="D30" s="44" t="s">
        <v>56</v>
      </c>
      <c r="E30" s="9" t="s">
        <v>8</v>
      </c>
      <c r="F30" s="12">
        <v>0</v>
      </c>
    </row>
    <row r="31" spans="1:7" x14ac:dyDescent="0.25">
      <c r="A31" s="4"/>
      <c r="B31" s="5">
        <f>VALUE(LEFT(RIGHT($A$28,5),1))</f>
        <v>0</v>
      </c>
      <c r="C31" s="9" t="s">
        <v>8</v>
      </c>
      <c r="D31" s="44" t="s">
        <v>57</v>
      </c>
      <c r="E31" s="9" t="s">
        <v>8</v>
      </c>
      <c r="F31" s="12">
        <v>0</v>
      </c>
    </row>
    <row r="32" spans="1:7" x14ac:dyDescent="0.25">
      <c r="A32" s="4"/>
      <c r="B32" s="5">
        <f>VALUE(LEFT(RIGHT($A$28,4),1))</f>
        <v>1</v>
      </c>
      <c r="C32" s="9" t="s">
        <v>8</v>
      </c>
      <c r="D32" s="44" t="s">
        <v>58</v>
      </c>
      <c r="E32" s="9" t="s">
        <v>8</v>
      </c>
      <c r="F32" s="12">
        <v>0</v>
      </c>
    </row>
    <row r="33" spans="1:7" x14ac:dyDescent="0.25">
      <c r="A33" s="4"/>
      <c r="B33" s="5">
        <f>VALUE(LEFT(RIGHT($A$28,3),1))</f>
        <v>0</v>
      </c>
      <c r="C33" s="9" t="s">
        <v>8</v>
      </c>
      <c r="D33" s="44" t="s">
        <v>59</v>
      </c>
      <c r="E33" s="9" t="s">
        <v>8</v>
      </c>
      <c r="F33" s="12">
        <v>0</v>
      </c>
    </row>
    <row r="34" spans="1:7" x14ac:dyDescent="0.25">
      <c r="A34" s="4"/>
      <c r="B34" s="5">
        <f>VALUE(LEFT(RIGHT($A$28,2),1))</f>
        <v>1</v>
      </c>
      <c r="C34" s="9" t="s">
        <v>8</v>
      </c>
      <c r="D34" s="44" t="s">
        <v>60</v>
      </c>
      <c r="E34" s="9" t="s">
        <v>8</v>
      </c>
      <c r="F34" s="12">
        <v>0</v>
      </c>
    </row>
    <row r="35" spans="1:7" ht="15.75" thickBot="1" x14ac:dyDescent="0.3">
      <c r="A35" s="6"/>
      <c r="B35" s="7">
        <f>VALUE(LEFT(RIGHT($A$28,1),1))</f>
        <v>1</v>
      </c>
      <c r="C35" s="10" t="s">
        <v>8</v>
      </c>
      <c r="D35" s="45" t="s">
        <v>61</v>
      </c>
      <c r="E35" s="10" t="s">
        <v>8</v>
      </c>
      <c r="F35" s="13">
        <v>0</v>
      </c>
    </row>
    <row r="38" spans="1:7" ht="15.75" thickBot="1" x14ac:dyDescent="0.3">
      <c r="A38" s="51" t="s">
        <v>81</v>
      </c>
      <c r="B38" s="51"/>
      <c r="C38" s="51"/>
      <c r="D38" s="52"/>
      <c r="E38" s="51"/>
      <c r="F38" s="51"/>
      <c r="G38" s="51"/>
    </row>
    <row r="39" spans="1:7" ht="15.75" thickBot="1" x14ac:dyDescent="0.3">
      <c r="A39" s="41" t="s">
        <v>463</v>
      </c>
      <c r="C39" t="str">
        <f>IF(LEN(A39)=8,"Format correct","Pb de format")</f>
        <v>Format correct</v>
      </c>
    </row>
    <row r="40" spans="1:7" ht="15.75" thickBot="1" x14ac:dyDescent="0.3">
      <c r="A40" t="str">
        <f>LEFT(RIGHT($A$39,8),2)</f>
        <v>03</v>
      </c>
    </row>
    <row r="41" spans="1:7" x14ac:dyDescent="0.25">
      <c r="A41" s="2" t="str">
        <f>HEX2BIN(LEFT(RIGHT($A$39,6),2),8)</f>
        <v>00100001</v>
      </c>
      <c r="B41" s="3" t="str">
        <f>LEFT(RIGHT($A$41,8),2)</f>
        <v>00</v>
      </c>
      <c r="C41" s="8" t="str">
        <f>IF(B41="00", "AAC returned in 2nd GAC",IF(B41="01","TC returned in 2nd GAC",IF(B41="10","2nd GAC not resquested",IF(B41="11","RFU","ERROR"))))</f>
        <v>AAC returned in 2nd GAC</v>
      </c>
      <c r="D41" s="43" t="s">
        <v>140</v>
      </c>
      <c r="E41" s="47"/>
    </row>
    <row r="42" spans="1:7" x14ac:dyDescent="0.25">
      <c r="A42" s="4"/>
      <c r="B42" s="5" t="str">
        <f>LEFT(RIGHT($A$41,6),2)</f>
        <v>10</v>
      </c>
      <c r="C42" s="9" t="str">
        <f>IF(B42="00", "AAC returned in 1st GAC",IF(B42="01","TC returned in 1st GAC",IF(B42="10","ARQC returned in 1st GAC",IF(B42="11","RFU","ERROR"))))</f>
        <v>ARQC returned in 1st GAC</v>
      </c>
      <c r="D42" s="44" t="s">
        <v>141</v>
      </c>
      <c r="E42" s="47"/>
    </row>
    <row r="43" spans="1:7" x14ac:dyDescent="0.25">
      <c r="A43" s="4"/>
      <c r="B43" s="5">
        <f>VALUE(LEFT(RIGHT($A$41,4),1))</f>
        <v>0</v>
      </c>
      <c r="C43" s="9" t="str">
        <f>IF(B43=1,"Issuer Authentication failed","no error")</f>
        <v>no error</v>
      </c>
      <c r="D43" s="44" t="s">
        <v>58</v>
      </c>
      <c r="E43" s="47"/>
    </row>
    <row r="44" spans="1:7" x14ac:dyDescent="0.25">
      <c r="A44" s="4"/>
      <c r="B44" s="5">
        <f>VALUE(LEFT(RIGHT($A$41,3),1))</f>
        <v>0</v>
      </c>
      <c r="C44" s="9" t="str">
        <f>IF(B44=1, "Offline PIN verification performed","Offline pin was NOT performed")</f>
        <v>Offline pin was NOT performed</v>
      </c>
      <c r="D44" s="44" t="s">
        <v>59</v>
      </c>
      <c r="E44" s="47"/>
    </row>
    <row r="45" spans="1:7" x14ac:dyDescent="0.25">
      <c r="A45" s="4"/>
      <c r="B45" s="5">
        <f>VALUE(LEFT(RIGHT($A$41,2),1))</f>
        <v>0</v>
      </c>
      <c r="C45" s="9" t="str">
        <f>IF(B45=1,"Offline PIN failed","Offline PIN SUCCESS")</f>
        <v>Offline PIN SUCCESS</v>
      </c>
      <c r="D45" s="44" t="s">
        <v>60</v>
      </c>
      <c r="E45" s="47"/>
    </row>
    <row r="46" spans="1:7" ht="15.75" thickBot="1" x14ac:dyDescent="0.3">
      <c r="A46" s="6"/>
      <c r="B46" s="7">
        <f>VALUE(LEFT(RIGHT($A$41,1),1))</f>
        <v>1</v>
      </c>
      <c r="C46" s="10" t="str">
        <f>IF(B46=1,"unable to go online","no error")</f>
        <v>unable to go online</v>
      </c>
      <c r="D46" s="45" t="s">
        <v>61</v>
      </c>
      <c r="E46" s="47"/>
    </row>
    <row r="47" spans="1:7" x14ac:dyDescent="0.25">
      <c r="A47" s="2" t="str">
        <f>HEX2BIN(LEFT(RIGHT($A$39,4),2),8)</f>
        <v>00100000</v>
      </c>
      <c r="B47" s="3">
        <f>VALUE(LEFT(RIGHT($A$47,8),1))</f>
        <v>0</v>
      </c>
      <c r="C47" s="8" t="str">
        <f>IF(B47=1,"Last online transaction not completed","no error")</f>
        <v>no error</v>
      </c>
      <c r="D47" s="43" t="s">
        <v>54</v>
      </c>
      <c r="E47" s="47"/>
    </row>
    <row r="48" spans="1:7" x14ac:dyDescent="0.25">
      <c r="A48" s="4"/>
      <c r="B48" s="5">
        <f>VALUE(LEFT(RIGHT($A$47,7),1))</f>
        <v>0</v>
      </c>
      <c r="C48" s="9" t="str">
        <f>IF(B48=1,"PIN try exceeded","no error")</f>
        <v>no error</v>
      </c>
      <c r="D48" s="44" t="s">
        <v>55</v>
      </c>
    </row>
    <row r="49" spans="1:4" x14ac:dyDescent="0.25">
      <c r="A49" s="4"/>
      <c r="B49" s="5">
        <f>VALUE(LEFT(RIGHT($A$47,6),1))</f>
        <v>1</v>
      </c>
      <c r="C49" s="9" t="str">
        <f>IF(B49=1,"Exceeded velocity checking counters","no error")</f>
        <v>Exceeded velocity checking counters</v>
      </c>
      <c r="D49" s="44" t="s">
        <v>56</v>
      </c>
    </row>
    <row r="50" spans="1:4" x14ac:dyDescent="0.25">
      <c r="A50" s="4"/>
      <c r="B50" s="5">
        <f>VALUE(LEFT(RIGHT($A$47,5),1))</f>
        <v>0</v>
      </c>
      <c r="C50" s="9" t="str">
        <f>IF(B50=1,"NewCard","no error")</f>
        <v>no error</v>
      </c>
      <c r="D50" s="44" t="s">
        <v>57</v>
      </c>
    </row>
    <row r="51" spans="1:4" x14ac:dyDescent="0.25">
      <c r="A51" s="4"/>
      <c r="B51" s="5">
        <f>VALUE(LEFT(RIGHT($A$47,4),1))</f>
        <v>0</v>
      </c>
      <c r="C51" s="9" t="str">
        <f>IF(B51=1,"Issuer Authentication failed last transaction","no error")</f>
        <v>no error</v>
      </c>
      <c r="D51" s="44" t="s">
        <v>58</v>
      </c>
    </row>
    <row r="52" spans="1:4" x14ac:dyDescent="0.25">
      <c r="A52" s="4"/>
      <c r="B52" s="5">
        <f>VALUE(LEFT(RIGHT($A$47,3),1))</f>
        <v>0</v>
      </c>
      <c r="C52" s="9" t="str">
        <f>IF(B52=1,"Issuer Auth. Not performed","no error")</f>
        <v>no error</v>
      </c>
      <c r="D52" s="44" t="s">
        <v>59</v>
      </c>
    </row>
    <row r="53" spans="1:4" x14ac:dyDescent="0.25">
      <c r="A53" s="4"/>
      <c r="B53" s="5">
        <f>VALUE(LEFT(RIGHT($A$47,2),1))</f>
        <v>0</v>
      </c>
      <c r="C53" s="9" t="str">
        <f>IF(B53=1,"Application blocked by card","no error")</f>
        <v>no error</v>
      </c>
      <c r="D53" s="44" t="s">
        <v>60</v>
      </c>
    </row>
    <row r="54" spans="1:4" ht="15.75" thickBot="1" x14ac:dyDescent="0.3">
      <c r="A54" s="6"/>
      <c r="B54" s="7">
        <f>VALUE(LEFT(RIGHT($A$47,1),1))</f>
        <v>0</v>
      </c>
      <c r="C54" s="10" t="str">
        <f>IF(B54=1,"SDA failed on last trans","no error")</f>
        <v>no error</v>
      </c>
      <c r="D54" s="45" t="s">
        <v>61</v>
      </c>
    </row>
    <row r="55" spans="1:4" s="33" customFormat="1" ht="30" x14ac:dyDescent="0.25">
      <c r="A55" s="46" t="str">
        <f>HEX2BIN(LEFT(RIGHT($A$39,2),2),8)</f>
        <v>00000010</v>
      </c>
      <c r="B55" s="48">
        <f>BIN2DEC(LEFT(RIGHT($A$55,8),4))</f>
        <v>0</v>
      </c>
      <c r="C55" s="49" t="s">
        <v>142</v>
      </c>
      <c r="D55" s="50" t="s">
        <v>54</v>
      </c>
    </row>
    <row r="56" spans="1:4" x14ac:dyDescent="0.25">
      <c r="A56" s="4"/>
      <c r="B56" s="5">
        <f>VALUE(LEFT(RIGHT($A$55,4),1))</f>
        <v>0</v>
      </c>
      <c r="C56" s="9" t="str">
        <f>IF(B56=1,"Issuer Script processing failed on last transaction","no error")</f>
        <v>no error</v>
      </c>
      <c r="D56" s="44" t="s">
        <v>58</v>
      </c>
    </row>
    <row r="57" spans="1:4" x14ac:dyDescent="0.25">
      <c r="A57" s="4"/>
      <c r="B57" s="5">
        <f>VALUE(LEFT(RIGHT($A$55,3),1))</f>
        <v>0</v>
      </c>
      <c r="C57" s="9" t="str">
        <f>IF(B57=1,"Offline dynamic data authentication failed on last transaction and transaction declined offline","no error")</f>
        <v>no error</v>
      </c>
      <c r="D57" s="44" t="s">
        <v>59</v>
      </c>
    </row>
    <row r="58" spans="1:4" x14ac:dyDescent="0.25">
      <c r="A58" s="4"/>
      <c r="B58" s="5">
        <f>VALUE(LEFT(RIGHT($A$55,2),1))</f>
        <v>1</v>
      </c>
      <c r="C58" s="9" t="str">
        <f>IF(B58=1,"Offline dynamic data authentication performed","no error")</f>
        <v>Offline dynamic data authentication performed</v>
      </c>
      <c r="D58" s="44" t="s">
        <v>60</v>
      </c>
    </row>
    <row r="59" spans="1:4" ht="15.75" thickBot="1" x14ac:dyDescent="0.3">
      <c r="A59" s="6"/>
      <c r="B59" s="7">
        <f>VALUE(LEFT(RIGHT($A$55,1),1))</f>
        <v>0</v>
      </c>
      <c r="C59" s="10" t="str">
        <f>IF(B59=1,"Erreur de format","no error")</f>
        <v>no error</v>
      </c>
      <c r="D59" s="45" t="s">
        <v>61</v>
      </c>
    </row>
  </sheetData>
  <mergeCells count="2">
    <mergeCell ref="A2:C2"/>
    <mergeCell ref="E2:G2"/>
  </mergeCells>
  <conditionalFormatting sqref="B4:B35">
    <cfRule type="iconSet" priority="4">
      <iconSet iconSet="3Symbols2" showValue="0">
        <cfvo type="percent" val="0"/>
        <cfvo type="percent" val="33"/>
        <cfvo type="percent" val="67"/>
      </iconSet>
    </cfRule>
  </conditionalFormatting>
  <conditionalFormatting sqref="B43:B54">
    <cfRule type="iconSet" priority="2">
      <iconSet iconSet="3Symbols2" showValue="0" reverse="1">
        <cfvo type="percent" val="0"/>
        <cfvo type="percent" val="33"/>
        <cfvo type="percent" val="67"/>
      </iconSet>
    </cfRule>
  </conditionalFormatting>
  <conditionalFormatting sqref="B56:B59">
    <cfRule type="iconSet" priority="1">
      <iconSet iconSet="3Symbols2" showValue="0" reverse="1">
        <cfvo type="percent" val="0"/>
        <cfvo type="percent" val="33"/>
        <cfvo type="percent" val="67"/>
      </iconSet>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K112"/>
  <sheetViews>
    <sheetView topLeftCell="A70" workbookViewId="0">
      <selection activeCell="D82" sqref="D82"/>
    </sheetView>
  </sheetViews>
  <sheetFormatPr baseColWidth="10" defaultRowHeight="15" x14ac:dyDescent="0.25"/>
  <cols>
    <col min="1" max="1" width="7.140625" customWidth="1"/>
    <col min="2" max="2" width="17.140625" bestFit="1" customWidth="1"/>
    <col min="3" max="3" width="5.140625" customWidth="1"/>
    <col min="4" max="4" width="74.28515625" style="25" customWidth="1"/>
    <col min="5" max="5" width="3.140625" bestFit="1" customWidth="1"/>
    <col min="6" max="6" width="9" customWidth="1"/>
    <col min="7" max="7" width="7.140625" bestFit="1" customWidth="1"/>
    <col min="8" max="8" width="6" customWidth="1"/>
    <col min="9" max="9" width="7.140625" bestFit="1" customWidth="1"/>
    <col min="10" max="10" width="6" customWidth="1"/>
    <col min="11" max="11" width="7.140625" bestFit="1" customWidth="1"/>
    <col min="12" max="12" width="6" customWidth="1"/>
  </cols>
  <sheetData>
    <row r="1" spans="1:7" x14ac:dyDescent="0.25">
      <c r="A1" s="29" t="s">
        <v>63</v>
      </c>
      <c r="B1" s="29"/>
      <c r="C1" s="29"/>
      <c r="D1" s="30"/>
      <c r="E1" s="30"/>
      <c r="F1" s="30"/>
      <c r="G1" s="30"/>
    </row>
    <row r="2" spans="1:7" ht="15.75" thickBot="1" x14ac:dyDescent="0.3">
      <c r="A2" s="16"/>
      <c r="B2" s="111"/>
      <c r="C2" s="111"/>
      <c r="D2" s="111"/>
      <c r="E2" s="16"/>
      <c r="F2" s="113"/>
      <c r="G2" s="113"/>
    </row>
    <row r="3" spans="1:7" ht="15.75" thickBot="1" x14ac:dyDescent="0.3">
      <c r="A3" s="17"/>
      <c r="B3" s="1" t="s">
        <v>448</v>
      </c>
      <c r="D3" s="25" t="str">
        <f>IF(LEN(B3)/2 = 2,"Format OK","Revoir la saisie")</f>
        <v>Format OK</v>
      </c>
      <c r="E3" s="17"/>
      <c r="G3" s="15" t="str">
        <f>G4&amp;G12</f>
        <v>8C00</v>
      </c>
    </row>
    <row r="4" spans="1:7" x14ac:dyDescent="0.25">
      <c r="A4" s="18" t="s">
        <v>54</v>
      </c>
      <c r="B4" s="2" t="str">
        <f>HEX2BIN(LEFT(RIGHT($B$3,4),2),8)</f>
        <v>00001110</v>
      </c>
      <c r="C4" s="40">
        <f>VALUE(LEFT(RIGHT($B$4,8),1))</f>
        <v>0</v>
      </c>
      <c r="D4" s="26" t="str">
        <f>IF(C4="0","Magnetic Stripe grade issuer not activated","Magnetic Stripe grade issuer activated")</f>
        <v>Magnetic Stripe grade issuer activated</v>
      </c>
      <c r="E4" s="18" t="s">
        <v>54</v>
      </c>
      <c r="F4" s="11">
        <v>1</v>
      </c>
      <c r="G4" t="str">
        <f>BIN2HEX(F4&amp;F5&amp;F6&amp;F7&amp;F8&amp;F9&amp;F10&amp;F11,2)</f>
        <v>8C</v>
      </c>
    </row>
    <row r="5" spans="1:7" x14ac:dyDescent="0.25">
      <c r="A5" s="19" t="s">
        <v>55</v>
      </c>
      <c r="B5" s="4"/>
      <c r="C5" s="38">
        <f>VALUE(LEFT(RIGHT($B$4,7),1))</f>
        <v>0</v>
      </c>
      <c r="D5" s="27" t="str">
        <f>IF(C5="0","Do not skip CIAC-default on CAT3","Skip CIAC-default on CAT3")</f>
        <v>Skip CIAC-default on CAT3</v>
      </c>
      <c r="E5" s="19" t="s">
        <v>55</v>
      </c>
      <c r="F5" s="12">
        <v>0</v>
      </c>
    </row>
    <row r="6" spans="1:7" x14ac:dyDescent="0.25">
      <c r="A6" s="19" t="s">
        <v>56</v>
      </c>
      <c r="B6" s="4"/>
      <c r="C6" s="38">
        <f>VALUE(LEFT(RIGHT($B$4,6),1))</f>
        <v>0</v>
      </c>
      <c r="D6" s="27" t="s">
        <v>62</v>
      </c>
      <c r="E6" s="19" t="s">
        <v>56</v>
      </c>
      <c r="F6" s="12">
        <v>0</v>
      </c>
    </row>
    <row r="7" spans="1:7" x14ac:dyDescent="0.25">
      <c r="A7" s="19" t="s">
        <v>57</v>
      </c>
      <c r="B7" s="4"/>
      <c r="C7" s="38">
        <f>VALUE(LEFT(RIGHT($B$4,5),1))</f>
        <v>0</v>
      </c>
      <c r="D7" s="27" t="str">
        <f>IF(C7="0","DDA key","Dedicated key")</f>
        <v>Dedicated key</v>
      </c>
      <c r="E7" s="19" t="s">
        <v>57</v>
      </c>
      <c r="F7" s="12">
        <v>0</v>
      </c>
    </row>
    <row r="8" spans="1:7" x14ac:dyDescent="0.25">
      <c r="A8" s="19" t="s">
        <v>58</v>
      </c>
      <c r="B8" s="4"/>
      <c r="C8" s="38">
        <f>VALUE(LEFT(RIGHT($B$4,4),1))</f>
        <v>1</v>
      </c>
      <c r="D8" s="27" t="str">
        <f>IF(VALUE(C8)=0,"Offline encrypted PIN verification not supported","Offline encrypted PIN verification supported")</f>
        <v>Offline encrypted PIN verification supported</v>
      </c>
      <c r="E8" s="19" t="s">
        <v>58</v>
      </c>
      <c r="F8" s="12">
        <v>1</v>
      </c>
    </row>
    <row r="9" spans="1:7" x14ac:dyDescent="0.25">
      <c r="A9" s="19" t="s">
        <v>59</v>
      </c>
      <c r="B9" s="4"/>
      <c r="C9" s="38">
        <f>VALUE(LEFT(RIGHT($B$4,3),1))</f>
        <v>1</v>
      </c>
      <c r="D9" s="27" t="str">
        <f>IF(C9=0,"Offline plaintext PIN verification not supported","Offline plaintext PIN verification supported")</f>
        <v>Offline plaintext PIN verification supported</v>
      </c>
      <c r="E9" s="19" t="s">
        <v>59</v>
      </c>
      <c r="F9" s="12">
        <v>1</v>
      </c>
    </row>
    <row r="10" spans="1:7" x14ac:dyDescent="0.25">
      <c r="A10" s="19" t="s">
        <v>60</v>
      </c>
      <c r="B10" s="4"/>
      <c r="C10" s="38">
        <f>VALUE(LEFT(RIGHT($B$4,2),1))</f>
        <v>1</v>
      </c>
      <c r="D10" s="27" t="str">
        <f>IF(C10=0,"MasterCard proprietary SKD","EMV CSK")</f>
        <v>EMV CSK</v>
      </c>
      <c r="E10" s="19" t="s">
        <v>60</v>
      </c>
      <c r="F10" s="12">
        <v>0</v>
      </c>
    </row>
    <row r="11" spans="1:7" ht="15.75" thickBot="1" x14ac:dyDescent="0.3">
      <c r="A11" s="20" t="s">
        <v>61</v>
      </c>
      <c r="B11" s="6"/>
      <c r="C11" s="38">
        <f>VALUE(LEFT(RIGHT($B$4,1),1))</f>
        <v>0</v>
      </c>
      <c r="D11" s="28" t="str">
        <f>IF(C11=0,"do not encrypt offline counters","encrypt offline counters")</f>
        <v>do not encrypt offline counters</v>
      </c>
      <c r="E11" s="20" t="s">
        <v>61</v>
      </c>
      <c r="F11" s="13">
        <v>0</v>
      </c>
    </row>
    <row r="12" spans="1:7" x14ac:dyDescent="0.25">
      <c r="A12" s="18" t="s">
        <v>54</v>
      </c>
      <c r="B12" s="2" t="str">
        <f>HEX2BIN(LEFT(RIGHT($B$3,2),2),8)</f>
        <v>00000000</v>
      </c>
      <c r="C12" s="40">
        <f>VALUE(LEFT(RIGHT($B$12,8),1))</f>
        <v>0</v>
      </c>
      <c r="D12" s="26" t="s">
        <v>62</v>
      </c>
      <c r="E12" s="18" t="s">
        <v>54</v>
      </c>
      <c r="F12" s="11">
        <v>0</v>
      </c>
      <c r="G12" t="str">
        <f>BIN2HEX(F12&amp;F13&amp;F14&amp;F15&amp;F16&amp;F17&amp;F18&amp;F19,2)</f>
        <v>00</v>
      </c>
    </row>
    <row r="13" spans="1:7" x14ac:dyDescent="0.25">
      <c r="A13" s="19" t="s">
        <v>55</v>
      </c>
      <c r="B13" s="4"/>
      <c r="C13" s="38">
        <f>VALUE(LEFT(RIGHT($B$12,7),1))</f>
        <v>0</v>
      </c>
      <c r="D13" s="27" t="s">
        <v>62</v>
      </c>
      <c r="E13" s="19" t="s">
        <v>55</v>
      </c>
      <c r="F13" s="12">
        <v>0</v>
      </c>
    </row>
    <row r="14" spans="1:7" x14ac:dyDescent="0.25">
      <c r="A14" s="19" t="s">
        <v>56</v>
      </c>
      <c r="B14" s="4"/>
      <c r="C14" s="38">
        <f>VALUE(LEFT(RIGHT($B$12,6),1))</f>
        <v>0</v>
      </c>
      <c r="D14" s="27" t="s">
        <v>62</v>
      </c>
      <c r="E14" s="19" t="s">
        <v>56</v>
      </c>
      <c r="F14" s="12">
        <v>0</v>
      </c>
    </row>
    <row r="15" spans="1:7" x14ac:dyDescent="0.25">
      <c r="A15" s="19" t="s">
        <v>57</v>
      </c>
      <c r="B15" s="4"/>
      <c r="C15" s="38">
        <f>VALUE(LEFT(RIGHT($B$12,5),1))</f>
        <v>0</v>
      </c>
      <c r="D15" s="27" t="s">
        <v>62</v>
      </c>
      <c r="E15" s="19" t="s">
        <v>57</v>
      </c>
      <c r="F15" s="12">
        <v>0</v>
      </c>
    </row>
    <row r="16" spans="1:7" x14ac:dyDescent="0.25">
      <c r="A16" s="19" t="s">
        <v>58</v>
      </c>
      <c r="B16" s="4"/>
      <c r="C16" s="38">
        <f>VALUE(LEFT(RIGHT($B$12,4),1))</f>
        <v>0</v>
      </c>
      <c r="D16" s="27" t="s">
        <v>62</v>
      </c>
      <c r="E16" s="19" t="s">
        <v>58</v>
      </c>
      <c r="F16" s="12">
        <v>0</v>
      </c>
    </row>
    <row r="17" spans="1:8" x14ac:dyDescent="0.25">
      <c r="A17" s="19" t="s">
        <v>59</v>
      </c>
      <c r="B17" s="4"/>
      <c r="C17" s="38">
        <f>VALUE(LEFT(RIGHT($B$12,3),1))</f>
        <v>0</v>
      </c>
      <c r="D17" s="27" t="str">
        <f>IF(C17=0,"Do not activate additional check table","Activate additional check table")</f>
        <v>Do not activate additional check table</v>
      </c>
      <c r="E17" s="19" t="s">
        <v>59</v>
      </c>
      <c r="F17" s="12">
        <v>0</v>
      </c>
    </row>
    <row r="18" spans="1:8" x14ac:dyDescent="0.25">
      <c r="A18" s="19" t="s">
        <v>60</v>
      </c>
      <c r="B18" s="4"/>
      <c r="C18" s="38">
        <f>VALUE(LEFT(RIGHT($B$12,2),1))</f>
        <v>0</v>
      </c>
      <c r="D18" s="27" t="str">
        <f>IF(C18=0,"Do not allow retrieval of balance","Allow retrieval of balance")</f>
        <v>Do not allow retrieval of balance</v>
      </c>
      <c r="E18" s="19" t="s">
        <v>60</v>
      </c>
      <c r="F18" s="12">
        <v>0</v>
      </c>
    </row>
    <row r="19" spans="1:8" ht="15.75" thickBot="1" x14ac:dyDescent="0.3">
      <c r="A19" s="20" t="s">
        <v>61</v>
      </c>
      <c r="B19" s="6"/>
      <c r="C19" s="39">
        <f>VALUE(LEFT(RIGHT($B$12,1),1))</f>
        <v>0</v>
      </c>
      <c r="D19" s="28" t="str">
        <f>IF(C19=0,"Do not include counters in AC","Include counters in AC")</f>
        <v>Do not include counters in AC</v>
      </c>
      <c r="E19" s="20" t="s">
        <v>61</v>
      </c>
      <c r="F19" s="13">
        <v>0</v>
      </c>
    </row>
    <row r="21" spans="1:8" ht="15.75" thickBot="1" x14ac:dyDescent="0.3">
      <c r="A21" s="29" t="s">
        <v>64</v>
      </c>
      <c r="B21" s="29"/>
      <c r="C21" s="29"/>
      <c r="D21" s="30"/>
      <c r="E21" s="30"/>
      <c r="F21" s="30"/>
      <c r="G21" s="30"/>
    </row>
    <row r="22" spans="1:8" ht="15.75" thickBot="1" x14ac:dyDescent="0.3">
      <c r="A22" s="17"/>
      <c r="B22" s="1" t="s">
        <v>67</v>
      </c>
      <c r="C22" t="s">
        <v>0</v>
      </c>
      <c r="E22" s="17"/>
      <c r="G22" s="15" t="str">
        <f>G23&amp;G31</f>
        <v>8C03</v>
      </c>
      <c r="H22" t="s">
        <v>134</v>
      </c>
    </row>
    <row r="23" spans="1:8" x14ac:dyDescent="0.25">
      <c r="A23" s="18" t="s">
        <v>54</v>
      </c>
      <c r="B23" s="2" t="str">
        <f>HEX2BIN(LEFT(RIGHT($B$22,4),2),8)</f>
        <v>00001100</v>
      </c>
      <c r="C23" s="40">
        <f>VALUE(LEFT(RIGHT($B$23,8),1))</f>
        <v>0</v>
      </c>
      <c r="D23" s="26" t="s">
        <v>62</v>
      </c>
      <c r="E23" s="18" t="s">
        <v>54</v>
      </c>
      <c r="F23" s="11">
        <v>1</v>
      </c>
      <c r="G23" t="str">
        <f>BIN2HEX(F23&amp;F24&amp;F25&amp;F26&amp;F27&amp;F28&amp;F29&amp;F30,2)</f>
        <v>8C</v>
      </c>
    </row>
    <row r="24" spans="1:8" x14ac:dyDescent="0.25">
      <c r="A24" s="19" t="s">
        <v>55</v>
      </c>
      <c r="B24" s="4"/>
      <c r="C24" s="38">
        <f>VALUE(LEFT(RIGHT($B$23,7),1))</f>
        <v>0</v>
      </c>
      <c r="D24" s="27" t="s">
        <v>62</v>
      </c>
      <c r="E24" s="19" t="s">
        <v>55</v>
      </c>
      <c r="F24" s="12">
        <v>0</v>
      </c>
    </row>
    <row r="25" spans="1:8" x14ac:dyDescent="0.25">
      <c r="A25" s="19" t="s">
        <v>56</v>
      </c>
      <c r="B25" s="4"/>
      <c r="C25" s="38">
        <f>VALUE(LEFT(RIGHT($B$23,6),1))</f>
        <v>0</v>
      </c>
      <c r="D25" s="27" t="s">
        <v>62</v>
      </c>
      <c r="E25" s="19" t="s">
        <v>56</v>
      </c>
      <c r="F25" s="12">
        <v>0</v>
      </c>
    </row>
    <row r="26" spans="1:8" x14ac:dyDescent="0.25">
      <c r="A26" s="19" t="s">
        <v>57</v>
      </c>
      <c r="B26" s="4"/>
      <c r="C26" s="38">
        <f>VALUE(LEFT(RIGHT($B$23,5),1))</f>
        <v>0</v>
      </c>
      <c r="D26" s="27" t="s">
        <v>62</v>
      </c>
      <c r="E26" s="19" t="s">
        <v>57</v>
      </c>
      <c r="F26" s="12">
        <v>0</v>
      </c>
    </row>
    <row r="27" spans="1:8" x14ac:dyDescent="0.25">
      <c r="A27" s="19" t="s">
        <v>58</v>
      </c>
      <c r="B27" s="4"/>
      <c r="C27" s="38">
        <f>VALUE(LEFT(RIGHT($B$23,4),1))</f>
        <v>1</v>
      </c>
      <c r="D27" s="27" t="s">
        <v>65</v>
      </c>
      <c r="E27" s="19" t="s">
        <v>58</v>
      </c>
      <c r="F27" s="12">
        <v>1</v>
      </c>
    </row>
    <row r="28" spans="1:8" x14ac:dyDescent="0.25">
      <c r="A28" s="19" t="s">
        <v>59</v>
      </c>
      <c r="B28" s="4"/>
      <c r="C28" s="38">
        <f>VALUE(LEFT(RIGHT($B$23,3),1))</f>
        <v>1</v>
      </c>
      <c r="D28" s="27" t="s">
        <v>65</v>
      </c>
      <c r="E28" s="19" t="s">
        <v>59</v>
      </c>
      <c r="F28" s="12">
        <v>1</v>
      </c>
    </row>
    <row r="29" spans="1:8" x14ac:dyDescent="0.25">
      <c r="A29" s="19" t="s">
        <v>60</v>
      </c>
      <c r="B29" s="4"/>
      <c r="C29" s="38">
        <f>VALUE(LEFT(RIGHT($B$23,2),1))</f>
        <v>0</v>
      </c>
      <c r="D29" s="27" t="s">
        <v>65</v>
      </c>
      <c r="E29" s="19" t="s">
        <v>60</v>
      </c>
      <c r="F29" s="12">
        <v>0</v>
      </c>
    </row>
    <row r="30" spans="1:8" ht="15.75" thickBot="1" x14ac:dyDescent="0.3">
      <c r="A30" s="20" t="s">
        <v>61</v>
      </c>
      <c r="B30" s="6"/>
      <c r="C30" s="39">
        <f>VALUE(LEFT(RIGHT($B$23,1),1))</f>
        <v>0</v>
      </c>
      <c r="D30" s="28" t="s">
        <v>65</v>
      </c>
      <c r="E30" s="20" t="s">
        <v>61</v>
      </c>
      <c r="F30" s="13">
        <v>0</v>
      </c>
    </row>
    <row r="31" spans="1:8" x14ac:dyDescent="0.25">
      <c r="A31" s="18" t="s">
        <v>54</v>
      </c>
      <c r="B31" s="2" t="str">
        <f>HEX2BIN(LEFT(RIGHT($B$22,2),2),8)</f>
        <v>00001100</v>
      </c>
      <c r="C31" s="40">
        <f>VALUE(LEFT(RIGHT($B$31,8),1))</f>
        <v>0</v>
      </c>
      <c r="D31" s="26" t="s">
        <v>62</v>
      </c>
      <c r="E31" s="18" t="s">
        <v>54</v>
      </c>
      <c r="F31" s="11">
        <v>0</v>
      </c>
      <c r="G31" t="str">
        <f>BIN2HEX(F31&amp;F32&amp;F33&amp;F34&amp;F35&amp;F36&amp;F37&amp;F38,2)</f>
        <v>03</v>
      </c>
    </row>
    <row r="32" spans="1:8" x14ac:dyDescent="0.25">
      <c r="A32" s="19" t="s">
        <v>55</v>
      </c>
      <c r="B32" s="4"/>
      <c r="C32" s="38">
        <f>VALUE(LEFT(RIGHT($B$31,7),1))</f>
        <v>0</v>
      </c>
      <c r="D32" s="27" t="s">
        <v>62</v>
      </c>
      <c r="E32" s="19" t="s">
        <v>55</v>
      </c>
      <c r="F32" s="12">
        <v>0</v>
      </c>
    </row>
    <row r="33" spans="1:11" x14ac:dyDescent="0.25">
      <c r="A33" s="19" t="s">
        <v>56</v>
      </c>
      <c r="B33" s="4"/>
      <c r="C33" s="38">
        <f>VALUE(LEFT(RIGHT($B$31,6),1))</f>
        <v>0</v>
      </c>
      <c r="D33" s="27" t="s">
        <v>62</v>
      </c>
      <c r="E33" s="19" t="s">
        <v>56</v>
      </c>
      <c r="F33" s="12">
        <v>0</v>
      </c>
    </row>
    <row r="34" spans="1:11" x14ac:dyDescent="0.25">
      <c r="A34" s="19" t="s">
        <v>57</v>
      </c>
      <c r="B34" s="4"/>
      <c r="C34" s="38">
        <f>VALUE(LEFT(RIGHT($B$31,5),1))</f>
        <v>0</v>
      </c>
      <c r="D34" s="27" t="str">
        <f>IF(C34=0,"Do not approve online transaction","Approve online transaction")</f>
        <v>Do not approve online transaction</v>
      </c>
      <c r="E34" s="19" t="s">
        <v>57</v>
      </c>
      <c r="F34" s="12">
        <v>0</v>
      </c>
    </row>
    <row r="35" spans="1:11" x14ac:dyDescent="0.25">
      <c r="A35" s="19" t="s">
        <v>58</v>
      </c>
      <c r="B35" s="4"/>
      <c r="C35" s="38">
        <f>VALUE(LEFT(RIGHT($B$31,4),1))</f>
        <v>1</v>
      </c>
      <c r="D35" s="27" t="str">
        <f>IF(C35=0,"Do not update PIN Try Counter","Update PIN Try Counter")</f>
        <v>Update PIN Try Counter</v>
      </c>
      <c r="E35" s="19" t="s">
        <v>58</v>
      </c>
      <c r="F35" s="12">
        <v>0</v>
      </c>
    </row>
    <row r="36" spans="1:11" x14ac:dyDescent="0.25">
      <c r="A36" s="19" t="s">
        <v>59</v>
      </c>
      <c r="B36" s="4"/>
      <c r="C36" s="38">
        <f>VALUE(LEFT(RIGHT($B$31,3),1))</f>
        <v>1</v>
      </c>
      <c r="D36" s="27" t="str">
        <f>IF(C36=0,"Reset go online on next transaction","Set go online on next transaction")</f>
        <v>Set go online on next transaction</v>
      </c>
      <c r="E36" s="19" t="s">
        <v>59</v>
      </c>
      <c r="F36" s="12">
        <v>0</v>
      </c>
    </row>
    <row r="37" spans="1:11" x14ac:dyDescent="0.25">
      <c r="A37" s="19" t="s">
        <v>60</v>
      </c>
      <c r="B37" s="4"/>
      <c r="C37" s="38">
        <f>VALUE(LEFT(RIGHT($B$31,2),1))</f>
        <v>0</v>
      </c>
      <c r="D37" s="27" t="s">
        <v>66</v>
      </c>
      <c r="E37" s="19" t="s">
        <v>60</v>
      </c>
      <c r="F37" s="12">
        <v>1</v>
      </c>
    </row>
    <row r="38" spans="1:11" ht="15.75" thickBot="1" x14ac:dyDescent="0.3">
      <c r="A38" s="20" t="s">
        <v>61</v>
      </c>
      <c r="B38" s="6"/>
      <c r="C38" s="39">
        <f>VALUE(LEFT(RIGHT($B$31,1),1))</f>
        <v>0</v>
      </c>
      <c r="D38" s="28" t="s">
        <v>66</v>
      </c>
      <c r="E38" s="20" t="s">
        <v>61</v>
      </c>
      <c r="F38" s="13">
        <v>1</v>
      </c>
    </row>
    <row r="40" spans="1:11" x14ac:dyDescent="0.25">
      <c r="C40" t="str">
        <f>C27&amp;C28&amp;C29&amp;C30</f>
        <v>1100</v>
      </c>
      <c r="D40" s="25" t="str">
        <f xml:space="preserve"> "PIN try counter = " &amp; BIN2DEC(C40)</f>
        <v>PIN try counter = 12</v>
      </c>
    </row>
    <row r="41" spans="1:11" x14ac:dyDescent="0.25">
      <c r="C41" t="str">
        <f>C37&amp;C38</f>
        <v>00</v>
      </c>
      <c r="D41" s="25" t="str">
        <f xml:space="preserve"> "Update Counters = " &amp; IF(C41="00","Do not update offline counters",IF(C41="01","Set counters to upper offline limits",IF(C41="10","Reset counters to zero",IF(C41="11","Add transaction to counter","ERROR"))))</f>
        <v>Update Counters = Do not update offline counters</v>
      </c>
    </row>
    <row r="43" spans="1:11" ht="15.75" thickBot="1" x14ac:dyDescent="0.3">
      <c r="A43" s="29" t="s">
        <v>68</v>
      </c>
      <c r="B43" s="29"/>
      <c r="C43" s="29"/>
      <c r="D43" s="30"/>
      <c r="E43" s="30"/>
      <c r="F43" s="30"/>
      <c r="G43" s="30"/>
    </row>
    <row r="44" spans="1:11" ht="15.75" thickBot="1" x14ac:dyDescent="0.3">
      <c r="A44" s="17"/>
      <c r="B44" s="1" t="s">
        <v>462</v>
      </c>
      <c r="C44" t="s">
        <v>0</v>
      </c>
      <c r="E44" s="17"/>
      <c r="F44" t="s">
        <v>133</v>
      </c>
      <c r="G44" s="15" t="str">
        <f>G45&amp;G53&amp;G61</f>
        <v>990003</v>
      </c>
      <c r="H44" t="s">
        <v>134</v>
      </c>
      <c r="I44" s="15" t="str">
        <f>I45&amp;I53&amp;I61</f>
        <v>00FCFC</v>
      </c>
      <c r="J44" t="s">
        <v>135</v>
      </c>
      <c r="K44" s="15" t="str">
        <f>K45&amp;K53&amp;K61</f>
        <v>00500C</v>
      </c>
    </row>
    <row r="45" spans="1:11" x14ac:dyDescent="0.25">
      <c r="A45" s="18" t="s">
        <v>54</v>
      </c>
      <c r="B45" s="2" t="str">
        <f>HEX2BIN(LEFT(RIGHT($B$44,LEN($B$44)),2),8)</f>
        <v>00101111</v>
      </c>
      <c r="C45" s="40">
        <f>VALUE(LEFT(RIGHT($B$45,8),1))</f>
        <v>0</v>
      </c>
      <c r="D45" s="26" t="s">
        <v>62</v>
      </c>
      <c r="E45" s="18" t="s">
        <v>54</v>
      </c>
      <c r="F45" s="11">
        <v>1</v>
      </c>
      <c r="G45" t="str">
        <f>BIN2HEX(F45&amp;F46&amp;F47&amp;F48&amp;F49&amp;F50&amp;F51&amp;F52,2)</f>
        <v>99</v>
      </c>
      <c r="H45" s="11">
        <v>0</v>
      </c>
      <c r="I45" t="str">
        <f>BIN2HEX(H45&amp;H46&amp;H47&amp;H48&amp;H49&amp;H50&amp;H51&amp;H52,2)</f>
        <v>00</v>
      </c>
      <c r="J45" s="11">
        <v>0</v>
      </c>
      <c r="K45" t="str">
        <f>BIN2HEX(J45&amp;J46&amp;J47&amp;J48&amp;J49&amp;J50&amp;J51&amp;J52,2)</f>
        <v>00</v>
      </c>
    </row>
    <row r="46" spans="1:11" x14ac:dyDescent="0.25">
      <c r="A46" s="19" t="s">
        <v>55</v>
      </c>
      <c r="B46" s="4"/>
      <c r="C46" s="38">
        <f>VALUE(LEFT(RIGHT($B$45,7),1))</f>
        <v>0</v>
      </c>
      <c r="D46" s="27" t="s">
        <v>125</v>
      </c>
      <c r="E46" s="19" t="s">
        <v>55</v>
      </c>
      <c r="F46" s="12">
        <v>0</v>
      </c>
      <c r="H46" s="12">
        <v>0</v>
      </c>
      <c r="J46" s="12">
        <v>0</v>
      </c>
    </row>
    <row r="47" spans="1:11" x14ac:dyDescent="0.25">
      <c r="A47" s="19" t="s">
        <v>56</v>
      </c>
      <c r="B47" s="4"/>
      <c r="C47" s="38">
        <f>VALUE(LEFT(RIGHT($B$45,6),1))</f>
        <v>1</v>
      </c>
      <c r="D47" s="27" t="s">
        <v>124</v>
      </c>
      <c r="E47" s="19" t="s">
        <v>56</v>
      </c>
      <c r="F47" s="12">
        <v>0</v>
      </c>
      <c r="H47" s="12">
        <v>0</v>
      </c>
      <c r="J47" s="12">
        <v>0</v>
      </c>
    </row>
    <row r="48" spans="1:11" x14ac:dyDescent="0.25">
      <c r="A48" s="19" t="s">
        <v>57</v>
      </c>
      <c r="B48" s="4"/>
      <c r="C48" s="38">
        <f>VALUE(LEFT(RIGHT($B$45,5),1))</f>
        <v>0</v>
      </c>
      <c r="D48" s="27" t="s">
        <v>126</v>
      </c>
      <c r="E48" s="19" t="s">
        <v>57</v>
      </c>
      <c r="F48" s="12">
        <v>1</v>
      </c>
      <c r="H48" s="12">
        <v>0</v>
      </c>
      <c r="J48" s="12">
        <v>0</v>
      </c>
    </row>
    <row r="49" spans="1:11" x14ac:dyDescent="0.25">
      <c r="A49" s="19" t="s">
        <v>58</v>
      </c>
      <c r="B49" s="4"/>
      <c r="C49" s="38">
        <f>VALUE(LEFT(RIGHT($B$45,4),1))</f>
        <v>1</v>
      </c>
      <c r="D49" s="27" t="s">
        <v>127</v>
      </c>
      <c r="E49" s="19" t="s">
        <v>58</v>
      </c>
      <c r="F49" s="12">
        <v>1</v>
      </c>
      <c r="H49" s="12">
        <v>0</v>
      </c>
      <c r="J49" s="12">
        <v>0</v>
      </c>
    </row>
    <row r="50" spans="1:11" x14ac:dyDescent="0.25">
      <c r="A50" s="19" t="s">
        <v>59</v>
      </c>
      <c r="B50" s="4"/>
      <c r="C50" s="38">
        <f>VALUE(LEFT(RIGHT($B$45,3),1))</f>
        <v>1</v>
      </c>
      <c r="D50" s="27" t="s">
        <v>128</v>
      </c>
      <c r="E50" s="19" t="s">
        <v>59</v>
      </c>
      <c r="F50" s="12">
        <v>0</v>
      </c>
      <c r="H50" s="12">
        <v>0</v>
      </c>
      <c r="J50" s="12">
        <v>0</v>
      </c>
    </row>
    <row r="51" spans="1:11" x14ac:dyDescent="0.25">
      <c r="A51" s="19" t="s">
        <v>60</v>
      </c>
      <c r="B51" s="4"/>
      <c r="C51" s="38">
        <f>VALUE(LEFT(RIGHT($B$45,2),1))</f>
        <v>1</v>
      </c>
      <c r="D51" s="27" t="s">
        <v>129</v>
      </c>
      <c r="E51" s="19" t="s">
        <v>60</v>
      </c>
      <c r="F51" s="12">
        <v>0</v>
      </c>
      <c r="H51" s="12">
        <v>0</v>
      </c>
      <c r="J51" s="12">
        <v>0</v>
      </c>
    </row>
    <row r="52" spans="1:11" ht="15.75" thickBot="1" x14ac:dyDescent="0.3">
      <c r="A52" s="20" t="s">
        <v>61</v>
      </c>
      <c r="B52" s="6"/>
      <c r="C52" s="39">
        <f>VALUE(LEFT(RIGHT($B$45,1),1))</f>
        <v>1</v>
      </c>
      <c r="D52" s="28" t="s">
        <v>130</v>
      </c>
      <c r="E52" s="20" t="s">
        <v>61</v>
      </c>
      <c r="F52" s="13">
        <v>1</v>
      </c>
      <c r="H52" s="13">
        <v>0</v>
      </c>
      <c r="J52" s="13">
        <v>0</v>
      </c>
    </row>
    <row r="53" spans="1:11" x14ac:dyDescent="0.25">
      <c r="A53" s="18" t="s">
        <v>54</v>
      </c>
      <c r="B53" s="2" t="str">
        <f>HEX2BIN(LEFT(RIGHT($B$44,LEN($B$44)-2),2),8)</f>
        <v>11111100</v>
      </c>
      <c r="C53" s="40">
        <f>VALUE(LEFT(RIGHT($B$53,8),1))</f>
        <v>1</v>
      </c>
      <c r="D53" s="26" t="s">
        <v>116</v>
      </c>
      <c r="E53" s="18" t="s">
        <v>54</v>
      </c>
      <c r="F53" s="11">
        <v>0</v>
      </c>
      <c r="G53" t="str">
        <f>BIN2HEX(F53&amp;F54&amp;F55&amp;F56&amp;F57&amp;F58&amp;F59&amp;F60,2)</f>
        <v>00</v>
      </c>
      <c r="H53" s="11">
        <v>1</v>
      </c>
      <c r="I53" t="str">
        <f>BIN2HEX(H53&amp;H54&amp;H55&amp;H56&amp;H57&amp;H58&amp;H59&amp;H60,2)</f>
        <v>FC</v>
      </c>
      <c r="J53" s="11">
        <v>0</v>
      </c>
      <c r="K53" t="str">
        <f>BIN2HEX(J53&amp;J54&amp;J55&amp;J56&amp;J57&amp;J58&amp;J59&amp;J60,2)</f>
        <v>50</v>
      </c>
    </row>
    <row r="54" spans="1:11" x14ac:dyDescent="0.25">
      <c r="A54" s="19" t="s">
        <v>55</v>
      </c>
      <c r="B54" s="4"/>
      <c r="C54" s="38">
        <f>VALUE(LEFT(RIGHT($B$53,7),1))</f>
        <v>1</v>
      </c>
      <c r="D54" s="27" t="s">
        <v>117</v>
      </c>
      <c r="E54" s="19" t="s">
        <v>55</v>
      </c>
      <c r="F54" s="12">
        <v>0</v>
      </c>
      <c r="H54" s="12">
        <v>1</v>
      </c>
      <c r="J54" s="12">
        <v>1</v>
      </c>
    </row>
    <row r="55" spans="1:11" x14ac:dyDescent="0.25">
      <c r="A55" s="19" t="s">
        <v>56</v>
      </c>
      <c r="B55" s="4"/>
      <c r="C55" s="38">
        <f>VALUE(LEFT(RIGHT($B$53,6),1))</f>
        <v>1</v>
      </c>
      <c r="D55" s="27" t="s">
        <v>118</v>
      </c>
      <c r="E55" s="19" t="s">
        <v>56</v>
      </c>
      <c r="F55" s="12">
        <v>0</v>
      </c>
      <c r="H55" s="12">
        <v>1</v>
      </c>
      <c r="J55" s="12">
        <v>0</v>
      </c>
    </row>
    <row r="56" spans="1:11" x14ac:dyDescent="0.25">
      <c r="A56" s="19" t="s">
        <v>57</v>
      </c>
      <c r="B56" s="4"/>
      <c r="C56" s="38">
        <f>VALUE(LEFT(RIGHT($B$53,5),1))</f>
        <v>1</v>
      </c>
      <c r="D56" s="27" t="s">
        <v>119</v>
      </c>
      <c r="E56" s="19" t="s">
        <v>57</v>
      </c>
      <c r="F56" s="12">
        <v>0</v>
      </c>
      <c r="H56" s="12">
        <v>1</v>
      </c>
      <c r="J56" s="12">
        <v>1</v>
      </c>
    </row>
    <row r="57" spans="1:11" x14ac:dyDescent="0.25">
      <c r="A57" s="19" t="s">
        <v>58</v>
      </c>
      <c r="B57" s="4"/>
      <c r="C57" s="38">
        <f>VALUE(LEFT(RIGHT($B$53,4),1))</f>
        <v>1</v>
      </c>
      <c r="D57" s="27" t="s">
        <v>120</v>
      </c>
      <c r="E57" s="19" t="s">
        <v>58</v>
      </c>
      <c r="F57" s="12">
        <v>0</v>
      </c>
      <c r="H57" s="12">
        <v>1</v>
      </c>
      <c r="J57" s="12">
        <v>0</v>
      </c>
    </row>
    <row r="58" spans="1:11" x14ac:dyDescent="0.25">
      <c r="A58" s="19" t="s">
        <v>59</v>
      </c>
      <c r="B58" s="4"/>
      <c r="C58" s="38">
        <f>VALUE(LEFT(RIGHT($B$53,3),1))</f>
        <v>1</v>
      </c>
      <c r="D58" s="27" t="s">
        <v>121</v>
      </c>
      <c r="E58" s="19" t="s">
        <v>59</v>
      </c>
      <c r="F58" s="12">
        <v>0</v>
      </c>
      <c r="H58" s="12">
        <v>1</v>
      </c>
      <c r="J58" s="12">
        <v>0</v>
      </c>
    </row>
    <row r="59" spans="1:11" x14ac:dyDescent="0.25">
      <c r="A59" s="19" t="s">
        <v>60</v>
      </c>
      <c r="B59" s="4"/>
      <c r="C59" s="38">
        <f>VALUE(LEFT(RIGHT($B$53,2),1))</f>
        <v>0</v>
      </c>
      <c r="D59" s="27" t="s">
        <v>122</v>
      </c>
      <c r="E59" s="19" t="s">
        <v>60</v>
      </c>
      <c r="F59" s="12">
        <v>0</v>
      </c>
      <c r="H59" s="12">
        <v>0</v>
      </c>
      <c r="J59" s="12">
        <v>0</v>
      </c>
    </row>
    <row r="60" spans="1:11" ht="15.75" thickBot="1" x14ac:dyDescent="0.3">
      <c r="A60" s="20" t="s">
        <v>61</v>
      </c>
      <c r="B60" s="6"/>
      <c r="C60" s="39">
        <f>VALUE(LEFT(RIGHT($B$53,1),1))</f>
        <v>0</v>
      </c>
      <c r="D60" s="28" t="s">
        <v>123</v>
      </c>
      <c r="E60" s="20" t="s">
        <v>61</v>
      </c>
      <c r="F60" s="13">
        <v>0</v>
      </c>
      <c r="H60" s="13">
        <v>0</v>
      </c>
      <c r="J60" s="13">
        <v>0</v>
      </c>
    </row>
    <row r="61" spans="1:11" x14ac:dyDescent="0.25">
      <c r="A61" s="18" t="s">
        <v>54</v>
      </c>
      <c r="B61" s="2" t="str">
        <f>HEX2BIN(LEFT(RIGHT($B$44,LEN($B$44)-4),2),8)</f>
        <v>11111100</v>
      </c>
      <c r="C61" s="40">
        <f>VALUE(LEFT(RIGHT($B$61,8),1))</f>
        <v>1</v>
      </c>
      <c r="D61" s="26" t="s">
        <v>62</v>
      </c>
      <c r="E61" s="18" t="s">
        <v>54</v>
      </c>
      <c r="F61" s="11">
        <v>0</v>
      </c>
      <c r="G61" t="str">
        <f>BIN2HEX(F61&amp;F62&amp;F63&amp;F64&amp;F65&amp;F66&amp;F67&amp;F68,2)</f>
        <v>03</v>
      </c>
      <c r="H61" s="11">
        <v>1</v>
      </c>
      <c r="I61" t="str">
        <f>BIN2HEX(H61&amp;H62&amp;H63&amp;H64&amp;H65&amp;H66&amp;H67&amp;H68,2)</f>
        <v>FC</v>
      </c>
      <c r="J61" s="11">
        <v>0</v>
      </c>
      <c r="K61" t="str">
        <f>BIN2HEX(J61&amp;J62&amp;J63&amp;J64&amp;J65&amp;J66&amp;J67&amp;J68,2)</f>
        <v>0C</v>
      </c>
    </row>
    <row r="62" spans="1:11" x14ac:dyDescent="0.25">
      <c r="A62" s="19" t="s">
        <v>55</v>
      </c>
      <c r="B62" s="4"/>
      <c r="C62" s="38">
        <f>VALUE(LEFT(RIGHT($B$61,7),1))</f>
        <v>1</v>
      </c>
      <c r="D62" s="27" t="s">
        <v>62</v>
      </c>
      <c r="E62" s="19" t="s">
        <v>55</v>
      </c>
      <c r="F62" s="12">
        <v>0</v>
      </c>
      <c r="H62" s="12">
        <v>1</v>
      </c>
      <c r="J62" s="12">
        <v>0</v>
      </c>
    </row>
    <row r="63" spans="1:11" x14ac:dyDescent="0.25">
      <c r="A63" s="19" t="s">
        <v>56</v>
      </c>
      <c r="B63" s="4"/>
      <c r="C63" s="38">
        <f>VALUE(LEFT(RIGHT($B$61,6),1))</f>
        <v>1</v>
      </c>
      <c r="D63" s="27" t="s">
        <v>62</v>
      </c>
      <c r="E63" s="19" t="s">
        <v>56</v>
      </c>
      <c r="F63" s="12">
        <v>0</v>
      </c>
      <c r="H63" s="12">
        <v>1</v>
      </c>
      <c r="J63" s="12">
        <v>0</v>
      </c>
    </row>
    <row r="64" spans="1:11" x14ac:dyDescent="0.25">
      <c r="A64" s="19" t="s">
        <v>57</v>
      </c>
      <c r="B64" s="4"/>
      <c r="C64" s="38">
        <f>VALUE(LEFT(RIGHT($B$61,5),1))</f>
        <v>1</v>
      </c>
      <c r="D64" s="27" t="s">
        <v>62</v>
      </c>
      <c r="E64" s="19" t="s">
        <v>57</v>
      </c>
      <c r="F64" s="12">
        <v>0</v>
      </c>
      <c r="H64" s="12">
        <v>1</v>
      </c>
      <c r="J64" s="12">
        <v>0</v>
      </c>
    </row>
    <row r="65" spans="1:10" x14ac:dyDescent="0.25">
      <c r="A65" s="19" t="s">
        <v>58</v>
      </c>
      <c r="B65" s="4"/>
      <c r="C65" s="38">
        <f>VALUE(LEFT(RIGHT($B$61,4),1))</f>
        <v>1</v>
      </c>
      <c r="D65" s="27" t="s">
        <v>62</v>
      </c>
      <c r="E65" s="19" t="s">
        <v>58</v>
      </c>
      <c r="F65" s="12">
        <v>0</v>
      </c>
      <c r="H65" s="12">
        <v>1</v>
      </c>
      <c r="J65" s="12">
        <v>1</v>
      </c>
    </row>
    <row r="66" spans="1:10" x14ac:dyDescent="0.25">
      <c r="A66" s="19" t="s">
        <v>59</v>
      </c>
      <c r="B66" s="4"/>
      <c r="C66" s="38">
        <f>VALUE(LEFT(RIGHT($B$61,3),1))</f>
        <v>1</v>
      </c>
      <c r="D66" s="27" t="s">
        <v>62</v>
      </c>
      <c r="E66" s="19" t="s">
        <v>59</v>
      </c>
      <c r="F66" s="12">
        <v>0</v>
      </c>
      <c r="H66" s="12">
        <v>1</v>
      </c>
      <c r="J66" s="12">
        <v>1</v>
      </c>
    </row>
    <row r="67" spans="1:10" x14ac:dyDescent="0.25">
      <c r="A67" s="19" t="s">
        <v>60</v>
      </c>
      <c r="B67" s="4"/>
      <c r="C67" s="38">
        <f>VALUE(LEFT(RIGHT($B$61,2),1))</f>
        <v>0</v>
      </c>
      <c r="D67" s="27" t="s">
        <v>131</v>
      </c>
      <c r="E67" s="19" t="s">
        <v>60</v>
      </c>
      <c r="F67" s="12">
        <v>1</v>
      </c>
      <c r="H67" s="12">
        <v>0</v>
      </c>
      <c r="J67" s="12">
        <v>0</v>
      </c>
    </row>
    <row r="68" spans="1:10" ht="15.75" thickBot="1" x14ac:dyDescent="0.3">
      <c r="A68" s="20" t="s">
        <v>61</v>
      </c>
      <c r="B68" s="6"/>
      <c r="C68" s="39">
        <f>VALUE(LEFT(RIGHT($B$61,1),1))</f>
        <v>0</v>
      </c>
      <c r="D68" s="28" t="s">
        <v>132</v>
      </c>
      <c r="E68" s="20" t="s">
        <v>61</v>
      </c>
      <c r="F68" s="13">
        <v>1</v>
      </c>
      <c r="H68" s="13">
        <v>0</v>
      </c>
      <c r="J68" s="13">
        <v>0</v>
      </c>
    </row>
    <row r="71" spans="1:10" ht="15.75" thickBot="1" x14ac:dyDescent="0.3">
      <c r="A71" s="29" t="s">
        <v>81</v>
      </c>
      <c r="B71" s="51"/>
      <c r="C71" s="51"/>
      <c r="D71" s="55"/>
      <c r="E71" s="51"/>
      <c r="F71" s="51"/>
      <c r="G71" s="51"/>
    </row>
    <row r="72" spans="1:10" ht="15.75" thickBot="1" x14ac:dyDescent="0.3">
      <c r="B72" s="1" t="s">
        <v>465</v>
      </c>
      <c r="D72" s="25" t="str">
        <f>IF(LEN(B72)=12,"Format OK","Revoir le format de la donnée")</f>
        <v>Format OK</v>
      </c>
    </row>
    <row r="73" spans="1:10" x14ac:dyDescent="0.25">
      <c r="B73" s="114" t="str">
        <f>HEX2BIN(LEFT(RIGHT($B$72,LEN($B$72)),2),8)</f>
        <v>10100000</v>
      </c>
      <c r="C73" s="53" t="str">
        <f>LEFT(B73,2)</f>
        <v>10</v>
      </c>
      <c r="D73" s="26" t="str">
        <f>IF(LEFT(B73,2)="00","AAC returned in 2nd GAC",IF(LEFT(B73,2)="01","TC returned in 2nd GAC",IF(LEFT(B73,2)="10","Not requested",IF(LEFT(B73,2)="11","RFU",""))))</f>
        <v>Not requested</v>
      </c>
    </row>
    <row r="74" spans="1:10" x14ac:dyDescent="0.25">
      <c r="B74" s="115"/>
      <c r="C74" s="54" t="str">
        <f>RIGHT(LEFT($B$73,4),2)</f>
        <v>10</v>
      </c>
      <c r="D74" s="27" t="str">
        <f>IF(C74="00","AAC returned in 1st GAC",IF(C74="01","TC returned in 1st GAC",IF(C74="10","ARQC returned in 1st GAC",IF(C74="11","RFU",""))))</f>
        <v>ARQC returned in 1st GAC</v>
      </c>
    </row>
    <row r="75" spans="1:10" x14ac:dyDescent="0.25">
      <c r="B75" s="115"/>
      <c r="C75" s="38">
        <f>VALUE(RIGHT(LEFT($B$73,5),1))</f>
        <v>0</v>
      </c>
      <c r="D75" s="27" t="str">
        <f>IF(C75=0,"Reserved","Format incorrect")</f>
        <v>Reserved</v>
      </c>
    </row>
    <row r="76" spans="1:10" x14ac:dyDescent="0.25">
      <c r="B76" s="115"/>
      <c r="C76" s="38">
        <f>VALUE(RIGHT(LEFT($B$73,6),1))</f>
        <v>0</v>
      </c>
      <c r="D76" s="27" t="str">
        <f>IF(C76=0,"Offline PIN Verification Not Performed","Offline PIN Verification Performed")</f>
        <v>Offline PIN Verification Not Performed</v>
      </c>
    </row>
    <row r="77" spans="1:10" x14ac:dyDescent="0.25">
      <c r="B77" s="115"/>
      <c r="C77" s="38">
        <f>VALUE(RIGHT(LEFT($B$73,7),1))</f>
        <v>0</v>
      </c>
      <c r="D77" s="27" t="str">
        <f>IF(C77=0,"Offline Encrypted PIN Verification not Performed",CHAR(7)&amp;" [M/Chip Select 4]: Offline Encrypted PIN Verification Performed" &amp; CHAR(10) &amp; CHAR(7)&amp;" [M/Chip Lite 4]: Value Not Allowed")</f>
        <v>Offline Encrypted PIN Verification not Performed</v>
      </c>
    </row>
    <row r="78" spans="1:10" ht="15.75" thickBot="1" x14ac:dyDescent="0.3">
      <c r="B78" s="116"/>
      <c r="C78" s="39">
        <f>VALUE(RIGHT(LEFT($B$73,8),1))</f>
        <v>0</v>
      </c>
      <c r="D78" s="28" t="str">
        <f>IF(C78=0,"Offline PIN Verification not Successful","Offline PIN Verification Successful")</f>
        <v>Offline PIN Verification not Successful</v>
      </c>
    </row>
    <row r="79" spans="1:10" ht="30" x14ac:dyDescent="0.25">
      <c r="B79" s="114" t="str">
        <f>HEX2BIN(LEFT(RIGHT($B$72,LEN($B$72)-2),2),8)</f>
        <v>11000000</v>
      </c>
      <c r="C79" s="40">
        <f>VALUE(RIGHT(LEFT($B$79,1),1))</f>
        <v>1</v>
      </c>
      <c r="D79" s="26" t="str">
        <f>IF(C79=0,"DDA not Returned",CHAR(7)&amp;" [M/Chip Select 4] DDA Returned"&amp;CHAR(10)&amp;CHAR(7)&amp;" [M/Chip Lite 4] Value Not Allowed")</f>
        <v>_x0007_ [M/Chip Select 4] DDA Returned
_x0007_ [M/Chip Lite 4] Value Not Allowed</v>
      </c>
    </row>
    <row r="80" spans="1:10" ht="30" x14ac:dyDescent="0.25">
      <c r="B80" s="115"/>
      <c r="C80" s="38">
        <f>VALUE(RIGHT(LEFT($B$79,2),1))</f>
        <v>1</v>
      </c>
      <c r="D80" s="27" t="str">
        <f>IF(C80=0,"Combined DDA/AC Generation Not Returned In 1st GAC",CHAR(7)&amp;" [M/Chip Select 4] Combined DDA/AC Generation Returned In 1st Generate AC"&amp;CHAR(10)&amp;CHAR(7)&amp;" [M/Chip Lite 4] Value Not Allowed")</f>
        <v>_x0007_ [M/Chip Select 4] Combined DDA/AC Generation Returned In 1st Generate AC
_x0007_ [M/Chip Lite 4] Value Not Allowed</v>
      </c>
    </row>
    <row r="81" spans="2:4" x14ac:dyDescent="0.25">
      <c r="B81" s="115"/>
      <c r="C81" s="38">
        <f>VALUE(RIGHT(LEFT($B$79,3),1))</f>
        <v>0</v>
      </c>
      <c r="D81" s="27" t="str">
        <f>IF(C81=0,"Combined DDA/AC Generation Not Returned In 2nd GAC",CHAR(7)&amp;" [M/Chip Select 4] Combined DDA/AC Generation Returned In 2nd Generate AC"&amp;CHAR(10)&amp;CHAR(7)&amp;" [M/Chip Lite 4] Value Not Allowed")</f>
        <v>Combined DDA/AC Generation Not Returned In 2nd GAC</v>
      </c>
    </row>
    <row r="82" spans="2:4" x14ac:dyDescent="0.25">
      <c r="B82" s="115"/>
      <c r="C82" s="38">
        <f>VALUE(RIGHT(LEFT($B$79,4),1))</f>
        <v>0</v>
      </c>
      <c r="D82" s="27" t="str">
        <f>IF(C82=0,"Issuer Authentication Not Performed","Issuer Authentication Performed")</f>
        <v>Issuer Authentication Not Performed</v>
      </c>
    </row>
    <row r="83" spans="2:4" x14ac:dyDescent="0.25">
      <c r="B83" s="115"/>
      <c r="C83" s="38">
        <f>VALUE(RIGHT(LEFT($B$79,5),1))</f>
        <v>0</v>
      </c>
      <c r="D83" s="27" t="str">
        <f>IF(C83=0,"No CIAC-Default Skipped On CAT3","CIAC-Default Skipped On CAT3")</f>
        <v>No CIAC-Default Skipped On CAT3</v>
      </c>
    </row>
    <row r="84" spans="2:4" x14ac:dyDescent="0.25">
      <c r="B84" s="115"/>
      <c r="C84" s="38">
        <f>VALUE(RIGHT(LEFT($B$79,6),1))</f>
        <v>0</v>
      </c>
      <c r="D84" s="27" t="str">
        <f>IF(C84=0,"Reserved","Format incorrect")</f>
        <v>Reserved</v>
      </c>
    </row>
    <row r="85" spans="2:4" x14ac:dyDescent="0.25">
      <c r="B85" s="115"/>
      <c r="C85" s="38">
        <f>VALUE(RIGHT(LEFT($B$79,7),1))</f>
        <v>0</v>
      </c>
      <c r="D85" s="27" t="str">
        <f>IF(C85=0,"Reserved","Format incorrect")</f>
        <v>Reserved</v>
      </c>
    </row>
    <row r="86" spans="2:4" ht="15.75" thickBot="1" x14ac:dyDescent="0.3">
      <c r="B86" s="116"/>
      <c r="C86" s="39">
        <f>VALUE(RIGHT(LEFT($B$79,8),1))</f>
        <v>0</v>
      </c>
      <c r="D86" s="28" t="str">
        <f>IF(C86=0,"Reserved","Format incorrect")</f>
        <v>Reserved</v>
      </c>
    </row>
    <row r="87" spans="2:4" x14ac:dyDescent="0.25">
      <c r="B87" s="114" t="str">
        <f>HEX2BIN(LEFT(RIGHT($B$72,LEN($B$72)-4),2),8)</f>
        <v>00000011</v>
      </c>
      <c r="C87" s="40">
        <f>BIN2DEC(LEFT(B87,4))</f>
        <v>0</v>
      </c>
      <c r="D87" s="26" t="s">
        <v>138</v>
      </c>
    </row>
    <row r="88" spans="2:4" ht="15.75" thickBot="1" x14ac:dyDescent="0.3">
      <c r="B88" s="116"/>
      <c r="C88" s="39">
        <f>BIN2DEC(RIGHT(B87,4))</f>
        <v>3</v>
      </c>
      <c r="D88" s="28" t="s">
        <v>139</v>
      </c>
    </row>
    <row r="89" spans="2:4" x14ac:dyDescent="0.25">
      <c r="B89" s="114" t="str">
        <f>HEX2BIN(LEFT(RIGHT($B$72,LEN($B$72)-6),2),8)</f>
        <v>00100100</v>
      </c>
      <c r="C89" s="40">
        <f>VALUE(RIGHT(LEFT($B$89,1),1))</f>
        <v>0</v>
      </c>
      <c r="D89" s="35" t="str">
        <f>IF(C89=0,"Reserved","Format incorrect")</f>
        <v>Reserved</v>
      </c>
    </row>
    <row r="90" spans="2:4" x14ac:dyDescent="0.25">
      <c r="B90" s="115"/>
      <c r="C90" s="38">
        <f>VALUE(RIGHT(LEFT($B$89,2),1))</f>
        <v>0</v>
      </c>
      <c r="D90" s="36" t="str">
        <f>IF(C90=0,"Unable To Go Online Not Indicated","Unable To Go Online Indicated")</f>
        <v>Unable To Go Online Not Indicated</v>
      </c>
    </row>
    <row r="91" spans="2:4" x14ac:dyDescent="0.25">
      <c r="B91" s="115"/>
      <c r="C91" s="38">
        <f>VALUE(RIGHT(LEFT($B$89,3),1))</f>
        <v>1</v>
      </c>
      <c r="D91" s="36" t="str">
        <f>IF(C91=0,"Offline PIN Verification Performed","Offline PIN Verification Not Performed")</f>
        <v>Offline PIN Verification Not Performed</v>
      </c>
    </row>
    <row r="92" spans="2:4" x14ac:dyDescent="0.25">
      <c r="B92" s="115"/>
      <c r="C92" s="38">
        <f>VALUE(RIGHT(LEFT($B$89,4),1))</f>
        <v>0</v>
      </c>
      <c r="D92" s="36" t="str">
        <f>IF(C92=0,"No Failure Of Offline PIN Verification","Offline PIN Verification Failed")</f>
        <v>No Failure Of Offline PIN Verification</v>
      </c>
    </row>
    <row r="93" spans="2:4" x14ac:dyDescent="0.25">
      <c r="B93" s="115"/>
      <c r="C93" s="38">
        <f>VALUE(RIGHT(LEFT($B$89,5),1))</f>
        <v>0</v>
      </c>
      <c r="D93" s="36" t="str">
        <f>IF(C93=0,"PTL Not Exceeded","PTL Exceeded")</f>
        <v>PTL Not Exceeded</v>
      </c>
    </row>
    <row r="94" spans="2:4" x14ac:dyDescent="0.25">
      <c r="B94" s="115"/>
      <c r="C94" s="38">
        <f>VALUE(RIGHT(LEFT($B$89,6),1))</f>
        <v>1</v>
      </c>
      <c r="D94" s="36" t="str">
        <f>IF(C94=0,"Domestic Transaction","International Transaction")</f>
        <v>International Transaction</v>
      </c>
    </row>
    <row r="95" spans="2:4" x14ac:dyDescent="0.25">
      <c r="B95" s="115"/>
      <c r="C95" s="38">
        <f>VALUE(RIGHT(LEFT($B$89,7),1))</f>
        <v>0</v>
      </c>
      <c r="D95" s="36" t="str">
        <f>IF(C95=0,"International Transaction","Domestic Transaction")</f>
        <v>International Transaction</v>
      </c>
    </row>
    <row r="96" spans="2:4" ht="15.75" thickBot="1" x14ac:dyDescent="0.3">
      <c r="B96" s="116"/>
      <c r="C96" s="39">
        <f>VALUE(RIGHT(LEFT($B$89,8),1))</f>
        <v>0</v>
      </c>
      <c r="D96" s="37" t="str">
        <f>IF(C96=0,"Terminal Does Not Erroneously Consider Offline PIN OK","Terminal Erroneously Considers Offline PIN OK")</f>
        <v>Terminal Does Not Erroneously Consider Offline PIN OK</v>
      </c>
    </row>
    <row r="97" spans="2:4" x14ac:dyDescent="0.25">
      <c r="B97" s="114" t="str">
        <f>HEX2BIN(LEFT(RIGHT($B$72,LEN($B$72)-8),2),8)</f>
        <v>00001000</v>
      </c>
      <c r="C97" s="40">
        <f>VALUE(RIGHT(LEFT($B$97,1),1))</f>
        <v>0</v>
      </c>
      <c r="D97" s="26" t="str">
        <f>IF(C97=0,"Lower Consecutive Offline Limit Not Exceeded","Lower Consecutive Offline Limit Exceeded")</f>
        <v>Lower Consecutive Offline Limit Not Exceeded</v>
      </c>
    </row>
    <row r="98" spans="2:4" x14ac:dyDescent="0.25">
      <c r="B98" s="115"/>
      <c r="C98" s="38">
        <f>VALUE(RIGHT(LEFT($B$97,2),1))</f>
        <v>0</v>
      </c>
      <c r="D98" s="27" t="str">
        <f>IF(C98=0,"Upper Consecutive Offline Limit Not Exceeded","Upper Consecutive Offline Limit Exceeded")</f>
        <v>Upper Consecutive Offline Limit Not Exceeded</v>
      </c>
    </row>
    <row r="99" spans="2:4" x14ac:dyDescent="0.25">
      <c r="B99" s="115"/>
      <c r="C99" s="38">
        <f>VALUE(RIGHT(LEFT($B$97,3),1))</f>
        <v>0</v>
      </c>
      <c r="D99" s="27" t="str">
        <f>IF(C99=0,"Lower Cumulative Offline Limit Not Exceeded","Lower Cumulative Offline Limit Exceeded")</f>
        <v>Lower Cumulative Offline Limit Not Exceeded</v>
      </c>
    </row>
    <row r="100" spans="2:4" x14ac:dyDescent="0.25">
      <c r="B100" s="115"/>
      <c r="C100" s="38">
        <f>VALUE(RIGHT(LEFT($B$97,4),1))</f>
        <v>0</v>
      </c>
      <c r="D100" s="27" t="str">
        <f>IF(C100=0,"Upper Cumulative Offline Limit Not Exceeded","Upper Cumulative Offline Limit Exceeded")</f>
        <v>Upper Cumulative Offline Limit Not Exceeded</v>
      </c>
    </row>
    <row r="101" spans="2:4" x14ac:dyDescent="0.25">
      <c r="B101" s="115"/>
      <c r="C101" s="38">
        <f>VALUE(RIGHT(LEFT($B$97,5),1))</f>
        <v>1</v>
      </c>
      <c r="D101" s="27" t="str">
        <f>IF(C101=0,"Go Online On Next Transaction Was Not Set","Go Online On Next Transaction Was Set")</f>
        <v>Go Online On Next Transaction Was Set</v>
      </c>
    </row>
    <row r="102" spans="2:4" x14ac:dyDescent="0.25">
      <c r="B102" s="115"/>
      <c r="C102" s="38">
        <f>VALUE(RIGHT(LEFT($B$97,6),1))</f>
        <v>0</v>
      </c>
      <c r="D102" s="27" t="str">
        <f>IF(C102=0,"No Issuer Authentication Failed","Issuer Authentication Failed")</f>
        <v>No Issuer Authentication Failed</v>
      </c>
    </row>
    <row r="103" spans="2:4" x14ac:dyDescent="0.25">
      <c r="B103" s="115"/>
      <c r="C103" s="38">
        <f>VALUE(RIGHT(LEFT($B$97,7),1))</f>
        <v>0</v>
      </c>
      <c r="D103" s="27" t="str">
        <f>IF(C103=0,"No Script Received","Script Received")</f>
        <v>No Script Received</v>
      </c>
    </row>
    <row r="104" spans="2:4" ht="15.75" thickBot="1" x14ac:dyDescent="0.3">
      <c r="B104" s="116"/>
      <c r="C104" s="39">
        <f>VALUE(RIGHT(LEFT($B$97,8),1))</f>
        <v>0</v>
      </c>
      <c r="D104" s="28" t="str">
        <f>IF(C104=0,"No Script Failed","Script Failed")</f>
        <v>No Script Failed</v>
      </c>
    </row>
    <row r="105" spans="2:4" x14ac:dyDescent="0.25">
      <c r="B105" s="114" t="str">
        <f>HEX2BIN(LEFT(RIGHT($B$72,LEN($B$72)-10),2),8)</f>
        <v>00000000</v>
      </c>
      <c r="C105" s="40">
        <f>VALUE(RIGHT(LEFT($B$105,1),1))</f>
        <v>0</v>
      </c>
      <c r="D105" s="26" t="str">
        <f>IF(C105=0,"Lower PayPass Consecutive Offline Limit Not Exceeded","Lower PayPass Consecutive Offline Limit Exceeded")</f>
        <v>Lower PayPass Consecutive Offline Limit Not Exceeded</v>
      </c>
    </row>
    <row r="106" spans="2:4" x14ac:dyDescent="0.25">
      <c r="B106" s="115"/>
      <c r="C106" s="38">
        <f>VALUE(RIGHT(LEFT($B$105,2),1))</f>
        <v>0</v>
      </c>
      <c r="D106" s="27" t="str">
        <f>IF(C106=0,"Upper PayPass Consecutive Offline Limit Not Exceeded","Upper PayPass Consecutive Offline Limit Exceeded")</f>
        <v>Upper PayPass Consecutive Offline Limit Not Exceeded</v>
      </c>
    </row>
    <row r="107" spans="2:4" x14ac:dyDescent="0.25">
      <c r="B107" s="115"/>
      <c r="C107" s="38">
        <f>VALUE(RIGHT(LEFT($B$105,3),1))</f>
        <v>0</v>
      </c>
      <c r="D107" s="27" t="str">
        <f>IF(C107=0,"Lower PayPass Cumulative Offline Limit Not Exceeded","Lower PayPass Cumulative Offline Limit Exceeded")</f>
        <v>Lower PayPass Cumulative Offline Limit Not Exceeded</v>
      </c>
    </row>
    <row r="108" spans="2:4" x14ac:dyDescent="0.25">
      <c r="B108" s="115"/>
      <c r="C108" s="38">
        <f>VALUE(RIGHT(LEFT($B$105,4),1))</f>
        <v>0</v>
      </c>
      <c r="D108" s="27" t="str">
        <f>IF(C108=0,"Upper PayPass Cumulative Offline Limit Not Exceeded","Upper PayPass Cumulative Offline Limit Exceeded")</f>
        <v>Upper PayPass Cumulative Offline Limit Not Exceeded</v>
      </c>
    </row>
    <row r="109" spans="2:4" x14ac:dyDescent="0.25">
      <c r="B109" s="115"/>
      <c r="C109" s="38">
        <f>VALUE(RIGHT(LEFT($B$105,5),1))</f>
        <v>0</v>
      </c>
      <c r="D109" s="27" t="str">
        <f>IF(C109=0,"MTA Limit Not Exceeded","MTA Limit Exceeded")</f>
        <v>MTA Limit Not Exceeded</v>
      </c>
    </row>
    <row r="110" spans="2:4" x14ac:dyDescent="0.25">
      <c r="B110" s="115"/>
      <c r="C110" s="38">
        <f>VALUE(RIGHT(LEFT($B$105,6),1))</f>
        <v>0</v>
      </c>
      <c r="D110" s="27" t="str">
        <f t="shared" ref="D110" si="0">IF(C110=0,"Reserved","Format incorrect")</f>
        <v>Reserved</v>
      </c>
    </row>
    <row r="111" spans="2:4" x14ac:dyDescent="0.25">
      <c r="B111" s="115"/>
      <c r="C111" s="38">
        <f>VALUE(RIGHT(LEFT($B$105,7),1))</f>
        <v>0</v>
      </c>
      <c r="D111" s="27" t="str">
        <f>IF(C111=0,"No Match Found In Additional Check Table","Match Found In Additional Check Table")</f>
        <v>No Match Found In Additional Check Table</v>
      </c>
    </row>
    <row r="112" spans="2:4" ht="15.75" thickBot="1" x14ac:dyDescent="0.3">
      <c r="B112" s="116"/>
      <c r="C112" s="39">
        <f>VALUE(RIGHT(LEFT($B$105,8),1))</f>
        <v>0</v>
      </c>
      <c r="D112" s="28" t="str">
        <f>IF(C112=0,"Match Found In Additional Check Table","No Match Found In Additional Check Table")</f>
        <v>Match Found In Additional Check Table</v>
      </c>
    </row>
  </sheetData>
  <mergeCells count="8">
    <mergeCell ref="F2:G2"/>
    <mergeCell ref="B73:B78"/>
    <mergeCell ref="B79:B86"/>
    <mergeCell ref="B105:B112"/>
    <mergeCell ref="B89:B96"/>
    <mergeCell ref="B87:B88"/>
    <mergeCell ref="B97:B104"/>
    <mergeCell ref="B2:D2"/>
  </mergeCells>
  <conditionalFormatting sqref="F75:F77">
    <cfRule type="iconSet" priority="6">
      <iconSet iconSet="3TrafficLights2" reverse="1">
        <cfvo type="percent" val="0"/>
        <cfvo type="percent" val="33"/>
        <cfvo type="percent" val="67"/>
      </iconSet>
    </cfRule>
  </conditionalFormatting>
  <conditionalFormatting sqref="C75:C86">
    <cfRule type="iconSet" priority="5">
      <iconSet iconSet="3Symbols2" showValue="0" reverse="1">
        <cfvo type="percent" val="0"/>
        <cfvo type="percent" val="33"/>
        <cfvo type="percent" val="67"/>
      </iconSet>
    </cfRule>
  </conditionalFormatting>
  <conditionalFormatting sqref="C89:C112">
    <cfRule type="iconSet" priority="4">
      <iconSet iconSet="3Symbols2" showValue="0" reverse="1">
        <cfvo type="percent" val="0"/>
        <cfvo type="percent" val="33"/>
        <cfvo type="percent" val="67"/>
      </iconSet>
    </cfRule>
  </conditionalFormatting>
  <conditionalFormatting sqref="C45:C68">
    <cfRule type="iconSet" priority="3">
      <iconSet iconSet="3Symbols2" showValue="0">
        <cfvo type="percent" val="0"/>
        <cfvo type="percent" val="33"/>
        <cfvo type="percent" val="67"/>
      </iconSet>
    </cfRule>
  </conditionalFormatting>
  <conditionalFormatting sqref="C23:C38">
    <cfRule type="iconSet" priority="2">
      <iconSet iconSet="3Symbols2" showValue="0" reverse="1">
        <cfvo type="percent" val="0"/>
        <cfvo type="percent" val="33"/>
        <cfvo type="percent" val="67"/>
      </iconSet>
    </cfRule>
  </conditionalFormatting>
  <conditionalFormatting sqref="C4:C19">
    <cfRule type="iconSet" priority="1">
      <iconSet iconSet="3Symbols2" showValue="0">
        <cfvo type="percent" val="0"/>
        <cfvo type="percent" val="33"/>
        <cfvo type="percent" val="67"/>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G32"/>
  <sheetViews>
    <sheetView topLeftCell="A4" workbookViewId="0">
      <selection activeCell="J9" sqref="J9"/>
    </sheetView>
  </sheetViews>
  <sheetFormatPr baseColWidth="10" defaultRowHeight="15" x14ac:dyDescent="0.25"/>
  <cols>
    <col min="1" max="1" width="12" style="47" bestFit="1" customWidth="1"/>
    <col min="2" max="2" width="11" style="47" bestFit="1" customWidth="1"/>
    <col min="3" max="3" width="2.85546875" style="47" customWidth="1"/>
    <col min="4" max="4" width="66" style="47" bestFit="1" customWidth="1"/>
    <col min="5" max="5" width="11.42578125" style="47"/>
    <col min="6" max="6" width="4.140625" style="60" bestFit="1" customWidth="1"/>
    <col min="7" max="16384" width="11.42578125" style="47"/>
  </cols>
  <sheetData>
    <row r="1" spans="1:7" x14ac:dyDescent="0.25">
      <c r="A1" s="51" t="s">
        <v>426</v>
      </c>
      <c r="B1" s="51"/>
      <c r="C1" s="51"/>
      <c r="D1" s="51"/>
      <c r="E1" s="51"/>
      <c r="F1" s="57"/>
      <c r="G1" s="51"/>
    </row>
    <row r="2" spans="1:7" ht="15.75" thickBot="1" x14ac:dyDescent="0.3">
      <c r="A2" s="111" t="s">
        <v>30</v>
      </c>
      <c r="B2" s="111"/>
      <c r="C2" s="111"/>
      <c r="D2" s="111"/>
      <c r="E2" s="112" t="s">
        <v>31</v>
      </c>
      <c r="F2" s="112"/>
      <c r="G2" s="112"/>
    </row>
    <row r="3" spans="1:7" ht="15.75" thickBot="1" x14ac:dyDescent="0.3">
      <c r="A3" s="47" t="s">
        <v>0</v>
      </c>
      <c r="B3" s="1" t="s">
        <v>428</v>
      </c>
      <c r="E3" s="15" t="e">
        <f>G4&amp;#REF!&amp;#REF!&amp;#REF!&amp;#REF!</f>
        <v>#REF!</v>
      </c>
      <c r="F3" s="58"/>
    </row>
    <row r="4" spans="1:7" x14ac:dyDescent="0.25">
      <c r="A4" s="47" t="s">
        <v>1</v>
      </c>
      <c r="B4" s="2" t="str">
        <f>HEX2BIN(LEFT(RIGHT($B$3,4),2),8)</f>
        <v>11100000</v>
      </c>
      <c r="C4" s="117" t="str">
        <f>LEFT(RIGHT(B4,8),2)</f>
        <v>11</v>
      </c>
      <c r="D4" s="8" t="s">
        <v>427</v>
      </c>
      <c r="E4" s="11">
        <v>0</v>
      </c>
      <c r="F4" s="59" t="s">
        <v>357</v>
      </c>
    </row>
    <row r="5" spans="1:7" x14ac:dyDescent="0.25">
      <c r="B5" s="4"/>
      <c r="C5" s="118"/>
      <c r="D5" s="9" t="str">
        <f>IF(C4="00","Not Used",IF(C4="10","EMV Contactless Application present",IF(C4="01","Legacy Contactless Application present",IF(C4="11","EMV Contactless Application and Legacy Contactless Application present",""))))</f>
        <v>EMV Contactless Application and Legacy Contactless Application present</v>
      </c>
      <c r="E5" s="12">
        <v>0</v>
      </c>
      <c r="F5" s="59" t="s">
        <v>359</v>
      </c>
    </row>
    <row r="6" spans="1:7" x14ac:dyDescent="0.25">
      <c r="B6" s="4"/>
      <c r="C6" s="38">
        <f>VALUE(LEFT(RIGHT($B$4,6),1))</f>
        <v>1</v>
      </c>
      <c r="D6" s="9" t="str">
        <f>"Processing Preference Indicator : " &amp; IF(C6="1","EMV Contactless Kernel is preferred.","Legacy Kernel is preferred")</f>
        <v>Processing Preference Indicator : Legacy Kernel is preferred</v>
      </c>
      <c r="E6" s="12">
        <v>0</v>
      </c>
      <c r="F6" s="59" t="s">
        <v>360</v>
      </c>
    </row>
    <row r="7" spans="1:7" x14ac:dyDescent="0.25">
      <c r="B7" s="4"/>
      <c r="C7" s="38">
        <f>VALUE(LEFT(RIGHT($B$4,5),1))</f>
        <v>0</v>
      </c>
      <c r="D7" s="9" t="s">
        <v>8</v>
      </c>
      <c r="E7" s="12">
        <v>0</v>
      </c>
      <c r="F7" s="59" t="s">
        <v>361</v>
      </c>
    </row>
    <row r="8" spans="1:7" x14ac:dyDescent="0.25">
      <c r="B8" s="4"/>
      <c r="C8" s="38">
        <f>VALUE(LEFT(RIGHT($B$4,4),1))</f>
        <v>0</v>
      </c>
      <c r="D8" s="9" t="s">
        <v>8</v>
      </c>
      <c r="E8" s="12">
        <v>0</v>
      </c>
      <c r="F8" s="59" t="s">
        <v>362</v>
      </c>
    </row>
    <row r="9" spans="1:7" x14ac:dyDescent="0.25">
      <c r="B9" s="4"/>
      <c r="C9" s="38">
        <f>VALUE(LEFT(RIGHT($B$4,3),1))</f>
        <v>0</v>
      </c>
      <c r="D9" s="9" t="s">
        <v>8</v>
      </c>
      <c r="E9" s="12">
        <v>1</v>
      </c>
      <c r="F9" s="59" t="s">
        <v>363</v>
      </c>
    </row>
    <row r="10" spans="1:7" x14ac:dyDescent="0.25">
      <c r="B10" s="4"/>
      <c r="C10" s="38">
        <f>VALUE(LEFT(RIGHT($B$4,2),1))</f>
        <v>0</v>
      </c>
      <c r="D10" s="9" t="s">
        <v>8</v>
      </c>
      <c r="E10" s="12">
        <v>0</v>
      </c>
      <c r="F10" s="59" t="s">
        <v>364</v>
      </c>
    </row>
    <row r="11" spans="1:7" ht="15.75" thickBot="1" x14ac:dyDescent="0.3">
      <c r="B11" s="6"/>
      <c r="C11" s="38">
        <f>VALUE(LEFT(RIGHT($B$4,1),1))</f>
        <v>0</v>
      </c>
      <c r="D11" s="9" t="s">
        <v>8</v>
      </c>
      <c r="E11" s="13">
        <v>0</v>
      </c>
      <c r="F11" s="59" t="s">
        <v>358</v>
      </c>
    </row>
    <row r="12" spans="1:7" ht="15.75" thickBot="1" x14ac:dyDescent="0.3">
      <c r="B12" s="69" t="str">
        <f>HEX2BIN(LEFT(RIGHT($B$3,2),2),8)</f>
        <v>00000100</v>
      </c>
      <c r="C12" s="70">
        <f>VALUE(LEFT(RIGHT($B$12,8),1))</f>
        <v>0</v>
      </c>
      <c r="D12" s="71" t="str">
        <f>IF(G12=0,"Noyau existant associé à l'ADF",IF(G12=1,"Noyau JCB",IF(G12=2,"Noyau PayPass",IF(G12=3,"Noyau Visa",IF(G12=4,"Noyau Amex","autre noyau")))))</f>
        <v>Noyau Amex</v>
      </c>
      <c r="E12" s="72">
        <v>0</v>
      </c>
      <c r="F12" s="59" t="s">
        <v>365</v>
      </c>
      <c r="G12" s="73">
        <f>BIN2DEC(B12)</f>
        <v>4</v>
      </c>
    </row>
    <row r="14" spans="1:7" x14ac:dyDescent="0.25">
      <c r="A14" s="51" t="s">
        <v>70</v>
      </c>
      <c r="B14" s="51"/>
      <c r="C14" s="51"/>
      <c r="D14" s="51"/>
      <c r="E14" s="51"/>
      <c r="F14" s="57"/>
      <c r="G14" s="51"/>
    </row>
    <row r="15" spans="1:7" ht="15.75" thickBot="1" x14ac:dyDescent="0.3">
      <c r="A15" s="111" t="s">
        <v>30</v>
      </c>
      <c r="B15" s="111"/>
      <c r="C15" s="111"/>
      <c r="D15" s="111"/>
      <c r="E15" s="112" t="s">
        <v>86</v>
      </c>
      <c r="F15" s="112"/>
      <c r="G15" s="112"/>
    </row>
    <row r="16" spans="1:7" ht="15.75" thickBot="1" x14ac:dyDescent="0.3">
      <c r="A16" s="47" t="s">
        <v>0</v>
      </c>
      <c r="B16" s="1" t="s">
        <v>143</v>
      </c>
      <c r="E16" s="15" t="str">
        <f>G17&amp;G25</f>
        <v>1900</v>
      </c>
      <c r="F16" s="61" t="s">
        <v>356</v>
      </c>
    </row>
    <row r="17" spans="1:7" x14ac:dyDescent="0.25">
      <c r="A17" s="47" t="s">
        <v>1</v>
      </c>
      <c r="B17" s="2" t="str">
        <f>HEX2BIN(LEFT(RIGHT($B$16,4),2),8)</f>
        <v>00111100</v>
      </c>
      <c r="C17" s="3" t="str">
        <f>LEFT(RIGHT($B$17,8),1)</f>
        <v>0</v>
      </c>
      <c r="D17" s="8" t="s">
        <v>8</v>
      </c>
      <c r="E17" s="11">
        <v>0</v>
      </c>
      <c r="F17" s="62" t="s">
        <v>357</v>
      </c>
      <c r="G17" s="47" t="str">
        <f>BIN2HEX(E17&amp;E18&amp;E19&amp;E20&amp;E21&amp;E22&amp;E23&amp;E24,2)</f>
        <v>19</v>
      </c>
    </row>
    <row r="18" spans="1:7" x14ac:dyDescent="0.25">
      <c r="B18" s="4"/>
      <c r="C18" s="5">
        <f>VALUE(LEFT(RIGHT($B$17,7),1))</f>
        <v>0</v>
      </c>
      <c r="D18" s="9" t="s">
        <v>82</v>
      </c>
      <c r="E18" s="12">
        <v>0</v>
      </c>
      <c r="F18" s="62" t="s">
        <v>359</v>
      </c>
    </row>
    <row r="19" spans="1:7" x14ac:dyDescent="0.25">
      <c r="B19" s="4"/>
      <c r="C19" s="5">
        <f>VALUE(LEFT(RIGHT($B$17,6),1))</f>
        <v>1</v>
      </c>
      <c r="D19" s="9" t="s">
        <v>83</v>
      </c>
      <c r="E19" s="12">
        <v>0</v>
      </c>
      <c r="F19" s="62" t="s">
        <v>360</v>
      </c>
    </row>
    <row r="20" spans="1:7" x14ac:dyDescent="0.25">
      <c r="B20" s="4"/>
      <c r="C20" s="5">
        <f>VALUE(LEFT(RIGHT($B$17,5),1))</f>
        <v>1</v>
      </c>
      <c r="D20" s="9" t="s">
        <v>84</v>
      </c>
      <c r="E20" s="12">
        <v>1</v>
      </c>
      <c r="F20" s="62" t="s">
        <v>361</v>
      </c>
    </row>
    <row r="21" spans="1:7" x14ac:dyDescent="0.25">
      <c r="B21" s="4"/>
      <c r="C21" s="5">
        <f>VALUE(LEFT(RIGHT($B$17,4),1))</f>
        <v>1</v>
      </c>
      <c r="D21" s="9" t="s">
        <v>87</v>
      </c>
      <c r="E21" s="12">
        <v>1</v>
      </c>
      <c r="F21" s="62" t="s">
        <v>362</v>
      </c>
    </row>
    <row r="22" spans="1:7" x14ac:dyDescent="0.25">
      <c r="B22" s="4"/>
      <c r="C22" s="5">
        <f>VALUE(LEFT(RIGHT($B$17,3),1))</f>
        <v>1</v>
      </c>
      <c r="D22" s="9" t="s">
        <v>88</v>
      </c>
      <c r="E22" s="12">
        <v>0</v>
      </c>
      <c r="F22" s="62" t="s">
        <v>363</v>
      </c>
    </row>
    <row r="23" spans="1:7" x14ac:dyDescent="0.25">
      <c r="B23" s="4"/>
      <c r="C23" s="5">
        <f>VALUE(LEFT(RIGHT($B$17,2),1))</f>
        <v>0</v>
      </c>
      <c r="D23" s="9" t="s">
        <v>8</v>
      </c>
      <c r="E23" s="12">
        <v>0</v>
      </c>
      <c r="F23" s="62" t="s">
        <v>364</v>
      </c>
    </row>
    <row r="24" spans="1:7" ht="15.75" thickBot="1" x14ac:dyDescent="0.3">
      <c r="B24" s="6"/>
      <c r="C24" s="7">
        <f>VALUE(LEFT(RIGHT($B$17,1),1))</f>
        <v>0</v>
      </c>
      <c r="D24" s="10" t="s">
        <v>89</v>
      </c>
      <c r="E24" s="13">
        <v>1</v>
      </c>
      <c r="F24" s="62" t="s">
        <v>358</v>
      </c>
    </row>
    <row r="25" spans="1:7" x14ac:dyDescent="0.25">
      <c r="B25" s="2" t="str">
        <f>HEX2BIN(LEFT(RIGHT($B$16,2),2),8)</f>
        <v>00000000</v>
      </c>
      <c r="C25" s="3">
        <f>VALUE(LEFT(RIGHT($B$25,8),1))</f>
        <v>0</v>
      </c>
      <c r="D25" s="26" t="s">
        <v>85</v>
      </c>
      <c r="E25" s="11">
        <v>0</v>
      </c>
      <c r="F25" s="60" t="s">
        <v>365</v>
      </c>
      <c r="G25" s="47" t="str">
        <f>BIN2HEX(E25&amp;E26&amp;E27&amp;E28&amp;E29&amp;E30&amp;E31&amp;E32,2)</f>
        <v>00</v>
      </c>
    </row>
    <row r="26" spans="1:7" x14ac:dyDescent="0.25">
      <c r="B26" s="4"/>
      <c r="C26" s="5">
        <f>VALUE(LEFT(RIGHT($B$25,7),1))</f>
        <v>0</v>
      </c>
      <c r="D26" s="9" t="s">
        <v>8</v>
      </c>
      <c r="E26" s="12">
        <v>0</v>
      </c>
      <c r="F26" s="60" t="s">
        <v>366</v>
      </c>
    </row>
    <row r="27" spans="1:7" x14ac:dyDescent="0.25">
      <c r="B27" s="4"/>
      <c r="C27" s="5">
        <f>VALUE(LEFT(RIGHT($B$25,6),1))</f>
        <v>0</v>
      </c>
      <c r="D27" s="9" t="s">
        <v>8</v>
      </c>
      <c r="E27" s="12">
        <v>0</v>
      </c>
      <c r="F27" s="60" t="s">
        <v>367</v>
      </c>
    </row>
    <row r="28" spans="1:7" x14ac:dyDescent="0.25">
      <c r="B28" s="4"/>
      <c r="C28" s="5">
        <f>VALUE(LEFT(RIGHT($B$25,5),1))</f>
        <v>0</v>
      </c>
      <c r="D28" s="9" t="s">
        <v>8</v>
      </c>
      <c r="E28" s="12">
        <v>0</v>
      </c>
      <c r="F28" s="60" t="s">
        <v>368</v>
      </c>
    </row>
    <row r="29" spans="1:7" x14ac:dyDescent="0.25">
      <c r="B29" s="4"/>
      <c r="C29" s="5">
        <f>VALUE(LEFT(RIGHT($B$25,4),1))</f>
        <v>0</v>
      </c>
      <c r="D29" s="9" t="s">
        <v>8</v>
      </c>
      <c r="E29" s="12">
        <v>0</v>
      </c>
      <c r="F29" s="60" t="s">
        <v>369</v>
      </c>
    </row>
    <row r="30" spans="1:7" x14ac:dyDescent="0.25">
      <c r="B30" s="4"/>
      <c r="C30" s="5">
        <f>VALUE(LEFT(RIGHT($B$25,3),1))</f>
        <v>0</v>
      </c>
      <c r="D30" s="9" t="s">
        <v>8</v>
      </c>
      <c r="E30" s="12">
        <v>0</v>
      </c>
      <c r="F30" s="60" t="s">
        <v>370</v>
      </c>
    </row>
    <row r="31" spans="1:7" x14ac:dyDescent="0.25">
      <c r="B31" s="4"/>
      <c r="C31" s="5">
        <f>VALUE(LEFT(RIGHT($B$25,2),1))</f>
        <v>0</v>
      </c>
      <c r="D31" s="9" t="s">
        <v>8</v>
      </c>
      <c r="E31" s="12">
        <v>0</v>
      </c>
      <c r="F31" s="60" t="s">
        <v>371</v>
      </c>
    </row>
    <row r="32" spans="1:7" ht="15.75" thickBot="1" x14ac:dyDescent="0.3">
      <c r="B32" s="6"/>
      <c r="C32" s="7">
        <f>VALUE(LEFT(RIGHT($B$25,1),1))</f>
        <v>0</v>
      </c>
      <c r="D32" s="10" t="s">
        <v>8</v>
      </c>
      <c r="E32" s="13">
        <v>0</v>
      </c>
      <c r="F32" s="60" t="s">
        <v>372</v>
      </c>
    </row>
  </sheetData>
  <mergeCells count="5">
    <mergeCell ref="A2:D2"/>
    <mergeCell ref="E2:G2"/>
    <mergeCell ref="A15:D15"/>
    <mergeCell ref="E15:G15"/>
    <mergeCell ref="C4:C5"/>
  </mergeCells>
  <conditionalFormatting sqref="C17:C32">
    <cfRule type="iconSet" priority="1">
      <iconSet iconSet="3Symbols2">
        <cfvo type="percent" val="0"/>
        <cfvo type="percent" val="33"/>
        <cfvo type="percent" val="67"/>
      </iconSet>
    </cfRule>
  </conditionalFormatting>
  <conditionalFormatting sqref="C4 C6:C12">
    <cfRule type="iconSet" priority="8">
      <iconSet iconSet="3Symbols2" showValue="0" reverse="1">
        <cfvo type="percent" val="0"/>
        <cfvo type="percent" val="33"/>
        <cfvo type="percent" val="67"/>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2:K11"/>
  <sheetViews>
    <sheetView workbookViewId="0">
      <selection activeCell="C5" sqref="C5"/>
    </sheetView>
  </sheetViews>
  <sheetFormatPr baseColWidth="10" defaultRowHeight="15" x14ac:dyDescent="0.25"/>
  <cols>
    <col min="1" max="4" width="4" style="21" bestFit="1" customWidth="1"/>
    <col min="5" max="5" width="6" style="21" bestFit="1" customWidth="1"/>
    <col min="6" max="6" width="3.5703125" customWidth="1"/>
    <col min="7" max="7" width="13.85546875" bestFit="1" customWidth="1"/>
  </cols>
  <sheetData>
    <row r="2" spans="1:11" ht="15.75" thickBot="1" x14ac:dyDescent="0.3">
      <c r="A2" s="21" t="str">
        <f>LEFT(G3,2)</f>
        <v>C0</v>
      </c>
      <c r="B2" s="21" t="str">
        <f>RIGHT(LEFT(G3,4),2)</f>
        <v>A8</v>
      </c>
      <c r="C2" s="21" t="str">
        <f>RIGHT(LEFT(G3,6),2)</f>
        <v>00</v>
      </c>
      <c r="D2" s="21" t="str">
        <f>RIGHT(LEFT(G3,8),2)</f>
        <v>51</v>
      </c>
      <c r="E2" s="21" t="str">
        <f>RIGHT(LEFT(G3,12),4)</f>
        <v>0390</v>
      </c>
    </row>
    <row r="3" spans="1:11" ht="15.75" thickBot="1" x14ac:dyDescent="0.3">
      <c r="A3" s="24">
        <f>HEX2DEC(A2)</f>
        <v>192</v>
      </c>
      <c r="B3" s="24">
        <f>HEX2DEC(B2)</f>
        <v>168</v>
      </c>
      <c r="C3" s="24">
        <f>HEX2DEC(C2)</f>
        <v>0</v>
      </c>
      <c r="D3" s="24">
        <f>HEX2DEC(D2)</f>
        <v>81</v>
      </c>
      <c r="E3" s="24">
        <f>HEX2DEC(E2)</f>
        <v>912</v>
      </c>
      <c r="G3" s="14" t="s">
        <v>516</v>
      </c>
    </row>
    <row r="5" spans="1:11" x14ac:dyDescent="0.25">
      <c r="A5" s="23">
        <v>127</v>
      </c>
      <c r="B5" s="23">
        <v>0</v>
      </c>
      <c r="C5" s="23">
        <v>0</v>
      </c>
      <c r="D5" s="23">
        <v>1</v>
      </c>
      <c r="E5" s="23">
        <v>912</v>
      </c>
    </row>
    <row r="6" spans="1:11" x14ac:dyDescent="0.25">
      <c r="A6" s="21" t="str">
        <f>DEC2HEX(A5,2)</f>
        <v>7F</v>
      </c>
      <c r="B6" s="21" t="str">
        <f>DEC2HEX(B5,2)</f>
        <v>00</v>
      </c>
      <c r="C6" s="21" t="str">
        <f>DEC2HEX(C5,2)</f>
        <v>00</v>
      </c>
      <c r="D6" s="21" t="str">
        <f>DEC2HEX(D5,2)</f>
        <v>01</v>
      </c>
      <c r="E6" s="21" t="str">
        <f>DEC2HEX(E5,4)</f>
        <v>0390</v>
      </c>
      <c r="G6" s="22" t="str">
        <f>A6&amp;B6&amp;C6&amp;D6&amp;E6</f>
        <v>7F0000010390</v>
      </c>
    </row>
    <row r="8" spans="1:11" x14ac:dyDescent="0.25">
      <c r="I8" t="s">
        <v>517</v>
      </c>
    </row>
    <row r="11" spans="1:11" x14ac:dyDescent="0.25">
      <c r="K11" s="8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dimension ref="A1:T20"/>
  <sheetViews>
    <sheetView zoomScale="75" zoomScaleNormal="75" workbookViewId="0">
      <selection activeCell="E47" sqref="E47"/>
    </sheetView>
  </sheetViews>
  <sheetFormatPr baseColWidth="10" defaultRowHeight="15" x14ac:dyDescent="0.25"/>
  <cols>
    <col min="1" max="1" width="7" bestFit="1" customWidth="1"/>
    <col min="2" max="2" width="15.5703125" bestFit="1" customWidth="1"/>
    <col min="3" max="3" width="11.42578125" bestFit="1" customWidth="1"/>
    <col min="4" max="4" width="7" style="47" bestFit="1" customWidth="1"/>
    <col min="5" max="5" width="49.28515625" bestFit="1" customWidth="1"/>
    <col min="6" max="6" width="7" style="47" bestFit="1" customWidth="1"/>
    <col min="7" max="7" width="23" bestFit="1" customWidth="1"/>
    <col min="8" max="8" width="31" bestFit="1" customWidth="1"/>
    <col min="10" max="10" width="75.7109375" bestFit="1" customWidth="1"/>
  </cols>
  <sheetData>
    <row r="1" spans="1:20" s="47" customFormat="1" x14ac:dyDescent="0.25">
      <c r="A1" s="119" t="s">
        <v>198</v>
      </c>
      <c r="B1" s="120"/>
      <c r="C1" s="120"/>
      <c r="D1" s="120"/>
      <c r="E1" s="120"/>
      <c r="F1" s="120"/>
      <c r="G1" s="120"/>
      <c r="H1" s="121"/>
      <c r="I1" s="103"/>
      <c r="J1" s="47" t="s">
        <v>521</v>
      </c>
      <c r="K1" s="103"/>
      <c r="L1" s="103"/>
      <c r="M1" s="103"/>
      <c r="N1" s="103"/>
      <c r="O1" s="103"/>
      <c r="P1" s="103"/>
      <c r="Q1" s="103"/>
      <c r="R1" s="103"/>
      <c r="S1" s="103"/>
      <c r="T1" s="103"/>
    </row>
    <row r="2" spans="1:20" s="47" customFormat="1" x14ac:dyDescent="0.25">
      <c r="A2" s="122"/>
      <c r="B2" s="123"/>
      <c r="C2" s="123"/>
      <c r="D2" s="123"/>
      <c r="E2" s="123"/>
      <c r="F2" s="123"/>
      <c r="G2" s="123"/>
      <c r="H2" s="124"/>
      <c r="I2" s="104"/>
      <c r="J2" s="47" t="s">
        <v>522</v>
      </c>
      <c r="K2" s="104"/>
      <c r="L2" s="104"/>
      <c r="M2" s="104"/>
      <c r="N2" s="104"/>
      <c r="O2" s="104"/>
      <c r="P2" s="104"/>
      <c r="Q2" s="104"/>
      <c r="R2" s="104"/>
      <c r="S2" s="104"/>
      <c r="T2" s="104"/>
    </row>
    <row r="3" spans="1:20" x14ac:dyDescent="0.25">
      <c r="A3" s="105" t="s">
        <v>90</v>
      </c>
      <c r="B3" s="107" t="s">
        <v>91</v>
      </c>
      <c r="C3" s="108"/>
      <c r="D3" s="105" t="s">
        <v>90</v>
      </c>
      <c r="E3" s="105" t="s">
        <v>92</v>
      </c>
      <c r="F3" s="105" t="s">
        <v>90</v>
      </c>
      <c r="G3" s="109" t="s">
        <v>93</v>
      </c>
      <c r="H3" s="108"/>
      <c r="I3" s="32"/>
      <c r="J3" s="47" t="s">
        <v>523</v>
      </c>
    </row>
    <row r="4" spans="1:20" x14ac:dyDescent="0.25">
      <c r="A4" s="106"/>
      <c r="B4" s="110" t="s">
        <v>94</v>
      </c>
      <c r="C4" s="110" t="s">
        <v>95</v>
      </c>
      <c r="D4" s="106"/>
      <c r="E4" s="110" t="s">
        <v>96</v>
      </c>
      <c r="F4" s="106"/>
      <c r="G4" s="108" t="s">
        <v>97</v>
      </c>
      <c r="H4" s="110" t="s">
        <v>98</v>
      </c>
      <c r="J4" s="47" t="s">
        <v>524</v>
      </c>
    </row>
    <row r="5" spans="1:20" x14ac:dyDescent="0.25">
      <c r="A5" s="82">
        <v>0</v>
      </c>
      <c r="B5" s="82" t="s">
        <v>99</v>
      </c>
      <c r="C5" s="83" t="s">
        <v>99</v>
      </c>
      <c r="D5" s="82">
        <v>0</v>
      </c>
      <c r="E5" s="96" t="s">
        <v>100</v>
      </c>
      <c r="F5" s="102">
        <v>0</v>
      </c>
      <c r="G5" s="94" t="s">
        <v>101</v>
      </c>
      <c r="H5" s="99" t="s">
        <v>102</v>
      </c>
      <c r="J5" s="47" t="s">
        <v>525</v>
      </c>
    </row>
    <row r="6" spans="1:20" x14ac:dyDescent="0.25">
      <c r="A6" s="84">
        <v>1</v>
      </c>
      <c r="B6" s="95" t="s">
        <v>103</v>
      </c>
      <c r="C6" s="85"/>
      <c r="D6" s="84">
        <v>1</v>
      </c>
      <c r="E6" s="86" t="s">
        <v>104</v>
      </c>
      <c r="F6" s="86">
        <v>1</v>
      </c>
      <c r="G6" s="87" t="s">
        <v>105</v>
      </c>
      <c r="H6" s="85"/>
      <c r="J6" s="47" t="s">
        <v>526</v>
      </c>
    </row>
    <row r="7" spans="1:20" x14ac:dyDescent="0.25">
      <c r="A7" s="100">
        <v>2</v>
      </c>
      <c r="B7" s="95" t="s">
        <v>103</v>
      </c>
      <c r="C7" s="98" t="s">
        <v>106</v>
      </c>
      <c r="D7" s="84">
        <v>2</v>
      </c>
      <c r="E7" s="97" t="s">
        <v>107</v>
      </c>
      <c r="F7" s="86">
        <v>2</v>
      </c>
      <c r="G7" s="87" t="s">
        <v>108</v>
      </c>
      <c r="H7" s="85"/>
      <c r="J7" s="47" t="s">
        <v>527</v>
      </c>
    </row>
    <row r="8" spans="1:20" x14ac:dyDescent="0.25">
      <c r="A8" s="84">
        <v>3</v>
      </c>
      <c r="B8" s="84"/>
      <c r="C8" s="85"/>
      <c r="D8" s="84">
        <v>3</v>
      </c>
      <c r="E8" s="86"/>
      <c r="F8" s="101">
        <v>3</v>
      </c>
      <c r="G8" s="92" t="s">
        <v>109</v>
      </c>
      <c r="H8" s="98" t="s">
        <v>102</v>
      </c>
      <c r="J8" s="47" t="s">
        <v>528</v>
      </c>
    </row>
    <row r="9" spans="1:20" s="33" customFormat="1" x14ac:dyDescent="0.25">
      <c r="A9" s="84">
        <v>4</v>
      </c>
      <c r="B9" s="84"/>
      <c r="C9" s="85"/>
      <c r="D9" s="84">
        <v>4</v>
      </c>
      <c r="E9" s="97" t="s">
        <v>110</v>
      </c>
      <c r="F9" s="86">
        <v>4</v>
      </c>
      <c r="G9" s="87" t="s">
        <v>111</v>
      </c>
      <c r="H9" s="85"/>
      <c r="J9" s="47" t="s">
        <v>529</v>
      </c>
      <c r="K9"/>
      <c r="L9"/>
    </row>
    <row r="10" spans="1:20" x14ac:dyDescent="0.25">
      <c r="A10" s="84">
        <v>5</v>
      </c>
      <c r="B10" s="84" t="s">
        <v>112</v>
      </c>
      <c r="C10" s="85"/>
      <c r="D10" s="84">
        <v>5</v>
      </c>
      <c r="E10" s="86"/>
      <c r="F10" s="101">
        <v>5</v>
      </c>
      <c r="G10" s="92" t="s">
        <v>108</v>
      </c>
      <c r="H10" s="98" t="s">
        <v>102</v>
      </c>
      <c r="J10" s="47" t="s">
        <v>530</v>
      </c>
    </row>
    <row r="11" spans="1:20" ht="12.75" customHeight="1" x14ac:dyDescent="0.25">
      <c r="A11" s="100">
        <v>6</v>
      </c>
      <c r="B11" s="84" t="s">
        <v>112</v>
      </c>
      <c r="C11" s="98" t="s">
        <v>106</v>
      </c>
      <c r="D11" s="84">
        <v>6</v>
      </c>
      <c r="E11" s="86"/>
      <c r="F11" s="86">
        <v>6</v>
      </c>
      <c r="G11" s="92" t="s">
        <v>101</v>
      </c>
      <c r="H11" s="93" t="s">
        <v>113</v>
      </c>
    </row>
    <row r="12" spans="1:20" x14ac:dyDescent="0.25">
      <c r="A12" s="84">
        <v>7</v>
      </c>
      <c r="B12" s="84" t="s">
        <v>114</v>
      </c>
      <c r="C12" s="85"/>
      <c r="D12" s="84">
        <v>7</v>
      </c>
      <c r="E12" s="86"/>
      <c r="F12" s="86">
        <v>7</v>
      </c>
      <c r="G12" s="92" t="s">
        <v>108</v>
      </c>
      <c r="H12" s="93" t="s">
        <v>113</v>
      </c>
      <c r="J12" s="47" t="s">
        <v>531</v>
      </c>
    </row>
    <row r="13" spans="1:20" x14ac:dyDescent="0.25">
      <c r="A13" s="84">
        <v>8</v>
      </c>
      <c r="B13" s="84"/>
      <c r="C13" s="85"/>
      <c r="D13" s="84">
        <v>8</v>
      </c>
      <c r="E13" s="86"/>
      <c r="F13" s="86">
        <v>8</v>
      </c>
      <c r="G13" s="87"/>
      <c r="H13" s="85"/>
      <c r="J13" s="47" t="s">
        <v>532</v>
      </c>
    </row>
    <row r="14" spans="1:20" x14ac:dyDescent="0.25">
      <c r="A14" s="88">
        <v>9</v>
      </c>
      <c r="B14" s="88" t="s">
        <v>115</v>
      </c>
      <c r="C14" s="89"/>
      <c r="D14" s="88">
        <v>9</v>
      </c>
      <c r="E14" s="90"/>
      <c r="F14" s="90">
        <v>9</v>
      </c>
      <c r="G14" s="91"/>
      <c r="H14" s="89"/>
      <c r="J14" s="47" t="s">
        <v>533</v>
      </c>
    </row>
    <row r="15" spans="1:20" x14ac:dyDescent="0.25">
      <c r="A15" s="81"/>
      <c r="B15" s="81"/>
      <c r="C15" s="81"/>
      <c r="D15" s="81"/>
      <c r="E15" s="81"/>
      <c r="F15" s="81"/>
      <c r="G15" s="81"/>
      <c r="H15" s="81"/>
      <c r="J15" s="47" t="s">
        <v>534</v>
      </c>
    </row>
    <row r="16" spans="1:20" x14ac:dyDescent="0.25">
      <c r="J16" s="47" t="s">
        <v>535</v>
      </c>
    </row>
    <row r="17" spans="10:10" x14ac:dyDescent="0.25">
      <c r="J17" s="47" t="s">
        <v>536</v>
      </c>
    </row>
    <row r="18" spans="10:10" x14ac:dyDescent="0.25">
      <c r="J18" s="47" t="s">
        <v>537</v>
      </c>
    </row>
    <row r="19" spans="10:10" x14ac:dyDescent="0.25">
      <c r="J19" s="47" t="s">
        <v>538</v>
      </c>
    </row>
    <row r="20" spans="10:10" x14ac:dyDescent="0.25">
      <c r="J20" s="47" t="s">
        <v>539</v>
      </c>
    </row>
  </sheetData>
  <mergeCells count="2">
    <mergeCell ref="A1:H1"/>
    <mergeCell ref="A2:H2"/>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K111"/>
  <sheetViews>
    <sheetView workbookViewId="0">
      <pane ySplit="585" topLeftCell="A49" activePane="bottomLeft"/>
      <selection activeCell="G34" sqref="G34"/>
      <selection pane="bottomLeft" activeCell="F25" sqref="F25"/>
    </sheetView>
  </sheetViews>
  <sheetFormatPr baseColWidth="10" defaultRowHeight="15" x14ac:dyDescent="0.25"/>
  <cols>
    <col min="1" max="1" width="11.42578125" style="56"/>
    <col min="2" max="2" width="53.28515625" style="47" bestFit="1" customWidth="1"/>
    <col min="3" max="5" width="0" style="47" hidden="1" customWidth="1"/>
    <col min="6" max="7" width="11.42578125" style="47"/>
    <col min="8" max="8" width="78" style="25" bestFit="1" customWidth="1"/>
    <col min="9" max="9" width="13.28515625" style="47" customWidth="1"/>
    <col min="10" max="10" width="91.28515625" style="47" customWidth="1"/>
    <col min="11" max="16384" width="11.42578125" style="47"/>
  </cols>
  <sheetData>
    <row r="1" spans="1:11" x14ac:dyDescent="0.25">
      <c r="A1" s="56" t="s">
        <v>355</v>
      </c>
      <c r="B1" s="47" t="s">
        <v>354</v>
      </c>
      <c r="C1" s="47" t="s">
        <v>353</v>
      </c>
      <c r="D1" s="47" t="s">
        <v>352</v>
      </c>
      <c r="E1" s="47" t="s">
        <v>351</v>
      </c>
      <c r="F1" s="47" t="s">
        <v>350</v>
      </c>
      <c r="G1" s="47" t="s">
        <v>412</v>
      </c>
      <c r="H1" s="25" t="s">
        <v>373</v>
      </c>
      <c r="I1" s="47" t="s">
        <v>75</v>
      </c>
      <c r="J1" s="47" t="s">
        <v>374</v>
      </c>
      <c r="K1" s="47" t="s">
        <v>413</v>
      </c>
    </row>
    <row r="2" spans="1:11" x14ac:dyDescent="0.25">
      <c r="A2" s="56" t="s">
        <v>158</v>
      </c>
      <c r="B2" s="47" t="s">
        <v>349</v>
      </c>
      <c r="C2" s="47" t="s">
        <v>144</v>
      </c>
      <c r="D2" s="47" t="s">
        <v>146</v>
      </c>
      <c r="E2" s="47" t="s">
        <v>145</v>
      </c>
      <c r="F2" s="47" t="s">
        <v>144</v>
      </c>
      <c r="G2" s="56"/>
      <c r="H2" s="47" t="s">
        <v>192</v>
      </c>
      <c r="I2" s="47" t="s">
        <v>144</v>
      </c>
    </row>
    <row r="3" spans="1:11" x14ac:dyDescent="0.25">
      <c r="A3" s="56" t="s">
        <v>158</v>
      </c>
      <c r="B3" s="47" t="s">
        <v>314</v>
      </c>
      <c r="C3" s="47" t="s">
        <v>144</v>
      </c>
      <c r="D3" s="47" t="s">
        <v>146</v>
      </c>
      <c r="E3" s="47" t="s">
        <v>145</v>
      </c>
      <c r="F3" s="47" t="s">
        <v>144</v>
      </c>
      <c r="G3" s="56"/>
      <c r="H3" s="47"/>
      <c r="I3" s="47" t="s">
        <v>144</v>
      </c>
    </row>
    <row r="4" spans="1:11" x14ac:dyDescent="0.25">
      <c r="A4" s="56" t="s">
        <v>158</v>
      </c>
      <c r="B4" s="47" t="s">
        <v>268</v>
      </c>
      <c r="C4" s="47" t="s">
        <v>144</v>
      </c>
      <c r="D4" s="47" t="s">
        <v>146</v>
      </c>
      <c r="E4" s="47" t="s">
        <v>158</v>
      </c>
      <c r="F4" s="47" t="s">
        <v>157</v>
      </c>
      <c r="G4" s="56"/>
      <c r="H4" s="47"/>
      <c r="I4" s="47" t="s">
        <v>144</v>
      </c>
    </row>
    <row r="5" spans="1:11" x14ac:dyDescent="0.25">
      <c r="A5" s="56" t="s">
        <v>158</v>
      </c>
      <c r="B5" s="47" t="s">
        <v>267</v>
      </c>
      <c r="C5" s="47" t="s">
        <v>144</v>
      </c>
      <c r="D5" s="47" t="s">
        <v>146</v>
      </c>
      <c r="E5" s="47" t="s">
        <v>145</v>
      </c>
      <c r="F5" s="47" t="s">
        <v>144</v>
      </c>
      <c r="G5" s="56"/>
      <c r="H5" s="47"/>
      <c r="I5" s="47" t="s">
        <v>144</v>
      </c>
    </row>
    <row r="6" spans="1:11" x14ac:dyDescent="0.25">
      <c r="A6" s="56" t="s">
        <v>158</v>
      </c>
      <c r="B6" s="47" t="s">
        <v>266</v>
      </c>
      <c r="C6" s="47" t="s">
        <v>153</v>
      </c>
      <c r="D6" s="47" t="s">
        <v>146</v>
      </c>
      <c r="E6" s="47" t="s">
        <v>145</v>
      </c>
      <c r="F6" s="47" t="s">
        <v>156</v>
      </c>
      <c r="G6" s="56"/>
      <c r="H6" s="47"/>
      <c r="I6" s="47" t="s">
        <v>156</v>
      </c>
    </row>
    <row r="7" spans="1:11" x14ac:dyDescent="0.25">
      <c r="A7" s="56" t="s">
        <v>158</v>
      </c>
      <c r="B7" s="47" t="s">
        <v>259</v>
      </c>
      <c r="C7" s="47" t="s">
        <v>153</v>
      </c>
      <c r="D7" s="47" t="s">
        <v>146</v>
      </c>
      <c r="E7" s="47" t="s">
        <v>145</v>
      </c>
      <c r="F7" s="47" t="s">
        <v>144</v>
      </c>
      <c r="G7" s="56"/>
      <c r="H7" s="47"/>
      <c r="I7" s="47" t="s">
        <v>144</v>
      </c>
    </row>
    <row r="8" spans="1:11" x14ac:dyDescent="0.25">
      <c r="A8" s="56" t="s">
        <v>158</v>
      </c>
      <c r="B8" s="47" t="s">
        <v>228</v>
      </c>
      <c r="C8" s="47" t="s">
        <v>144</v>
      </c>
      <c r="D8" s="47" t="s">
        <v>146</v>
      </c>
      <c r="E8" s="47" t="s">
        <v>145</v>
      </c>
      <c r="F8" s="47" t="s">
        <v>156</v>
      </c>
      <c r="G8" s="56"/>
      <c r="H8" s="47"/>
      <c r="I8" s="47" t="s">
        <v>144</v>
      </c>
    </row>
    <row r="9" spans="1:11" x14ac:dyDescent="0.25">
      <c r="A9" s="56" t="s">
        <v>158</v>
      </c>
      <c r="B9" s="47" t="s">
        <v>225</v>
      </c>
      <c r="C9" s="47" t="s">
        <v>144</v>
      </c>
      <c r="D9" s="47" t="s">
        <v>146</v>
      </c>
      <c r="E9" s="47" t="s">
        <v>145</v>
      </c>
      <c r="F9" s="47" t="s">
        <v>156</v>
      </c>
      <c r="G9" s="56"/>
      <c r="H9" s="47"/>
      <c r="I9" s="47" t="s">
        <v>144</v>
      </c>
    </row>
    <row r="10" spans="1:11" x14ac:dyDescent="0.25">
      <c r="A10" s="56" t="s">
        <v>158</v>
      </c>
      <c r="B10" s="47" t="s">
        <v>224</v>
      </c>
      <c r="C10" s="47" t="s">
        <v>144</v>
      </c>
      <c r="D10" s="47" t="s">
        <v>146</v>
      </c>
      <c r="E10" s="47" t="s">
        <v>145</v>
      </c>
      <c r="F10" s="47" t="s">
        <v>156</v>
      </c>
      <c r="G10" s="56"/>
      <c r="H10" s="47"/>
      <c r="I10" s="47" t="s">
        <v>144</v>
      </c>
    </row>
    <row r="11" spans="1:11" x14ac:dyDescent="0.25">
      <c r="A11" s="56" t="s">
        <v>158</v>
      </c>
      <c r="B11" s="47" t="s">
        <v>204</v>
      </c>
      <c r="C11" s="47" t="s">
        <v>153</v>
      </c>
      <c r="D11" s="47" t="s">
        <v>146</v>
      </c>
      <c r="E11" s="47" t="s">
        <v>168</v>
      </c>
      <c r="F11" s="47" t="s">
        <v>144</v>
      </c>
      <c r="G11" s="56"/>
      <c r="H11" s="47"/>
      <c r="I11" s="47" t="s">
        <v>144</v>
      </c>
    </row>
    <row r="12" spans="1:11" ht="45" x14ac:dyDescent="0.25">
      <c r="A12" s="56" t="s">
        <v>158</v>
      </c>
      <c r="B12" s="47" t="s">
        <v>203</v>
      </c>
      <c r="C12" s="47" t="s">
        <v>144</v>
      </c>
      <c r="D12" s="47" t="s">
        <v>190</v>
      </c>
      <c r="E12" s="47" t="s">
        <v>145</v>
      </c>
      <c r="F12" s="47" t="s">
        <v>144</v>
      </c>
      <c r="G12" s="56"/>
      <c r="H12" s="25" t="s">
        <v>423</v>
      </c>
      <c r="I12" s="47" t="s">
        <v>144</v>
      </c>
    </row>
    <row r="13" spans="1:11" x14ac:dyDescent="0.25">
      <c r="A13" s="56" t="s">
        <v>158</v>
      </c>
      <c r="B13" s="47" t="s">
        <v>200</v>
      </c>
      <c r="C13" s="47" t="s">
        <v>153</v>
      </c>
      <c r="D13" s="47" t="s">
        <v>146</v>
      </c>
      <c r="E13" s="47" t="s">
        <v>168</v>
      </c>
      <c r="F13" s="47" t="s">
        <v>144</v>
      </c>
      <c r="G13" s="56"/>
      <c r="H13" s="47"/>
      <c r="I13" s="47" t="s">
        <v>144</v>
      </c>
    </row>
    <row r="14" spans="1:11" x14ac:dyDescent="0.25">
      <c r="A14" s="56" t="s">
        <v>158</v>
      </c>
      <c r="B14" s="47" t="s">
        <v>194</v>
      </c>
      <c r="C14" s="47" t="s">
        <v>144</v>
      </c>
      <c r="D14" s="47" t="s">
        <v>146</v>
      </c>
      <c r="E14" s="47" t="s">
        <v>145</v>
      </c>
      <c r="F14" s="47" t="s">
        <v>156</v>
      </c>
      <c r="G14" s="56"/>
      <c r="H14" s="47" t="s">
        <v>192</v>
      </c>
      <c r="I14" s="47" t="s">
        <v>144</v>
      </c>
    </row>
    <row r="15" spans="1:11" x14ac:dyDescent="0.25">
      <c r="A15" s="56" t="s">
        <v>158</v>
      </c>
      <c r="B15" s="47" t="s">
        <v>193</v>
      </c>
      <c r="C15" s="47" t="s">
        <v>144</v>
      </c>
      <c r="D15" s="47" t="s">
        <v>146</v>
      </c>
      <c r="E15" s="47" t="s">
        <v>145</v>
      </c>
      <c r="F15" s="47" t="s">
        <v>144</v>
      </c>
      <c r="G15" s="56"/>
      <c r="H15" s="47" t="s">
        <v>192</v>
      </c>
      <c r="I15" s="47" t="s">
        <v>144</v>
      </c>
    </row>
    <row r="16" spans="1:11" x14ac:dyDescent="0.25">
      <c r="A16" s="56" t="s">
        <v>158</v>
      </c>
      <c r="B16" s="47" t="s">
        <v>191</v>
      </c>
      <c r="C16" s="47" t="s">
        <v>144</v>
      </c>
      <c r="D16" s="47" t="s">
        <v>190</v>
      </c>
      <c r="E16" s="47" t="s">
        <v>145</v>
      </c>
      <c r="F16" s="47" t="s">
        <v>144</v>
      </c>
      <c r="G16" s="56"/>
      <c r="H16" s="47"/>
      <c r="I16" s="47" t="s">
        <v>144</v>
      </c>
    </row>
    <row r="17" spans="1:11" x14ac:dyDescent="0.25">
      <c r="A17" s="56" t="s">
        <v>158</v>
      </c>
      <c r="B17" s="47" t="s">
        <v>189</v>
      </c>
      <c r="C17" s="47" t="s">
        <v>144</v>
      </c>
      <c r="D17" s="47" t="s">
        <v>146</v>
      </c>
      <c r="E17" s="47" t="s">
        <v>145</v>
      </c>
      <c r="F17" s="47" t="s">
        <v>144</v>
      </c>
      <c r="G17" s="56"/>
      <c r="H17" s="47"/>
      <c r="I17" s="47" t="s">
        <v>144</v>
      </c>
    </row>
    <row r="18" spans="1:11" x14ac:dyDescent="0.25">
      <c r="A18" s="56" t="s">
        <v>329</v>
      </c>
      <c r="B18" s="47" t="s">
        <v>328</v>
      </c>
      <c r="C18" s="47" t="s">
        <v>153</v>
      </c>
      <c r="D18" s="47" t="s">
        <v>146</v>
      </c>
      <c r="E18" s="47" t="s">
        <v>146</v>
      </c>
      <c r="F18" s="47" t="s">
        <v>144</v>
      </c>
      <c r="G18" s="56"/>
      <c r="H18" s="47"/>
      <c r="I18" s="47" t="s">
        <v>144</v>
      </c>
    </row>
    <row r="19" spans="1:11" x14ac:dyDescent="0.25">
      <c r="A19" s="56">
        <v>50</v>
      </c>
      <c r="B19" s="47" t="s">
        <v>324</v>
      </c>
      <c r="C19" s="47" t="s">
        <v>153</v>
      </c>
      <c r="D19" s="47" t="s">
        <v>146</v>
      </c>
      <c r="E19" s="47" t="s">
        <v>146</v>
      </c>
      <c r="F19" s="47" t="s">
        <v>144</v>
      </c>
      <c r="G19" s="56"/>
      <c r="H19" s="47"/>
      <c r="I19" s="47" t="s">
        <v>144</v>
      </c>
    </row>
    <row r="20" spans="1:11" x14ac:dyDescent="0.25">
      <c r="A20" s="56">
        <v>56</v>
      </c>
      <c r="B20" s="47" t="s">
        <v>182</v>
      </c>
      <c r="C20" s="47" t="s">
        <v>153</v>
      </c>
      <c r="D20" s="47" t="s">
        <v>146</v>
      </c>
      <c r="E20" s="47" t="s">
        <v>158</v>
      </c>
      <c r="F20" s="47" t="s">
        <v>157</v>
      </c>
      <c r="G20" s="56"/>
      <c r="H20" s="47"/>
      <c r="I20" s="47" t="s">
        <v>156</v>
      </c>
    </row>
    <row r="21" spans="1:11" x14ac:dyDescent="0.25">
      <c r="A21" s="56">
        <v>57</v>
      </c>
      <c r="B21" s="47" t="s">
        <v>169</v>
      </c>
      <c r="C21" s="47" t="s">
        <v>153</v>
      </c>
      <c r="D21" s="47" t="s">
        <v>146</v>
      </c>
      <c r="E21" s="47" t="s">
        <v>168</v>
      </c>
      <c r="F21" s="47" t="s">
        <v>144</v>
      </c>
      <c r="G21" s="56"/>
      <c r="H21" s="47" t="s">
        <v>167</v>
      </c>
      <c r="I21" s="47" t="s">
        <v>144</v>
      </c>
    </row>
    <row r="22" spans="1:11" ht="45" x14ac:dyDescent="0.25">
      <c r="A22" s="56" t="s">
        <v>317</v>
      </c>
      <c r="B22" s="47" t="s">
        <v>316</v>
      </c>
      <c r="C22" s="47" t="s">
        <v>153</v>
      </c>
      <c r="D22" s="47" t="s">
        <v>146</v>
      </c>
      <c r="E22" s="47" t="s">
        <v>168</v>
      </c>
      <c r="F22" s="47" t="s">
        <v>144</v>
      </c>
      <c r="G22" s="56" t="s">
        <v>144</v>
      </c>
      <c r="H22" s="25" t="s">
        <v>375</v>
      </c>
      <c r="I22" s="47" t="s">
        <v>144</v>
      </c>
      <c r="K22" s="47" t="s">
        <v>411</v>
      </c>
    </row>
    <row r="23" spans="1:11" x14ac:dyDescent="0.25">
      <c r="A23" s="56" t="s">
        <v>296</v>
      </c>
      <c r="B23" s="47" t="s">
        <v>295</v>
      </c>
      <c r="C23" s="47" t="s">
        <v>153</v>
      </c>
      <c r="D23" s="47" t="s">
        <v>146</v>
      </c>
      <c r="E23" s="47" t="s">
        <v>168</v>
      </c>
      <c r="F23" s="47" t="s">
        <v>144</v>
      </c>
      <c r="G23" s="56"/>
      <c r="H23" s="47" t="s">
        <v>292</v>
      </c>
      <c r="I23" s="47" t="s">
        <v>144</v>
      </c>
    </row>
    <row r="24" spans="1:11" x14ac:dyDescent="0.25">
      <c r="A24" s="56" t="s">
        <v>334</v>
      </c>
      <c r="B24" s="47" t="s">
        <v>333</v>
      </c>
      <c r="C24" s="47" t="s">
        <v>153</v>
      </c>
      <c r="D24" s="47" t="s">
        <v>146</v>
      </c>
      <c r="E24" s="47" t="s">
        <v>145</v>
      </c>
      <c r="F24" s="47" t="s">
        <v>144</v>
      </c>
      <c r="G24" s="56" t="s">
        <v>144</v>
      </c>
      <c r="H24" s="47" t="s">
        <v>376</v>
      </c>
      <c r="I24" s="47" t="s">
        <v>144</v>
      </c>
      <c r="K24" s="47" t="s">
        <v>411</v>
      </c>
    </row>
    <row r="25" spans="1:11" x14ac:dyDescent="0.25">
      <c r="A25" s="56" t="s">
        <v>336</v>
      </c>
      <c r="B25" s="47" t="s">
        <v>335</v>
      </c>
      <c r="C25" s="47" t="s">
        <v>153</v>
      </c>
      <c r="D25" s="47" t="s">
        <v>146</v>
      </c>
      <c r="E25" s="47" t="s">
        <v>145</v>
      </c>
      <c r="F25" s="47" t="s">
        <v>144</v>
      </c>
      <c r="G25" s="56" t="s">
        <v>144</v>
      </c>
      <c r="H25" s="47" t="s">
        <v>376</v>
      </c>
      <c r="I25" s="47" t="s">
        <v>156</v>
      </c>
      <c r="K25" s="47" t="s">
        <v>411</v>
      </c>
    </row>
    <row r="26" spans="1:11" x14ac:dyDescent="0.25">
      <c r="A26" s="56" t="s">
        <v>238</v>
      </c>
      <c r="B26" s="47" t="s">
        <v>237</v>
      </c>
      <c r="C26" s="47" t="s">
        <v>153</v>
      </c>
      <c r="D26" s="47" t="s">
        <v>146</v>
      </c>
      <c r="E26" s="47" t="s">
        <v>168</v>
      </c>
      <c r="F26" s="47" t="s">
        <v>144</v>
      </c>
      <c r="G26" s="56" t="s">
        <v>411</v>
      </c>
      <c r="H26" s="47" t="s">
        <v>376</v>
      </c>
      <c r="I26" s="47" t="s">
        <v>144</v>
      </c>
      <c r="K26" s="47" t="s">
        <v>411</v>
      </c>
    </row>
    <row r="27" spans="1:11" x14ac:dyDescent="0.25">
      <c r="A27" s="56" t="s">
        <v>227</v>
      </c>
      <c r="B27" s="47" t="s">
        <v>226</v>
      </c>
      <c r="C27" s="47" t="s">
        <v>153</v>
      </c>
      <c r="D27" s="47" t="s">
        <v>146</v>
      </c>
      <c r="E27" s="47" t="s">
        <v>168</v>
      </c>
      <c r="F27" s="47" t="s">
        <v>156</v>
      </c>
      <c r="G27" s="56"/>
      <c r="H27" s="47"/>
      <c r="I27" s="47" t="s">
        <v>156</v>
      </c>
    </row>
    <row r="28" spans="1:11" x14ac:dyDescent="0.25">
      <c r="A28" s="56" t="s">
        <v>199</v>
      </c>
      <c r="B28" s="47" t="s">
        <v>198</v>
      </c>
      <c r="C28" s="47" t="s">
        <v>153</v>
      </c>
      <c r="D28" s="47" t="s">
        <v>146</v>
      </c>
      <c r="E28" s="47" t="s">
        <v>168</v>
      </c>
      <c r="F28" s="47" t="s">
        <v>156</v>
      </c>
      <c r="G28" s="56"/>
      <c r="H28" s="47" t="s">
        <v>416</v>
      </c>
      <c r="I28" s="47" t="s">
        <v>156</v>
      </c>
      <c r="J28" s="47" t="s">
        <v>416</v>
      </c>
    </row>
    <row r="29" spans="1:11" ht="45" x14ac:dyDescent="0.25">
      <c r="A29" s="56" t="s">
        <v>319</v>
      </c>
      <c r="B29" s="47" t="s">
        <v>318</v>
      </c>
      <c r="C29" s="47" t="s">
        <v>153</v>
      </c>
      <c r="D29" s="47" t="s">
        <v>146</v>
      </c>
      <c r="E29" s="47" t="s">
        <v>168</v>
      </c>
      <c r="F29" s="47" t="s">
        <v>156</v>
      </c>
      <c r="G29" s="56" t="s">
        <v>156</v>
      </c>
      <c r="H29" s="25" t="s">
        <v>375</v>
      </c>
      <c r="I29" s="47" t="s">
        <v>144</v>
      </c>
      <c r="K29" s="47" t="s">
        <v>411</v>
      </c>
    </row>
    <row r="30" spans="1:11" x14ac:dyDescent="0.25">
      <c r="A30" s="56" t="s">
        <v>272</v>
      </c>
      <c r="B30" s="47" t="s">
        <v>271</v>
      </c>
      <c r="C30" s="47" t="s">
        <v>153</v>
      </c>
      <c r="D30" s="47" t="s">
        <v>146</v>
      </c>
      <c r="E30" s="47" t="s">
        <v>145</v>
      </c>
      <c r="F30" s="47" t="s">
        <v>144</v>
      </c>
      <c r="G30" s="56"/>
      <c r="H30" s="47"/>
      <c r="I30" s="47" t="s">
        <v>144</v>
      </c>
    </row>
    <row r="31" spans="1:11" x14ac:dyDescent="0.25">
      <c r="A31" s="56">
        <v>73</v>
      </c>
      <c r="B31" s="47" t="s">
        <v>275</v>
      </c>
      <c r="C31" s="47" t="s">
        <v>153</v>
      </c>
      <c r="D31" s="47" t="s">
        <v>146</v>
      </c>
      <c r="E31" s="47" t="s">
        <v>145</v>
      </c>
      <c r="F31" s="47" t="s">
        <v>156</v>
      </c>
      <c r="G31" s="56"/>
      <c r="H31" s="47"/>
      <c r="I31" s="47" t="s">
        <v>156</v>
      </c>
    </row>
    <row r="32" spans="1:11" x14ac:dyDescent="0.25">
      <c r="A32" s="56">
        <v>82</v>
      </c>
      <c r="B32" s="47" t="s">
        <v>327</v>
      </c>
      <c r="C32" s="47" t="s">
        <v>153</v>
      </c>
      <c r="D32" s="47" t="s">
        <v>146</v>
      </c>
      <c r="E32" s="47" t="s">
        <v>145</v>
      </c>
      <c r="F32" s="47" t="s">
        <v>144</v>
      </c>
      <c r="G32" s="56" t="s">
        <v>144</v>
      </c>
      <c r="H32" s="47" t="s">
        <v>377</v>
      </c>
      <c r="I32" s="47" t="s">
        <v>144</v>
      </c>
      <c r="K32" s="47" t="s">
        <v>411</v>
      </c>
    </row>
    <row r="33" spans="1:11" x14ac:dyDescent="0.25">
      <c r="A33" s="56">
        <v>87</v>
      </c>
      <c r="B33" s="47" t="s">
        <v>315</v>
      </c>
      <c r="C33" s="47" t="s">
        <v>153</v>
      </c>
      <c r="D33" s="47" t="s">
        <v>146</v>
      </c>
      <c r="E33" s="47" t="s">
        <v>146</v>
      </c>
      <c r="F33" s="47" t="s">
        <v>144</v>
      </c>
      <c r="G33" s="56"/>
      <c r="H33" s="47" t="s">
        <v>378</v>
      </c>
      <c r="I33" s="47" t="s">
        <v>190</v>
      </c>
    </row>
    <row r="34" spans="1:11" ht="180" x14ac:dyDescent="0.25">
      <c r="A34" s="56" t="s">
        <v>300</v>
      </c>
      <c r="B34" s="47" t="s">
        <v>299</v>
      </c>
      <c r="C34" s="47" t="s">
        <v>153</v>
      </c>
      <c r="D34" s="47" t="s">
        <v>146</v>
      </c>
      <c r="E34" s="47" t="s">
        <v>145</v>
      </c>
      <c r="F34" s="47" t="s">
        <v>144</v>
      </c>
      <c r="G34" s="56" t="s">
        <v>411</v>
      </c>
      <c r="H34" s="25" t="s">
        <v>418</v>
      </c>
      <c r="I34" s="47" t="s">
        <v>144</v>
      </c>
      <c r="K34" s="47" t="s">
        <v>411</v>
      </c>
    </row>
    <row r="35" spans="1:11" ht="60" x14ac:dyDescent="0.25">
      <c r="A35" s="56" t="s">
        <v>298</v>
      </c>
      <c r="B35" s="47" t="s">
        <v>297</v>
      </c>
      <c r="C35" s="47" t="s">
        <v>153</v>
      </c>
      <c r="D35" s="47" t="s">
        <v>146</v>
      </c>
      <c r="E35" s="47" t="s">
        <v>145</v>
      </c>
      <c r="F35" s="47" t="s">
        <v>144</v>
      </c>
      <c r="G35" s="56" t="s">
        <v>411</v>
      </c>
      <c r="H35" s="25" t="s">
        <v>419</v>
      </c>
      <c r="I35" s="47" t="s">
        <v>144</v>
      </c>
      <c r="K35" s="47" t="s">
        <v>411</v>
      </c>
    </row>
    <row r="36" spans="1:11" ht="90" x14ac:dyDescent="0.25">
      <c r="A36" s="56" t="s">
        <v>291</v>
      </c>
      <c r="B36" s="47" t="s">
        <v>290</v>
      </c>
      <c r="C36" s="47" t="s">
        <v>153</v>
      </c>
      <c r="D36" s="47" t="s">
        <v>146</v>
      </c>
      <c r="E36" s="47" t="s">
        <v>145</v>
      </c>
      <c r="F36" s="47" t="s">
        <v>144</v>
      </c>
      <c r="G36" s="56" t="s">
        <v>411</v>
      </c>
      <c r="H36" s="25" t="s">
        <v>379</v>
      </c>
      <c r="I36" s="47" t="s">
        <v>144</v>
      </c>
      <c r="J36" s="25" t="s">
        <v>380</v>
      </c>
      <c r="K36" s="47" t="s">
        <v>411</v>
      </c>
    </row>
    <row r="37" spans="1:11" x14ac:dyDescent="0.25">
      <c r="A37" s="56" t="s">
        <v>287</v>
      </c>
      <c r="B37" s="47" t="s">
        <v>286</v>
      </c>
      <c r="C37" s="47" t="s">
        <v>153</v>
      </c>
      <c r="D37" s="47" t="s">
        <v>146</v>
      </c>
      <c r="E37" s="47" t="s">
        <v>146</v>
      </c>
      <c r="F37" s="47" t="s">
        <v>144</v>
      </c>
      <c r="G37" s="56"/>
      <c r="H37" s="47" t="s">
        <v>381</v>
      </c>
      <c r="I37" s="47" t="s">
        <v>144</v>
      </c>
    </row>
    <row r="38" spans="1:11" x14ac:dyDescent="0.25">
      <c r="A38" s="56">
        <v>90</v>
      </c>
      <c r="B38" s="47" t="s">
        <v>236</v>
      </c>
      <c r="C38" s="47" t="s">
        <v>153</v>
      </c>
      <c r="D38" s="47" t="s">
        <v>146</v>
      </c>
      <c r="E38" s="47" t="s">
        <v>146</v>
      </c>
      <c r="F38" s="47" t="s">
        <v>144</v>
      </c>
      <c r="G38" s="56"/>
      <c r="H38" s="47" t="s">
        <v>381</v>
      </c>
      <c r="I38" s="47" t="s">
        <v>144</v>
      </c>
    </row>
    <row r="39" spans="1:11" x14ac:dyDescent="0.25">
      <c r="A39" s="56">
        <v>92</v>
      </c>
      <c r="B39" s="47" t="s">
        <v>233</v>
      </c>
      <c r="C39" s="47" t="s">
        <v>153</v>
      </c>
      <c r="D39" s="47" t="s">
        <v>146</v>
      </c>
      <c r="E39" s="47" t="s">
        <v>145</v>
      </c>
      <c r="F39" s="47" t="s">
        <v>156</v>
      </c>
      <c r="G39" s="56"/>
      <c r="H39" s="47"/>
      <c r="I39" s="47" t="s">
        <v>144</v>
      </c>
    </row>
    <row r="40" spans="1:11" x14ac:dyDescent="0.25">
      <c r="A40" s="56">
        <v>93</v>
      </c>
      <c r="B40" s="47" t="s">
        <v>195</v>
      </c>
      <c r="C40" s="47" t="s">
        <v>153</v>
      </c>
      <c r="D40" s="47" t="s">
        <v>146</v>
      </c>
      <c r="E40" s="47" t="s">
        <v>158</v>
      </c>
      <c r="F40" s="47" t="s">
        <v>157</v>
      </c>
      <c r="G40" s="56"/>
      <c r="H40" s="47"/>
      <c r="I40" s="47" t="s">
        <v>157</v>
      </c>
    </row>
    <row r="41" spans="1:11" x14ac:dyDescent="0.25">
      <c r="A41" s="56">
        <v>94</v>
      </c>
      <c r="B41" s="47" t="s">
        <v>332</v>
      </c>
      <c r="C41" s="47" t="s">
        <v>153</v>
      </c>
      <c r="D41" s="47" t="s">
        <v>146</v>
      </c>
      <c r="E41" s="47" t="s">
        <v>145</v>
      </c>
      <c r="F41" s="47" t="s">
        <v>144</v>
      </c>
      <c r="G41" s="56"/>
      <c r="H41" s="47"/>
      <c r="I41" s="47" t="s">
        <v>144</v>
      </c>
    </row>
    <row r="42" spans="1:11" x14ac:dyDescent="0.25">
      <c r="A42" s="56">
        <v>97</v>
      </c>
      <c r="B42" s="47" t="s">
        <v>164</v>
      </c>
      <c r="C42" s="47" t="s">
        <v>153</v>
      </c>
      <c r="D42" s="47" t="s">
        <v>146</v>
      </c>
      <c r="E42" s="47" t="s">
        <v>158</v>
      </c>
      <c r="F42" s="47" t="s">
        <v>157</v>
      </c>
      <c r="G42" s="56"/>
      <c r="H42" s="47"/>
      <c r="I42" s="47" t="s">
        <v>157</v>
      </c>
    </row>
    <row r="43" spans="1:11" x14ac:dyDescent="0.25">
      <c r="A43" s="56" t="s">
        <v>338</v>
      </c>
      <c r="B43" s="47" t="s">
        <v>337</v>
      </c>
      <c r="C43" s="47" t="s">
        <v>153</v>
      </c>
      <c r="D43" s="47" t="s">
        <v>146</v>
      </c>
      <c r="E43" s="47" t="s">
        <v>145</v>
      </c>
      <c r="F43" s="47" t="s">
        <v>156</v>
      </c>
      <c r="G43" s="56"/>
      <c r="H43" s="47"/>
      <c r="I43" s="47" t="s">
        <v>156</v>
      </c>
    </row>
    <row r="44" spans="1:11" ht="135" x14ac:dyDescent="0.25">
      <c r="A44" s="56" t="s">
        <v>313</v>
      </c>
      <c r="B44" s="47" t="s">
        <v>312</v>
      </c>
      <c r="C44" s="47" t="s">
        <v>153</v>
      </c>
      <c r="D44" s="47" t="s">
        <v>146</v>
      </c>
      <c r="E44" s="47" t="s">
        <v>145</v>
      </c>
      <c r="F44" s="47" t="s">
        <v>144</v>
      </c>
      <c r="G44" s="56" t="s">
        <v>411</v>
      </c>
      <c r="H44" s="25" t="s">
        <v>382</v>
      </c>
      <c r="I44" s="47" t="s">
        <v>144</v>
      </c>
      <c r="K44" s="47" t="s">
        <v>411</v>
      </c>
    </row>
    <row r="45" spans="1:11" x14ac:dyDescent="0.25">
      <c r="A45" s="56" t="s">
        <v>311</v>
      </c>
      <c r="B45" s="47" t="s">
        <v>310</v>
      </c>
      <c r="C45" s="47" t="s">
        <v>153</v>
      </c>
      <c r="D45" s="47" t="s">
        <v>146</v>
      </c>
      <c r="E45" s="47" t="s">
        <v>146</v>
      </c>
      <c r="F45" s="47" t="s">
        <v>144</v>
      </c>
      <c r="G45" s="56"/>
      <c r="H45" s="47" t="s">
        <v>383</v>
      </c>
      <c r="I45" s="47" t="s">
        <v>144</v>
      </c>
      <c r="J45" s="47" t="s">
        <v>384</v>
      </c>
    </row>
    <row r="46" spans="1:11" x14ac:dyDescent="0.25">
      <c r="A46" s="56" t="s">
        <v>294</v>
      </c>
      <c r="B46" s="47" t="s">
        <v>293</v>
      </c>
      <c r="C46" s="47" t="s">
        <v>153</v>
      </c>
      <c r="D46" s="47" t="s">
        <v>146</v>
      </c>
      <c r="E46" s="47" t="s">
        <v>168</v>
      </c>
      <c r="F46" s="47" t="s">
        <v>156</v>
      </c>
      <c r="G46" s="56"/>
      <c r="H46" s="47" t="s">
        <v>292</v>
      </c>
      <c r="I46" s="47" t="s">
        <v>156</v>
      </c>
    </row>
    <row r="47" spans="1:11" x14ac:dyDescent="0.25">
      <c r="A47" s="56" t="s">
        <v>247</v>
      </c>
      <c r="B47" s="47" t="s">
        <v>246</v>
      </c>
      <c r="C47" s="47" t="s">
        <v>153</v>
      </c>
      <c r="D47" s="47" t="s">
        <v>146</v>
      </c>
      <c r="E47" s="47" t="s">
        <v>145</v>
      </c>
      <c r="F47" s="47" t="s">
        <v>144</v>
      </c>
      <c r="G47" s="56" t="s">
        <v>144</v>
      </c>
      <c r="H47" s="47" t="s">
        <v>241</v>
      </c>
      <c r="I47" s="47" t="s">
        <v>144</v>
      </c>
      <c r="K47" s="47" t="s">
        <v>411</v>
      </c>
    </row>
    <row r="48" spans="1:11" x14ac:dyDescent="0.25">
      <c r="A48" s="56" t="s">
        <v>245</v>
      </c>
      <c r="B48" s="47" t="s">
        <v>244</v>
      </c>
      <c r="C48" s="47" t="s">
        <v>153</v>
      </c>
      <c r="D48" s="47" t="s">
        <v>146</v>
      </c>
      <c r="E48" s="47" t="s">
        <v>145</v>
      </c>
      <c r="F48" s="47" t="s">
        <v>144</v>
      </c>
      <c r="G48" s="56" t="s">
        <v>144</v>
      </c>
      <c r="H48" s="47" t="s">
        <v>241</v>
      </c>
      <c r="I48" s="47" t="s">
        <v>144</v>
      </c>
      <c r="K48" s="47" t="s">
        <v>411</v>
      </c>
    </row>
    <row r="49" spans="1:11" x14ac:dyDescent="0.25">
      <c r="A49" s="56" t="s">
        <v>243</v>
      </c>
      <c r="B49" s="47" t="s">
        <v>242</v>
      </c>
      <c r="C49" s="47" t="s">
        <v>153</v>
      </c>
      <c r="D49" s="47" t="s">
        <v>146</v>
      </c>
      <c r="E49" s="47" t="s">
        <v>145</v>
      </c>
      <c r="F49" s="47" t="s">
        <v>144</v>
      </c>
      <c r="G49" s="56" t="s">
        <v>144</v>
      </c>
      <c r="H49" s="47" t="s">
        <v>241</v>
      </c>
      <c r="I49" s="47" t="s">
        <v>144</v>
      </c>
      <c r="K49" s="47" t="s">
        <v>411</v>
      </c>
    </row>
    <row r="50" spans="1:11" x14ac:dyDescent="0.25">
      <c r="A50" s="56" t="s">
        <v>240</v>
      </c>
      <c r="B50" s="47" t="s">
        <v>239</v>
      </c>
      <c r="C50" s="47" t="s">
        <v>153</v>
      </c>
      <c r="D50" s="47" t="s">
        <v>146</v>
      </c>
      <c r="E50" s="47" t="s">
        <v>168</v>
      </c>
      <c r="F50" s="47" t="s">
        <v>156</v>
      </c>
      <c r="G50" s="56"/>
      <c r="H50" s="47"/>
      <c r="I50" s="47" t="s">
        <v>156</v>
      </c>
    </row>
    <row r="51" spans="1:11" x14ac:dyDescent="0.25">
      <c r="A51" s="56" t="s">
        <v>321</v>
      </c>
      <c r="B51" s="47" t="s">
        <v>320</v>
      </c>
      <c r="C51" s="47" t="s">
        <v>153</v>
      </c>
      <c r="D51" s="47" t="s">
        <v>146</v>
      </c>
      <c r="E51" s="47" t="s">
        <v>146</v>
      </c>
      <c r="F51" s="47" t="s">
        <v>156</v>
      </c>
      <c r="G51" s="56"/>
      <c r="H51" s="47"/>
      <c r="I51" s="47" t="s">
        <v>156</v>
      </c>
    </row>
    <row r="52" spans="1:11" x14ac:dyDescent="0.25">
      <c r="A52" s="56" t="s">
        <v>218</v>
      </c>
      <c r="B52" s="47" t="s">
        <v>217</v>
      </c>
      <c r="C52" s="47" t="s">
        <v>153</v>
      </c>
      <c r="D52" s="47" t="s">
        <v>146</v>
      </c>
      <c r="E52" s="47" t="s">
        <v>145</v>
      </c>
      <c r="F52" s="47" t="s">
        <v>144</v>
      </c>
      <c r="G52" s="56"/>
      <c r="H52" s="47"/>
      <c r="I52" s="47" t="s">
        <v>144</v>
      </c>
    </row>
    <row r="53" spans="1:11" x14ac:dyDescent="0.25">
      <c r="A53" s="56" t="s">
        <v>206</v>
      </c>
      <c r="B53" s="47" t="s">
        <v>205</v>
      </c>
      <c r="C53" s="47" t="s">
        <v>144</v>
      </c>
      <c r="D53" s="47" t="s">
        <v>190</v>
      </c>
      <c r="E53" s="47" t="s">
        <v>168</v>
      </c>
      <c r="F53" s="47" t="s">
        <v>144</v>
      </c>
      <c r="G53" s="56"/>
      <c r="H53" s="47"/>
      <c r="I53" s="47" t="s">
        <v>144</v>
      </c>
    </row>
    <row r="54" spans="1:11" x14ac:dyDescent="0.25">
      <c r="A54" s="56" t="s">
        <v>181</v>
      </c>
      <c r="B54" s="47" t="s">
        <v>180</v>
      </c>
      <c r="C54" s="47" t="s">
        <v>153</v>
      </c>
      <c r="D54" s="47" t="s">
        <v>146</v>
      </c>
      <c r="E54" s="47" t="s">
        <v>168</v>
      </c>
      <c r="F54" s="47" t="s">
        <v>156</v>
      </c>
      <c r="G54" s="56"/>
      <c r="H54" s="47" t="s">
        <v>167</v>
      </c>
      <c r="I54" s="47" t="s">
        <v>156</v>
      </c>
    </row>
    <row r="55" spans="1:11" x14ac:dyDescent="0.25">
      <c r="A55" s="56" t="s">
        <v>171</v>
      </c>
      <c r="B55" s="47" t="s">
        <v>170</v>
      </c>
      <c r="C55" s="47" t="s">
        <v>153</v>
      </c>
      <c r="D55" s="47" t="s">
        <v>146</v>
      </c>
      <c r="E55" s="47" t="s">
        <v>168</v>
      </c>
      <c r="F55" s="47" t="s">
        <v>156</v>
      </c>
      <c r="G55" s="56"/>
      <c r="H55" s="47" t="s">
        <v>167</v>
      </c>
      <c r="I55" s="47" t="s">
        <v>156</v>
      </c>
    </row>
    <row r="56" spans="1:11" x14ac:dyDescent="0.25">
      <c r="A56" s="56" t="s">
        <v>155</v>
      </c>
      <c r="B56" s="47" t="s">
        <v>154</v>
      </c>
      <c r="C56" s="47" t="s">
        <v>153</v>
      </c>
      <c r="D56" s="47" t="s">
        <v>146</v>
      </c>
      <c r="E56" s="47" t="s">
        <v>145</v>
      </c>
      <c r="F56" s="47" t="s">
        <v>144</v>
      </c>
      <c r="G56" s="56"/>
      <c r="H56" s="47"/>
      <c r="I56" s="47" t="s">
        <v>144</v>
      </c>
    </row>
    <row r="57" spans="1:11" x14ac:dyDescent="0.25">
      <c r="A57" s="56" t="s">
        <v>285</v>
      </c>
      <c r="B57" s="47" t="s">
        <v>284</v>
      </c>
      <c r="C57" s="47" t="s">
        <v>153</v>
      </c>
      <c r="D57" s="47" t="s">
        <v>146</v>
      </c>
      <c r="E57" s="47" t="s">
        <v>146</v>
      </c>
      <c r="F57" s="47" t="s">
        <v>156</v>
      </c>
      <c r="G57" s="56"/>
      <c r="H57" s="47" t="s">
        <v>161</v>
      </c>
      <c r="I57" s="47" t="s">
        <v>156</v>
      </c>
    </row>
    <row r="58" spans="1:11" x14ac:dyDescent="0.25">
      <c r="A58" s="56" t="s">
        <v>265</v>
      </c>
      <c r="B58" s="47" t="s">
        <v>264</v>
      </c>
      <c r="C58" s="47" t="s">
        <v>153</v>
      </c>
      <c r="D58" s="47" t="s">
        <v>146</v>
      </c>
      <c r="E58" s="47" t="s">
        <v>145</v>
      </c>
      <c r="F58" s="47" t="s">
        <v>156</v>
      </c>
      <c r="G58" s="56"/>
      <c r="H58" s="47"/>
      <c r="I58" s="47" t="s">
        <v>156</v>
      </c>
    </row>
    <row r="59" spans="1:11" x14ac:dyDescent="0.25">
      <c r="A59" s="56" t="s">
        <v>263</v>
      </c>
      <c r="B59" s="47" t="s">
        <v>262</v>
      </c>
      <c r="C59" s="47" t="s">
        <v>153</v>
      </c>
      <c r="D59" s="47" t="s">
        <v>146</v>
      </c>
      <c r="E59" s="47" t="s">
        <v>145</v>
      </c>
      <c r="F59" s="47" t="s">
        <v>156</v>
      </c>
      <c r="G59" s="56"/>
      <c r="H59" s="47"/>
      <c r="I59" s="47" t="s">
        <v>156</v>
      </c>
    </row>
    <row r="60" spans="1:11" x14ac:dyDescent="0.25">
      <c r="A60" s="56" t="s">
        <v>261</v>
      </c>
      <c r="B60" s="47" t="s">
        <v>260</v>
      </c>
      <c r="C60" s="47" t="s">
        <v>153</v>
      </c>
      <c r="D60" s="47" t="s">
        <v>146</v>
      </c>
      <c r="E60" s="47" t="s">
        <v>145</v>
      </c>
      <c r="F60" s="47" t="s">
        <v>156</v>
      </c>
      <c r="G60" s="56"/>
      <c r="H60" s="47"/>
      <c r="I60" s="47" t="s">
        <v>156</v>
      </c>
    </row>
    <row r="61" spans="1:11" x14ac:dyDescent="0.25">
      <c r="A61" s="56" t="s">
        <v>235</v>
      </c>
      <c r="B61" s="47" t="s">
        <v>234</v>
      </c>
      <c r="C61" s="47" t="s">
        <v>153</v>
      </c>
      <c r="D61" s="47" t="s">
        <v>146</v>
      </c>
      <c r="E61" s="47" t="s">
        <v>145</v>
      </c>
      <c r="F61" s="47" t="s">
        <v>144</v>
      </c>
      <c r="G61" s="56"/>
      <c r="H61" s="47" t="s">
        <v>381</v>
      </c>
      <c r="I61" s="47" t="s">
        <v>144</v>
      </c>
    </row>
    <row r="62" spans="1:11" x14ac:dyDescent="0.25">
      <c r="A62" s="56" t="s">
        <v>202</v>
      </c>
      <c r="B62" s="47" t="s">
        <v>201</v>
      </c>
      <c r="C62" s="47" t="s">
        <v>153</v>
      </c>
      <c r="D62" s="47" t="s">
        <v>146</v>
      </c>
      <c r="E62" s="47" t="s">
        <v>158</v>
      </c>
      <c r="F62" s="47" t="s">
        <v>157</v>
      </c>
      <c r="G62" s="56"/>
      <c r="H62" s="47"/>
      <c r="I62" s="47" t="s">
        <v>157</v>
      </c>
    </row>
    <row r="63" spans="1:11" x14ac:dyDescent="0.25">
      <c r="A63" s="56" t="s">
        <v>342</v>
      </c>
      <c r="B63" s="47" t="s">
        <v>341</v>
      </c>
      <c r="C63" s="47" t="s">
        <v>153</v>
      </c>
      <c r="D63" s="47" t="s">
        <v>146</v>
      </c>
      <c r="E63" s="47" t="s">
        <v>145</v>
      </c>
      <c r="F63" s="47" t="s">
        <v>156</v>
      </c>
      <c r="G63" s="56"/>
      <c r="H63" s="47"/>
      <c r="I63" s="47" t="s">
        <v>156</v>
      </c>
    </row>
    <row r="64" spans="1:11" x14ac:dyDescent="0.25">
      <c r="A64" s="56" t="s">
        <v>340</v>
      </c>
      <c r="B64" s="47" t="s">
        <v>339</v>
      </c>
      <c r="C64" s="47" t="s">
        <v>153</v>
      </c>
      <c r="D64" s="47" t="s">
        <v>146</v>
      </c>
      <c r="E64" s="47" t="s">
        <v>158</v>
      </c>
      <c r="F64" s="47" t="s">
        <v>156</v>
      </c>
      <c r="G64" s="56"/>
      <c r="H64" s="47"/>
      <c r="I64" s="47" t="s">
        <v>156</v>
      </c>
    </row>
    <row r="65" spans="1:11" ht="45" x14ac:dyDescent="0.25">
      <c r="A65" s="56" t="s">
        <v>258</v>
      </c>
      <c r="B65" s="47" t="s">
        <v>257</v>
      </c>
      <c r="C65" s="47" t="s">
        <v>153</v>
      </c>
      <c r="D65" s="47" t="s">
        <v>146</v>
      </c>
      <c r="E65" s="47" t="s">
        <v>145</v>
      </c>
      <c r="F65" s="47" t="s">
        <v>144</v>
      </c>
      <c r="G65" s="56"/>
      <c r="H65" s="25" t="s">
        <v>385</v>
      </c>
      <c r="I65" s="47" t="s">
        <v>144</v>
      </c>
    </row>
    <row r="66" spans="1:11" x14ac:dyDescent="0.25">
      <c r="A66" s="56" t="s">
        <v>256</v>
      </c>
      <c r="B66" s="47" t="s">
        <v>255</v>
      </c>
      <c r="C66" s="47" t="s">
        <v>153</v>
      </c>
      <c r="D66" s="47" t="s">
        <v>146</v>
      </c>
      <c r="E66" s="47" t="s">
        <v>145</v>
      </c>
      <c r="F66" s="47" t="s">
        <v>144</v>
      </c>
      <c r="G66" s="56"/>
      <c r="H66" s="47" t="s">
        <v>381</v>
      </c>
      <c r="I66" s="47" t="s">
        <v>144</v>
      </c>
    </row>
    <row r="67" spans="1:11" x14ac:dyDescent="0.25">
      <c r="A67" s="56" t="s">
        <v>254</v>
      </c>
      <c r="B67" s="47" t="s">
        <v>253</v>
      </c>
      <c r="C67" s="47" t="s">
        <v>153</v>
      </c>
      <c r="D67" s="47" t="s">
        <v>146</v>
      </c>
      <c r="E67" s="47" t="s">
        <v>145</v>
      </c>
      <c r="F67" s="47" t="s">
        <v>156</v>
      </c>
      <c r="G67" s="56"/>
      <c r="H67" s="47"/>
      <c r="I67" s="47" t="s">
        <v>156</v>
      </c>
    </row>
    <row r="68" spans="1:11" ht="45" x14ac:dyDescent="0.25">
      <c r="A68" s="56" t="s">
        <v>274</v>
      </c>
      <c r="B68" s="47" t="s">
        <v>273</v>
      </c>
      <c r="C68" s="47" t="s">
        <v>153</v>
      </c>
      <c r="D68" s="47" t="s">
        <v>146</v>
      </c>
      <c r="E68" s="47" t="s">
        <v>145</v>
      </c>
      <c r="F68" s="47" t="s">
        <v>144</v>
      </c>
      <c r="G68" s="56"/>
      <c r="H68" s="25" t="s">
        <v>414</v>
      </c>
      <c r="I68" s="47" t="s">
        <v>144</v>
      </c>
      <c r="J68" s="47" t="s">
        <v>415</v>
      </c>
    </row>
    <row r="69" spans="1:11" x14ac:dyDescent="0.25">
      <c r="A69" s="56" t="s">
        <v>188</v>
      </c>
      <c r="B69" s="47" t="s">
        <v>187</v>
      </c>
      <c r="C69" s="47" t="s">
        <v>153</v>
      </c>
      <c r="D69" s="47" t="s">
        <v>146</v>
      </c>
      <c r="E69" s="47" t="s">
        <v>168</v>
      </c>
      <c r="F69" s="47" t="s">
        <v>144</v>
      </c>
      <c r="G69" s="56" t="s">
        <v>411</v>
      </c>
      <c r="H69" s="47" t="s">
        <v>381</v>
      </c>
      <c r="I69" s="47" t="s">
        <v>144</v>
      </c>
      <c r="K69" s="47" t="s">
        <v>411</v>
      </c>
    </row>
    <row r="70" spans="1:11" x14ac:dyDescent="0.25">
      <c r="A70" s="56" t="s">
        <v>223</v>
      </c>
      <c r="B70" s="47" t="s">
        <v>222</v>
      </c>
      <c r="C70" s="47" t="s">
        <v>153</v>
      </c>
      <c r="D70" s="47" t="s">
        <v>146</v>
      </c>
      <c r="E70" s="47" t="s">
        <v>145</v>
      </c>
      <c r="F70" s="47" t="s">
        <v>156</v>
      </c>
      <c r="G70" s="56"/>
      <c r="H70" s="47" t="s">
        <v>221</v>
      </c>
      <c r="I70" s="47" t="s">
        <v>156</v>
      </c>
    </row>
    <row r="71" spans="1:11" ht="165" x14ac:dyDescent="0.25">
      <c r="A71" s="56" t="s">
        <v>220</v>
      </c>
      <c r="B71" s="47" t="s">
        <v>219</v>
      </c>
      <c r="C71" s="47" t="s">
        <v>153</v>
      </c>
      <c r="D71" s="47" t="s">
        <v>146</v>
      </c>
      <c r="E71" s="47" t="s">
        <v>145</v>
      </c>
      <c r="F71" s="47" t="s">
        <v>156</v>
      </c>
      <c r="G71" s="56"/>
      <c r="H71" s="25" t="s">
        <v>417</v>
      </c>
      <c r="I71" s="47" t="s">
        <v>156</v>
      </c>
    </row>
    <row r="72" spans="1:11" x14ac:dyDescent="0.25">
      <c r="A72" s="56" t="s">
        <v>186</v>
      </c>
      <c r="B72" s="47" t="s">
        <v>185</v>
      </c>
      <c r="C72" s="47" t="s">
        <v>144</v>
      </c>
      <c r="D72" s="47" t="s">
        <v>146</v>
      </c>
      <c r="E72" s="47" t="s">
        <v>158</v>
      </c>
      <c r="F72" s="47" t="s">
        <v>157</v>
      </c>
      <c r="G72" s="56"/>
      <c r="H72" s="47"/>
      <c r="I72" s="47" t="s">
        <v>144</v>
      </c>
    </row>
    <row r="73" spans="1:11" x14ac:dyDescent="0.25">
      <c r="A73" s="56" t="s">
        <v>184</v>
      </c>
      <c r="B73" s="47" t="s">
        <v>183</v>
      </c>
      <c r="C73" s="47" t="s">
        <v>144</v>
      </c>
      <c r="D73" s="47" t="s">
        <v>146</v>
      </c>
      <c r="E73" s="47" t="s">
        <v>158</v>
      </c>
      <c r="F73" s="47" t="s">
        <v>157</v>
      </c>
      <c r="G73" s="56"/>
      <c r="H73" s="47"/>
      <c r="I73" s="47" t="s">
        <v>144</v>
      </c>
    </row>
    <row r="74" spans="1:11" x14ac:dyDescent="0.25">
      <c r="A74" s="56" t="s">
        <v>179</v>
      </c>
      <c r="B74" s="47" t="s">
        <v>178</v>
      </c>
      <c r="C74" s="47" t="s">
        <v>144</v>
      </c>
      <c r="D74" s="47" t="s">
        <v>146</v>
      </c>
      <c r="E74" s="47" t="s">
        <v>158</v>
      </c>
      <c r="F74" s="47" t="s">
        <v>157</v>
      </c>
      <c r="G74" s="56"/>
      <c r="H74" s="47"/>
      <c r="I74" s="47" t="s">
        <v>144</v>
      </c>
    </row>
    <row r="75" spans="1:11" x14ac:dyDescent="0.25">
      <c r="A75" s="56" t="s">
        <v>177</v>
      </c>
      <c r="B75" s="47" t="s">
        <v>176</v>
      </c>
      <c r="C75" s="47" t="s">
        <v>144</v>
      </c>
      <c r="D75" s="47" t="s">
        <v>146</v>
      </c>
      <c r="E75" s="47" t="s">
        <v>158</v>
      </c>
      <c r="F75" s="47" t="s">
        <v>157</v>
      </c>
      <c r="G75" s="56"/>
      <c r="H75" s="47"/>
      <c r="I75" s="47" t="s">
        <v>144</v>
      </c>
    </row>
    <row r="76" spans="1:11" x14ac:dyDescent="0.25">
      <c r="A76" s="56" t="s">
        <v>175</v>
      </c>
      <c r="B76" s="47" t="s">
        <v>174</v>
      </c>
      <c r="C76" s="47" t="s">
        <v>144</v>
      </c>
      <c r="D76" s="47" t="s">
        <v>146</v>
      </c>
      <c r="E76" s="47" t="s">
        <v>158</v>
      </c>
      <c r="F76" s="47" t="s">
        <v>157</v>
      </c>
      <c r="G76" s="56"/>
      <c r="H76" s="47"/>
      <c r="I76" s="47" t="s">
        <v>144</v>
      </c>
    </row>
    <row r="77" spans="1:11" x14ac:dyDescent="0.25">
      <c r="A77" s="56" t="s">
        <v>166</v>
      </c>
      <c r="B77" s="47" t="s">
        <v>165</v>
      </c>
      <c r="C77" s="47" t="s">
        <v>144</v>
      </c>
      <c r="D77" s="47" t="s">
        <v>146</v>
      </c>
      <c r="E77" s="47" t="s">
        <v>158</v>
      </c>
      <c r="F77" s="47" t="s">
        <v>157</v>
      </c>
      <c r="G77" s="56"/>
      <c r="H77" s="47"/>
      <c r="I77" s="47" t="s">
        <v>144</v>
      </c>
    </row>
    <row r="78" spans="1:11" x14ac:dyDescent="0.25">
      <c r="A78" s="56" t="s">
        <v>160</v>
      </c>
      <c r="B78" s="47" t="s">
        <v>159</v>
      </c>
      <c r="C78" s="47" t="s">
        <v>144</v>
      </c>
      <c r="D78" s="47" t="s">
        <v>146</v>
      </c>
      <c r="E78" s="47" t="s">
        <v>158</v>
      </c>
      <c r="F78" s="47" t="s">
        <v>157</v>
      </c>
      <c r="G78" s="56"/>
      <c r="H78" s="47"/>
      <c r="I78" s="47" t="s">
        <v>156</v>
      </c>
    </row>
    <row r="79" spans="1:11" x14ac:dyDescent="0.25">
      <c r="A79" s="56" t="s">
        <v>173</v>
      </c>
      <c r="B79" s="47" t="s">
        <v>172</v>
      </c>
      <c r="C79" s="47" t="s">
        <v>144</v>
      </c>
      <c r="D79" s="47" t="s">
        <v>146</v>
      </c>
      <c r="E79" s="47" t="s">
        <v>158</v>
      </c>
      <c r="F79" s="47" t="s">
        <v>157</v>
      </c>
      <c r="G79" s="56"/>
      <c r="H79" s="47"/>
      <c r="I79" s="47" t="s">
        <v>144</v>
      </c>
    </row>
    <row r="80" spans="1:11" x14ac:dyDescent="0.25">
      <c r="A80" s="56" t="s">
        <v>323</v>
      </c>
      <c r="B80" s="47" t="s">
        <v>322</v>
      </c>
      <c r="C80" s="47" t="s">
        <v>144</v>
      </c>
      <c r="D80" s="47" t="s">
        <v>146</v>
      </c>
      <c r="E80" s="47" t="s">
        <v>158</v>
      </c>
      <c r="F80" s="47" t="s">
        <v>157</v>
      </c>
      <c r="G80" s="56"/>
      <c r="H80" s="47"/>
      <c r="I80" s="47" t="s">
        <v>144</v>
      </c>
    </row>
    <row r="81" spans="1:10" x14ac:dyDescent="0.25">
      <c r="A81" s="56" t="s">
        <v>270</v>
      </c>
      <c r="B81" s="47" t="s">
        <v>269</v>
      </c>
      <c r="C81" s="47" t="s">
        <v>153</v>
      </c>
      <c r="D81" s="47" t="s">
        <v>146</v>
      </c>
      <c r="E81" s="47" t="s">
        <v>145</v>
      </c>
      <c r="F81" s="47" t="s">
        <v>156</v>
      </c>
      <c r="G81" s="56"/>
      <c r="H81" s="47" t="s">
        <v>161</v>
      </c>
      <c r="I81" s="47" t="s">
        <v>156</v>
      </c>
    </row>
    <row r="82" spans="1:10" x14ac:dyDescent="0.25">
      <c r="A82" s="56" t="s">
        <v>133</v>
      </c>
      <c r="B82" s="47" t="s">
        <v>309</v>
      </c>
      <c r="C82" s="47" t="s">
        <v>144</v>
      </c>
      <c r="D82" s="47" t="s">
        <v>146</v>
      </c>
      <c r="E82" s="47" t="s">
        <v>145</v>
      </c>
      <c r="F82" s="47" t="s">
        <v>144</v>
      </c>
      <c r="G82" s="56"/>
      <c r="H82" s="47"/>
      <c r="I82" s="47" t="s">
        <v>144</v>
      </c>
    </row>
    <row r="83" spans="1:10" x14ac:dyDescent="0.25">
      <c r="A83" s="56" t="s">
        <v>134</v>
      </c>
      <c r="B83" s="47" t="s">
        <v>308</v>
      </c>
      <c r="C83" s="47" t="s">
        <v>144</v>
      </c>
      <c r="D83" s="47" t="s">
        <v>146</v>
      </c>
      <c r="E83" s="47" t="s">
        <v>145</v>
      </c>
      <c r="F83" s="47" t="s">
        <v>144</v>
      </c>
      <c r="G83" s="56"/>
      <c r="H83" s="47"/>
      <c r="I83" s="47" t="s">
        <v>144</v>
      </c>
    </row>
    <row r="84" spans="1:10" x14ac:dyDescent="0.25">
      <c r="A84" s="56" t="s">
        <v>135</v>
      </c>
      <c r="B84" s="47" t="s">
        <v>307</v>
      </c>
      <c r="C84" s="47" t="s">
        <v>144</v>
      </c>
      <c r="D84" s="47" t="s">
        <v>146</v>
      </c>
      <c r="E84" s="47" t="s">
        <v>145</v>
      </c>
      <c r="F84" s="47" t="s">
        <v>144</v>
      </c>
      <c r="G84" s="56"/>
      <c r="H84" s="47"/>
      <c r="I84" s="47" t="s">
        <v>144</v>
      </c>
    </row>
    <row r="85" spans="1:10" x14ac:dyDescent="0.25">
      <c r="A85" s="56" t="s">
        <v>289</v>
      </c>
      <c r="B85" s="47" t="s">
        <v>288</v>
      </c>
      <c r="C85" s="47" t="s">
        <v>144</v>
      </c>
      <c r="D85" s="47" t="s">
        <v>146</v>
      </c>
      <c r="E85" s="47" t="s">
        <v>145</v>
      </c>
      <c r="F85" s="47" t="s">
        <v>144</v>
      </c>
      <c r="G85" s="56"/>
      <c r="H85" s="47"/>
      <c r="I85" s="47" t="s">
        <v>144</v>
      </c>
    </row>
    <row r="86" spans="1:10" x14ac:dyDescent="0.25">
      <c r="A86" s="56" t="s">
        <v>283</v>
      </c>
      <c r="B86" s="47" t="s">
        <v>282</v>
      </c>
      <c r="C86" s="47" t="s">
        <v>144</v>
      </c>
      <c r="D86" s="47" t="s">
        <v>146</v>
      </c>
      <c r="E86" s="47" t="s">
        <v>168</v>
      </c>
      <c r="F86" s="47" t="s">
        <v>144</v>
      </c>
      <c r="G86" s="56"/>
      <c r="H86" s="47"/>
      <c r="I86" s="47" t="s">
        <v>144</v>
      </c>
    </row>
    <row r="87" spans="1:10" x14ac:dyDescent="0.25">
      <c r="A87" s="56" t="s">
        <v>281</v>
      </c>
      <c r="B87" s="47" t="s">
        <v>280</v>
      </c>
      <c r="C87" s="47" t="s">
        <v>144</v>
      </c>
      <c r="D87" s="47" t="s">
        <v>146</v>
      </c>
      <c r="E87" s="47" t="s">
        <v>145</v>
      </c>
      <c r="F87" s="47" t="s">
        <v>144</v>
      </c>
      <c r="G87" s="56"/>
      <c r="H87" s="47"/>
      <c r="I87" s="47" t="s">
        <v>144</v>
      </c>
    </row>
    <row r="88" spans="1:10" x14ac:dyDescent="0.25">
      <c r="A88" s="56" t="s">
        <v>216</v>
      </c>
      <c r="B88" s="47" t="s">
        <v>215</v>
      </c>
      <c r="C88" s="47" t="s">
        <v>144</v>
      </c>
      <c r="D88" s="47" t="s">
        <v>146</v>
      </c>
      <c r="E88" s="47" t="s">
        <v>145</v>
      </c>
      <c r="F88" s="47" t="s">
        <v>144</v>
      </c>
      <c r="G88" s="56"/>
      <c r="H88" s="47"/>
      <c r="I88" s="47" t="s">
        <v>144</v>
      </c>
    </row>
    <row r="89" spans="1:10" x14ac:dyDescent="0.25">
      <c r="A89" s="56" t="s">
        <v>152</v>
      </c>
      <c r="B89" s="47" t="s">
        <v>151</v>
      </c>
      <c r="C89" s="47" t="s">
        <v>144</v>
      </c>
      <c r="D89" s="47" t="s">
        <v>146</v>
      </c>
      <c r="E89" s="47" t="s">
        <v>145</v>
      </c>
      <c r="F89" s="47" t="s">
        <v>144</v>
      </c>
      <c r="G89" s="56"/>
      <c r="H89" s="47"/>
      <c r="I89" s="47" t="s">
        <v>144</v>
      </c>
    </row>
    <row r="90" spans="1:10" ht="45" x14ac:dyDescent="0.25">
      <c r="A90" s="56" t="s">
        <v>304</v>
      </c>
      <c r="B90" s="47" t="s">
        <v>303</v>
      </c>
      <c r="C90" s="47" t="s">
        <v>144</v>
      </c>
      <c r="D90" s="47" t="s">
        <v>146</v>
      </c>
      <c r="E90" s="47" t="s">
        <v>145</v>
      </c>
      <c r="F90" s="47" t="s">
        <v>144</v>
      </c>
      <c r="G90" s="56"/>
      <c r="H90" s="25" t="s">
        <v>421</v>
      </c>
      <c r="I90" s="47" t="s">
        <v>144</v>
      </c>
    </row>
    <row r="91" spans="1:10" ht="45" x14ac:dyDescent="0.25">
      <c r="A91" s="56" t="s">
        <v>302</v>
      </c>
      <c r="B91" s="47" t="s">
        <v>301</v>
      </c>
      <c r="C91" s="47" t="s">
        <v>144</v>
      </c>
      <c r="D91" s="47" t="s">
        <v>146</v>
      </c>
      <c r="E91" s="47" t="s">
        <v>145</v>
      </c>
      <c r="F91" s="47" t="s">
        <v>144</v>
      </c>
      <c r="G91" s="56"/>
      <c r="H91" s="25" t="s">
        <v>421</v>
      </c>
      <c r="I91" s="47" t="s">
        <v>144</v>
      </c>
    </row>
    <row r="92" spans="1:10" ht="45" x14ac:dyDescent="0.25">
      <c r="A92" s="56" t="s">
        <v>306</v>
      </c>
      <c r="B92" s="47" t="s">
        <v>305</v>
      </c>
      <c r="C92" s="47" t="s">
        <v>144</v>
      </c>
      <c r="D92" s="47" t="s">
        <v>146</v>
      </c>
      <c r="E92" s="47" t="s">
        <v>145</v>
      </c>
      <c r="F92" s="47" t="s">
        <v>144</v>
      </c>
      <c r="G92" s="56"/>
      <c r="H92" s="25" t="s">
        <v>420</v>
      </c>
      <c r="I92" s="47" t="s">
        <v>144</v>
      </c>
    </row>
    <row r="93" spans="1:10" x14ac:dyDescent="0.25">
      <c r="A93" s="56" t="s">
        <v>279</v>
      </c>
      <c r="B93" s="47" t="s">
        <v>278</v>
      </c>
      <c r="C93" s="47" t="s">
        <v>144</v>
      </c>
      <c r="D93" s="47" t="s">
        <v>146</v>
      </c>
      <c r="E93" s="47" t="s">
        <v>145</v>
      </c>
      <c r="F93" s="47" t="s">
        <v>156</v>
      </c>
      <c r="G93" s="56"/>
      <c r="H93" s="66" t="s">
        <v>422</v>
      </c>
      <c r="I93" s="47" t="s">
        <v>144</v>
      </c>
      <c r="J93" s="66" t="s">
        <v>422</v>
      </c>
    </row>
    <row r="94" spans="1:10" x14ac:dyDescent="0.25">
      <c r="A94" s="56" t="s">
        <v>348</v>
      </c>
      <c r="B94" s="47" t="s">
        <v>347</v>
      </c>
      <c r="C94" s="47" t="s">
        <v>144</v>
      </c>
      <c r="D94" s="47" t="s">
        <v>146</v>
      </c>
      <c r="E94" s="47" t="s">
        <v>145</v>
      </c>
      <c r="F94" s="47" t="s">
        <v>156</v>
      </c>
      <c r="G94" s="56"/>
      <c r="H94" s="47"/>
      <c r="I94" s="47" t="s">
        <v>156</v>
      </c>
    </row>
    <row r="95" spans="1:10" ht="45" x14ac:dyDescent="0.25">
      <c r="A95" s="56" t="s">
        <v>346</v>
      </c>
      <c r="B95" s="47" t="s">
        <v>345</v>
      </c>
      <c r="C95" s="47" t="s">
        <v>144</v>
      </c>
      <c r="D95" s="47" t="s">
        <v>146</v>
      </c>
      <c r="E95" s="47" t="s">
        <v>145</v>
      </c>
      <c r="F95" s="47" t="s">
        <v>144</v>
      </c>
      <c r="G95" s="56"/>
      <c r="H95" s="25" t="s">
        <v>424</v>
      </c>
      <c r="I95" s="47" t="s">
        <v>144</v>
      </c>
    </row>
    <row r="96" spans="1:10" x14ac:dyDescent="0.25">
      <c r="A96" s="56" t="s">
        <v>277</v>
      </c>
      <c r="B96" s="47" t="s">
        <v>276</v>
      </c>
      <c r="C96" s="47" t="s">
        <v>144</v>
      </c>
      <c r="D96" s="47" t="s">
        <v>146</v>
      </c>
      <c r="E96" s="47" t="s">
        <v>145</v>
      </c>
      <c r="F96" s="47" t="s">
        <v>157</v>
      </c>
      <c r="G96" s="56"/>
      <c r="H96" s="47"/>
      <c r="I96" s="47" t="s">
        <v>144</v>
      </c>
    </row>
    <row r="97" spans="1:11" ht="45" x14ac:dyDescent="0.25">
      <c r="A97" s="56" t="s">
        <v>344</v>
      </c>
      <c r="B97" s="47" t="s">
        <v>343</v>
      </c>
      <c r="C97" s="47" t="s">
        <v>144</v>
      </c>
      <c r="D97" s="47" t="s">
        <v>146</v>
      </c>
      <c r="E97" s="47" t="s">
        <v>145</v>
      </c>
      <c r="F97" s="47" t="s">
        <v>144</v>
      </c>
      <c r="G97" s="56"/>
      <c r="H97" s="25" t="s">
        <v>425</v>
      </c>
      <c r="I97" s="47" t="s">
        <v>144</v>
      </c>
    </row>
    <row r="98" spans="1:11" x14ac:dyDescent="0.25">
      <c r="A98" s="56" t="s">
        <v>326</v>
      </c>
      <c r="B98" s="47" t="s">
        <v>325</v>
      </c>
      <c r="C98" s="47" t="s">
        <v>153</v>
      </c>
      <c r="D98" s="47" t="s">
        <v>146</v>
      </c>
      <c r="E98" s="47" t="s">
        <v>145</v>
      </c>
      <c r="F98" s="47" t="s">
        <v>144</v>
      </c>
      <c r="G98" s="56" t="s">
        <v>144</v>
      </c>
      <c r="H98" s="47" t="s">
        <v>386</v>
      </c>
      <c r="I98" s="47" t="s">
        <v>144</v>
      </c>
      <c r="K98" s="47" t="s">
        <v>411</v>
      </c>
    </row>
    <row r="99" spans="1:11" x14ac:dyDescent="0.25">
      <c r="A99" s="56" t="s">
        <v>331</v>
      </c>
      <c r="B99" s="47" t="s">
        <v>330</v>
      </c>
      <c r="C99" s="47" t="s">
        <v>153</v>
      </c>
      <c r="D99" s="47" t="s">
        <v>146</v>
      </c>
      <c r="E99" s="47" t="s">
        <v>145</v>
      </c>
      <c r="F99" s="47" t="s">
        <v>144</v>
      </c>
      <c r="G99" s="56"/>
      <c r="H99" s="47"/>
      <c r="I99" s="47" t="s">
        <v>144</v>
      </c>
    </row>
    <row r="100" spans="1:11" x14ac:dyDescent="0.25">
      <c r="A100" s="56" t="s">
        <v>232</v>
      </c>
      <c r="B100" s="47" t="s">
        <v>231</v>
      </c>
      <c r="C100" s="47" t="s">
        <v>144</v>
      </c>
      <c r="D100" s="47" t="s">
        <v>146</v>
      </c>
      <c r="E100" s="47" t="s">
        <v>158</v>
      </c>
      <c r="F100" s="47" t="s">
        <v>157</v>
      </c>
      <c r="G100" s="56"/>
      <c r="H100" s="47"/>
      <c r="I100" s="47" t="s">
        <v>144</v>
      </c>
    </row>
    <row r="101" spans="1:11" x14ac:dyDescent="0.25">
      <c r="A101" s="56" t="s">
        <v>230</v>
      </c>
      <c r="B101" s="47" t="s">
        <v>229</v>
      </c>
      <c r="C101" s="47" t="s">
        <v>144</v>
      </c>
      <c r="D101" s="47" t="s">
        <v>146</v>
      </c>
      <c r="E101" s="47" t="s">
        <v>158</v>
      </c>
      <c r="F101" s="47" t="s">
        <v>157</v>
      </c>
      <c r="G101" s="56"/>
      <c r="H101" s="47"/>
      <c r="I101" s="47" t="s">
        <v>144</v>
      </c>
    </row>
    <row r="102" spans="1:11" x14ac:dyDescent="0.25">
      <c r="A102" s="56" t="s">
        <v>197</v>
      </c>
      <c r="B102" s="47" t="s">
        <v>196</v>
      </c>
      <c r="C102" s="47" t="s">
        <v>144</v>
      </c>
      <c r="D102" s="47" t="s">
        <v>190</v>
      </c>
      <c r="E102" s="47" t="s">
        <v>145</v>
      </c>
      <c r="F102" s="47" t="s">
        <v>144</v>
      </c>
      <c r="G102" s="56"/>
      <c r="H102" s="47"/>
      <c r="I102" s="47" t="s">
        <v>144</v>
      </c>
    </row>
    <row r="103" spans="1:11" x14ac:dyDescent="0.25">
      <c r="A103" s="56" t="s">
        <v>214</v>
      </c>
      <c r="B103" s="47" t="s">
        <v>213</v>
      </c>
      <c r="C103" s="47" t="s">
        <v>144</v>
      </c>
      <c r="D103" s="47" t="s">
        <v>146</v>
      </c>
      <c r="E103" s="47" t="s">
        <v>145</v>
      </c>
      <c r="F103" s="47" t="s">
        <v>144</v>
      </c>
      <c r="G103" s="56"/>
      <c r="H103" s="47"/>
      <c r="I103" s="47" t="s">
        <v>144</v>
      </c>
    </row>
    <row r="104" spans="1:11" x14ac:dyDescent="0.25">
      <c r="A104" s="56" t="s">
        <v>150</v>
      </c>
      <c r="B104" s="47" t="s">
        <v>149</v>
      </c>
      <c r="C104" s="47" t="s">
        <v>144</v>
      </c>
      <c r="D104" s="47" t="s">
        <v>146</v>
      </c>
      <c r="E104" s="47" t="s">
        <v>145</v>
      </c>
      <c r="F104" s="47" t="s">
        <v>144</v>
      </c>
      <c r="G104" s="56"/>
      <c r="H104" s="47"/>
      <c r="I104" s="47" t="s">
        <v>144</v>
      </c>
    </row>
    <row r="105" spans="1:11" x14ac:dyDescent="0.25">
      <c r="A105" s="56" t="s">
        <v>212</v>
      </c>
      <c r="B105" s="47" t="s">
        <v>211</v>
      </c>
      <c r="C105" s="47" t="s">
        <v>144</v>
      </c>
      <c r="D105" s="47" t="s">
        <v>146</v>
      </c>
      <c r="E105" s="47" t="s">
        <v>145</v>
      </c>
      <c r="F105" s="47" t="s">
        <v>144</v>
      </c>
      <c r="G105" s="56"/>
      <c r="H105" s="47"/>
      <c r="I105" s="47" t="s">
        <v>144</v>
      </c>
    </row>
    <row r="106" spans="1:11" x14ac:dyDescent="0.25">
      <c r="A106" s="56" t="s">
        <v>148</v>
      </c>
      <c r="B106" s="47" t="s">
        <v>147</v>
      </c>
      <c r="C106" s="47" t="s">
        <v>144</v>
      </c>
      <c r="D106" s="47" t="s">
        <v>146</v>
      </c>
      <c r="E106" s="47" t="s">
        <v>145</v>
      </c>
      <c r="F106" s="47" t="s">
        <v>144</v>
      </c>
      <c r="G106" s="56"/>
      <c r="H106" s="47"/>
      <c r="I106" s="47" t="s">
        <v>144</v>
      </c>
    </row>
    <row r="107" spans="1:11" x14ac:dyDescent="0.25">
      <c r="A107" s="56" t="s">
        <v>210</v>
      </c>
      <c r="B107" s="47" t="s">
        <v>209</v>
      </c>
      <c r="C107" s="47" t="s">
        <v>144</v>
      </c>
      <c r="D107" s="47" t="s">
        <v>146</v>
      </c>
      <c r="E107" s="47" t="s">
        <v>145</v>
      </c>
      <c r="F107" s="47" t="s">
        <v>156</v>
      </c>
      <c r="G107" s="56"/>
      <c r="H107" s="47"/>
      <c r="I107" s="47" t="s">
        <v>144</v>
      </c>
    </row>
    <row r="108" spans="1:11" x14ac:dyDescent="0.25">
      <c r="A108" s="56" t="s">
        <v>208</v>
      </c>
      <c r="B108" s="47" t="s">
        <v>207</v>
      </c>
      <c r="C108" s="47" t="s">
        <v>144</v>
      </c>
      <c r="D108" s="47" t="s">
        <v>146</v>
      </c>
      <c r="E108" s="47" t="s">
        <v>145</v>
      </c>
      <c r="F108" s="47" t="s">
        <v>144</v>
      </c>
      <c r="G108" s="56"/>
      <c r="H108" s="47"/>
      <c r="I108" s="47" t="s">
        <v>144</v>
      </c>
    </row>
    <row r="109" spans="1:11" x14ac:dyDescent="0.25">
      <c r="A109" s="56" t="s">
        <v>252</v>
      </c>
      <c r="B109" s="47" t="s">
        <v>251</v>
      </c>
      <c r="C109" s="47" t="s">
        <v>144</v>
      </c>
      <c r="D109" s="47" t="s">
        <v>146</v>
      </c>
      <c r="E109" s="47" t="s">
        <v>145</v>
      </c>
      <c r="F109" s="47" t="s">
        <v>144</v>
      </c>
      <c r="G109" s="56"/>
      <c r="H109" s="47"/>
      <c r="I109" s="47" t="s">
        <v>144</v>
      </c>
    </row>
    <row r="110" spans="1:11" x14ac:dyDescent="0.25">
      <c r="A110" s="56" t="s">
        <v>250</v>
      </c>
      <c r="B110" s="47" t="s">
        <v>249</v>
      </c>
      <c r="C110" s="47" t="s">
        <v>152</v>
      </c>
      <c r="D110" s="47" t="s">
        <v>146</v>
      </c>
      <c r="E110" s="47" t="s">
        <v>168</v>
      </c>
      <c r="F110" s="47" t="s">
        <v>156</v>
      </c>
      <c r="G110" s="56"/>
      <c r="H110" s="47" t="s">
        <v>248</v>
      </c>
      <c r="I110" s="47" t="s">
        <v>156</v>
      </c>
    </row>
    <row r="111" spans="1:11" x14ac:dyDescent="0.25">
      <c r="A111" s="56" t="s">
        <v>163</v>
      </c>
      <c r="B111" s="47" t="s">
        <v>162</v>
      </c>
      <c r="C111" s="47" t="s">
        <v>152</v>
      </c>
      <c r="D111" s="47" t="s">
        <v>146</v>
      </c>
      <c r="E111" s="47" t="s">
        <v>158</v>
      </c>
      <c r="F111" s="47" t="s">
        <v>156</v>
      </c>
      <c r="G111" s="56"/>
      <c r="H111" s="47" t="s">
        <v>161</v>
      </c>
      <c r="I111" s="47" t="s">
        <v>157</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G25"/>
  <sheetViews>
    <sheetView workbookViewId="0">
      <selection activeCell="H34" sqref="H34"/>
    </sheetView>
  </sheetViews>
  <sheetFormatPr baseColWidth="10" defaultRowHeight="15" x14ac:dyDescent="0.25"/>
  <cols>
    <col min="1" max="1" width="2" style="47" bestFit="1" customWidth="1"/>
  </cols>
  <sheetData>
    <row r="1" spans="2:7" ht="15.75" thickBot="1" x14ac:dyDescent="0.3">
      <c r="B1" s="47"/>
      <c r="C1" s="15"/>
      <c r="D1" s="47"/>
      <c r="E1" s="15"/>
      <c r="F1" s="47"/>
      <c r="G1" s="15"/>
    </row>
    <row r="2" spans="2:7" x14ac:dyDescent="0.25">
      <c r="B2" s="11"/>
      <c r="C2" s="47"/>
      <c r="D2" s="11"/>
      <c r="E2" s="47"/>
      <c r="F2" s="11"/>
      <c r="G2" s="47"/>
    </row>
    <row r="3" spans="2:7" x14ac:dyDescent="0.25">
      <c r="B3" s="67"/>
      <c r="C3" s="47"/>
      <c r="D3" s="12"/>
      <c r="E3" s="47"/>
      <c r="F3" s="12"/>
      <c r="G3" s="47"/>
    </row>
    <row r="4" spans="2:7" x14ac:dyDescent="0.25">
      <c r="B4" s="12"/>
      <c r="C4" s="47"/>
      <c r="D4" s="12"/>
      <c r="E4" s="47"/>
      <c r="F4" s="12"/>
      <c r="G4" s="47"/>
    </row>
    <row r="5" spans="2:7" x14ac:dyDescent="0.25">
      <c r="B5" s="64"/>
      <c r="C5" s="47"/>
      <c r="D5" s="12"/>
      <c r="E5" s="47"/>
      <c r="F5" s="12"/>
      <c r="G5" s="47"/>
    </row>
    <row r="6" spans="2:7" x14ac:dyDescent="0.25">
      <c r="B6" s="12"/>
      <c r="C6" s="47"/>
      <c r="D6" s="12"/>
      <c r="E6" s="47"/>
      <c r="F6" s="12"/>
      <c r="G6" s="47"/>
    </row>
    <row r="7" spans="2:7" x14ac:dyDescent="0.25">
      <c r="B7" s="67"/>
      <c r="C7" s="47"/>
      <c r="D7" s="67"/>
      <c r="E7" s="47"/>
      <c r="F7" s="12"/>
      <c r="G7" s="47"/>
    </row>
    <row r="8" spans="2:7" x14ac:dyDescent="0.25">
      <c r="B8" s="64"/>
      <c r="C8" s="47"/>
      <c r="D8" s="64"/>
      <c r="E8" s="47"/>
      <c r="F8" s="12"/>
      <c r="G8" s="47"/>
    </row>
    <row r="9" spans="2:7" ht="15.75" thickBot="1" x14ac:dyDescent="0.3">
      <c r="B9" s="65"/>
      <c r="C9" s="47"/>
      <c r="D9" s="65"/>
      <c r="E9" s="47"/>
      <c r="F9" s="13"/>
      <c r="G9" s="47"/>
    </row>
    <row r="10" spans="2:7" x14ac:dyDescent="0.25">
      <c r="B10" s="11"/>
      <c r="C10" s="47"/>
      <c r="D10" s="11"/>
      <c r="E10" s="47"/>
      <c r="F10" s="11"/>
      <c r="G10" s="47"/>
    </row>
    <row r="11" spans="2:7" x14ac:dyDescent="0.25">
      <c r="B11" s="12"/>
      <c r="C11" s="47"/>
      <c r="D11" s="12"/>
      <c r="E11" s="47"/>
      <c r="F11" s="12"/>
      <c r="G11" s="47"/>
    </row>
    <row r="12" spans="2:7" x14ac:dyDescent="0.25">
      <c r="B12" s="12"/>
      <c r="C12" s="47"/>
      <c r="D12" s="12"/>
      <c r="E12" s="47"/>
      <c r="F12" s="12"/>
      <c r="G12" s="47"/>
    </row>
    <row r="13" spans="2:7" x14ac:dyDescent="0.25">
      <c r="B13" s="64"/>
      <c r="C13" s="47"/>
      <c r="D13" s="64"/>
      <c r="E13" s="47"/>
      <c r="F13" s="12"/>
      <c r="G13" s="47"/>
    </row>
    <row r="14" spans="2:7" x14ac:dyDescent="0.25">
      <c r="B14" s="12"/>
      <c r="C14" s="47"/>
      <c r="D14" s="12"/>
      <c r="E14" s="47"/>
      <c r="F14" s="12"/>
      <c r="G14" s="47"/>
    </row>
    <row r="15" spans="2:7" x14ac:dyDescent="0.25">
      <c r="B15" s="64"/>
      <c r="C15" s="47"/>
      <c r="D15" s="64"/>
      <c r="E15" s="47"/>
      <c r="F15" s="12"/>
      <c r="G15" s="47"/>
    </row>
    <row r="16" spans="2:7" x14ac:dyDescent="0.25">
      <c r="B16" s="64"/>
      <c r="C16" s="47"/>
      <c r="D16" s="64"/>
      <c r="E16" s="47"/>
      <c r="F16" s="12"/>
      <c r="G16" s="47"/>
    </row>
    <row r="17" spans="2:7" ht="15.75" thickBot="1" x14ac:dyDescent="0.3">
      <c r="B17" s="65"/>
      <c r="C17" s="47"/>
      <c r="D17" s="65"/>
      <c r="E17" s="47"/>
      <c r="F17" s="13"/>
      <c r="G17" s="47"/>
    </row>
    <row r="18" spans="2:7" x14ac:dyDescent="0.25">
      <c r="B18" s="11"/>
      <c r="C18" s="47"/>
      <c r="D18" s="11"/>
      <c r="E18" s="47"/>
      <c r="F18" s="11"/>
      <c r="G18" s="47"/>
    </row>
    <row r="19" spans="2:7" x14ac:dyDescent="0.25">
      <c r="B19" s="12"/>
      <c r="C19" s="47"/>
      <c r="D19" s="12"/>
      <c r="E19" s="47"/>
      <c r="F19" s="12"/>
      <c r="G19" s="47"/>
    </row>
    <row r="20" spans="2:7" x14ac:dyDescent="0.25">
      <c r="B20" s="12"/>
      <c r="C20" s="47"/>
      <c r="D20" s="12"/>
      <c r="E20" s="47"/>
      <c r="F20" s="12"/>
      <c r="G20" s="47"/>
    </row>
    <row r="21" spans="2:7" x14ac:dyDescent="0.25">
      <c r="B21" s="12"/>
      <c r="C21" s="47"/>
      <c r="D21" s="12"/>
      <c r="E21" s="47"/>
      <c r="F21" s="12"/>
      <c r="G21" s="47"/>
    </row>
    <row r="22" spans="2:7" x14ac:dyDescent="0.25">
      <c r="B22" s="12"/>
      <c r="C22" s="47"/>
      <c r="D22" s="12"/>
      <c r="E22" s="47"/>
      <c r="F22" s="12"/>
      <c r="G22" s="47"/>
    </row>
    <row r="23" spans="2:7" x14ac:dyDescent="0.25">
      <c r="B23" s="12"/>
      <c r="C23" s="47"/>
      <c r="D23" s="12"/>
      <c r="E23" s="47"/>
      <c r="F23" s="12"/>
      <c r="G23" s="47"/>
    </row>
    <row r="24" spans="2:7" x14ac:dyDescent="0.25">
      <c r="B24" s="67"/>
      <c r="C24" s="47"/>
      <c r="D24" s="12"/>
      <c r="E24" s="47"/>
      <c r="F24" s="12"/>
      <c r="G24" s="47"/>
    </row>
    <row r="25" spans="2:7" ht="15.75" thickBot="1" x14ac:dyDescent="0.3">
      <c r="B25" s="68"/>
      <c r="C25" s="47"/>
      <c r="D25" s="13"/>
      <c r="E25" s="47"/>
      <c r="F25" s="13"/>
      <c r="G25" s="4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16</vt:i4>
      </vt:variant>
    </vt:vector>
  </HeadingPairs>
  <TitlesOfParts>
    <vt:vector size="26" baseType="lpstr">
      <vt:lpstr>Sommaire</vt:lpstr>
      <vt:lpstr>EMV</vt:lpstr>
      <vt:lpstr>VISA</vt:lpstr>
      <vt:lpstr>MCW</vt:lpstr>
      <vt:lpstr>CB</vt:lpstr>
      <vt:lpstr>Conversion Tables IP</vt:lpstr>
      <vt:lpstr>Code Service</vt:lpstr>
      <vt:lpstr>CB - PP1.4</vt:lpstr>
      <vt:lpstr>Feuil2</vt:lpstr>
      <vt:lpstr>Feuil1</vt:lpstr>
      <vt:lpstr>CVR</vt:lpstr>
      <vt:lpstr>EMV_Add_Terminal_Cap</vt:lpstr>
      <vt:lpstr>CB!EMV_AIP</vt:lpstr>
      <vt:lpstr>EMV_AIP</vt:lpstr>
      <vt:lpstr>EMV_AUC</vt:lpstr>
      <vt:lpstr>EMV_Terminal_cap</vt:lpstr>
      <vt:lpstr>EMV_TSI</vt:lpstr>
      <vt:lpstr>CB!EMV_TVR</vt:lpstr>
      <vt:lpstr>EMV_TVR</vt:lpstr>
      <vt:lpstr>MCW_ARPC</vt:lpstr>
      <vt:lpstr>MCW_CIAC</vt:lpstr>
      <vt:lpstr>MCW_CVR</vt:lpstr>
      <vt:lpstr>MCW_D5</vt:lpstr>
      <vt:lpstr>TSI</vt:lpstr>
      <vt:lpstr>VISA_ADA</vt:lpstr>
      <vt:lpstr>VISA_CVR</vt:lpstr>
    </vt:vector>
  </TitlesOfParts>
  <Company>Galitt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Giraud</dc:creator>
  <cp:lastModifiedBy>GabrielJ Jureidini</cp:lastModifiedBy>
  <dcterms:created xsi:type="dcterms:W3CDTF">2012-02-06T09:38:47Z</dcterms:created>
  <dcterms:modified xsi:type="dcterms:W3CDTF">2017-02-07T07:54:13Z</dcterms:modified>
</cp:coreProperties>
</file>