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2020-2021\kwartaal1\Biomethoden1\nieuw\les2\"/>
    </mc:Choice>
  </mc:AlternateContent>
  <xr:revisionPtr revIDLastSave="0" documentId="13_ncr:1_{32EF54EB-0749-4E97-8CDF-4C65A45EBE4D}" xr6:coauthVersionLast="45" xr6:coauthVersionMax="45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Opgave 3 external standard" sheetId="1" r:id="rId1"/>
    <sheet name="Opgave 3 internal standard" sheetId="2" r:id="rId2"/>
    <sheet name="Opgave 3c pipetteer schema" sheetId="3" r:id="rId3"/>
    <sheet name="Opgave 5" sheetId="4" r:id="rId4"/>
    <sheet name="Opgave 6" sheetId="6" r:id="rId5"/>
    <sheet name="Opgave 7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4" l="1"/>
  <c r="C34" i="4"/>
  <c r="C41" i="4"/>
  <c r="C17" i="2" l="1"/>
  <c r="E4" i="2"/>
  <c r="C13" i="1"/>
  <c r="B10" i="6" l="1"/>
  <c r="B11" i="6"/>
  <c r="B12" i="6"/>
  <c r="B13" i="6"/>
  <c r="B14" i="6"/>
  <c r="B15" i="6"/>
  <c r="B21" i="6"/>
  <c r="B25" i="6"/>
  <c r="B26" i="6"/>
  <c r="B28" i="6"/>
  <c r="B29" i="6"/>
  <c r="C52" i="1" l="1"/>
  <c r="C51" i="1"/>
  <c r="C50" i="1"/>
  <c r="C9" i="5" l="1"/>
  <c r="D5" i="5" s="1"/>
  <c r="D7" i="5" l="1"/>
  <c r="D4" i="5"/>
  <c r="D6" i="5"/>
  <c r="D9" i="5" l="1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13" i="4"/>
  <c r="B4" i="4"/>
  <c r="B5" i="4" s="1"/>
  <c r="B6" i="4" s="1"/>
  <c r="B7" i="4" s="1"/>
  <c r="B8" i="4" s="1"/>
  <c r="D26" i="4" l="1"/>
  <c r="D13" i="4"/>
  <c r="D14" i="4"/>
  <c r="D22" i="4"/>
  <c r="D15" i="4"/>
  <c r="D23" i="4"/>
  <c r="D16" i="4"/>
  <c r="D24" i="4"/>
  <c r="D17" i="4"/>
  <c r="D25" i="4"/>
  <c r="D18" i="4"/>
  <c r="D19" i="4"/>
  <c r="D20" i="4"/>
  <c r="D21" i="4"/>
  <c r="C33" i="4"/>
  <c r="C36" i="4" s="1"/>
  <c r="D6" i="3"/>
  <c r="E6" i="3" s="1"/>
  <c r="D7" i="3"/>
  <c r="E7" i="3" s="1"/>
  <c r="D8" i="3"/>
  <c r="E8" i="3" s="1"/>
  <c r="D9" i="3"/>
  <c r="E9" i="3" s="1"/>
  <c r="D10" i="3"/>
  <c r="E10" i="3" s="1"/>
  <c r="C37" i="4" l="1"/>
  <c r="E5" i="2"/>
  <c r="E6" i="2"/>
  <c r="E7" i="2"/>
  <c r="E8" i="2"/>
  <c r="E9" i="2"/>
  <c r="C54" i="2" s="1"/>
  <c r="C38" i="4" l="1"/>
  <c r="C42" i="4" s="1"/>
</calcChain>
</file>

<file path=xl/sharedStrings.xml><?xml version="1.0" encoding="utf-8"?>
<sst xmlns="http://schemas.openxmlformats.org/spreadsheetml/2006/main" count="186" uniqueCount="111">
  <si>
    <t>Monster</t>
  </si>
  <si>
    <t>Conc Na (ppm)</t>
  </si>
  <si>
    <t>Intensiteit Na</t>
  </si>
  <si>
    <t>Intensiteit Li</t>
  </si>
  <si>
    <t>a</t>
  </si>
  <si>
    <t>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</si>
  <si>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</si>
  <si>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</si>
  <si>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</si>
  <si>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</si>
  <si>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</si>
  <si>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</si>
  <si>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</si>
  <si>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</si>
  <si>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</si>
  <si>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</si>
  <si>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</si>
  <si>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</si>
  <si>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</si>
  <si>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</si>
  <si>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</si>
  <si>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</si>
  <si>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</si>
  <si>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</si>
  <si>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</si>
  <si>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</si>
  <si>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</si>
  <si>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</si>
  <si>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</si>
  <si>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</si>
  <si>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</si>
  <si>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</si>
  <si>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Intensiteit Na</t>
  </si>
  <si>
    <t>Residuals</t>
  </si>
  <si>
    <t>Kan ook met statistics analysis pack:</t>
  </si>
  <si>
    <t>x</t>
  </si>
  <si>
    <t>ppm</t>
  </si>
  <si>
    <t>Ratio</t>
  </si>
  <si>
    <t>of met statistics analysis pack (minder werk):</t>
  </si>
  <si>
    <t>Predicted Ratio</t>
  </si>
  <si>
    <t>Stock Na</t>
  </si>
  <si>
    <t>Buis</t>
  </si>
  <si>
    <t>[Na] in ppm</t>
  </si>
  <si>
    <t>V stock (ml)</t>
  </si>
  <si>
    <t>V water (ml)</t>
  </si>
  <si>
    <t>mg</t>
  </si>
  <si>
    <t>natriumnitriet</t>
  </si>
  <si>
    <t>ml</t>
  </si>
  <si>
    <t>water</t>
  </si>
  <si>
    <t>c</t>
  </si>
  <si>
    <t>m</t>
  </si>
  <si>
    <t>V</t>
  </si>
  <si>
    <t>mg/l</t>
  </si>
  <si>
    <t>Vs (ml)</t>
  </si>
  <si>
    <t>demi (ml)</t>
  </si>
  <si>
    <t>g/mol</t>
  </si>
  <si>
    <t>A520</t>
  </si>
  <si>
    <t>y</t>
  </si>
  <si>
    <t xml:space="preserve">zet y op 0 voor kruispunt x </t>
  </si>
  <si>
    <t xml:space="preserve"> -x</t>
  </si>
  <si>
    <t>0 = ax + b</t>
  </si>
  <si>
    <t xml:space="preserve"> -ax + b</t>
  </si>
  <si>
    <t xml:space="preserve"> -x = b/a</t>
  </si>
  <si>
    <t>x = -1*b/a</t>
  </si>
  <si>
    <t>c_verd</t>
  </si>
  <si>
    <t>mg/ml</t>
  </si>
  <si>
    <t>100 maal verdund</t>
  </si>
  <si>
    <t>n (umol/buis)</t>
  </si>
  <si>
    <t>mmol/ml</t>
  </si>
  <si>
    <t>umol/ml</t>
  </si>
  <si>
    <t>umol/200 ml</t>
  </si>
  <si>
    <t>umol/g Ossenworst</t>
  </si>
  <si>
    <t>m_mens</t>
  </si>
  <si>
    <t>kg</t>
  </si>
  <si>
    <t>max</t>
  </si>
  <si>
    <t>mg/kg</t>
  </si>
  <si>
    <t>Mw NaNO2</t>
  </si>
  <si>
    <t>Mw NO2</t>
  </si>
  <si>
    <t>dus max</t>
  </si>
  <si>
    <t>g Ossenworst per dag</t>
  </si>
  <si>
    <t xml:space="preserve">umol/ml nitriet </t>
  </si>
  <si>
    <t>ug/g Ossenworst (let op: nu gerekend met de molmassa van nitriet!)</t>
  </si>
  <si>
    <t>Opgave 7</t>
  </si>
  <si>
    <t xml:space="preserve">Totaal: </t>
  </si>
  <si>
    <t>Glucose</t>
  </si>
  <si>
    <t>Lactose</t>
  </si>
  <si>
    <t>Fructose</t>
  </si>
  <si>
    <t>Galactose</t>
  </si>
  <si>
    <t>Stof</t>
  </si>
  <si>
    <t>Oppervlak</t>
  </si>
  <si>
    <t>Perc. in %</t>
  </si>
  <si>
    <t>Opgave 5</t>
  </si>
  <si>
    <t>massa mangaan</t>
  </si>
  <si>
    <t>ug</t>
  </si>
  <si>
    <t>totaal V oplos</t>
  </si>
  <si>
    <t>ug/ml</t>
  </si>
  <si>
    <t>conc in oplosmiddel</t>
  </si>
  <si>
    <t>verdunning totaal</t>
  </si>
  <si>
    <t>verdunning</t>
  </si>
  <si>
    <t>A</t>
  </si>
  <si>
    <t>conc (ug/ml)</t>
  </si>
  <si>
    <t>V st (ml)</t>
  </si>
  <si>
    <t>volume</t>
  </si>
  <si>
    <t>stock</t>
  </si>
  <si>
    <t>Opgave 6</t>
  </si>
  <si>
    <t>Opgave 3: internal standaard</t>
  </si>
  <si>
    <t>Opgave 3: external standaard</t>
  </si>
  <si>
    <t>Opgave 3c pipetteer schema</t>
  </si>
  <si>
    <t>y = ax + b</t>
  </si>
  <si>
    <t>x = (y-b)/a</t>
  </si>
  <si>
    <t>umol nitriet in buis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</si>
</sst>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7" formatCode="0.000"/>
    <numFmt numFmtId="169" formatCode="0.0000000"/>
  </numFmts>
  <fonts count="6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2"/>
      <color rgb="FF000000"/>
      <name val="Calibri-Light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0" fillId="3" borderId="0" xfId="0" applyFill="1" applyBorder="1" applyAlignment="1"/>
    <xf numFmtId="0" fontId="0" fillId="3" borderId="1" xfId="0" applyFill="1" applyBorder="1" applyAlignment="1"/>
    <xf numFmtId="0" fontId="0" fillId="0" borderId="0" xfId="0" applyFill="1"/>
    <xf numFmtId="165" fontId="0" fillId="0" borderId="0" xfId="0" applyNumberFormat="1"/>
    <xf numFmtId="167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Font="1"/>
    <xf numFmtId="0" fontId="0" fillId="4" borderId="0" xfId="0" applyFill="1"/>
    <xf numFmtId="2" fontId="0" fillId="3" borderId="0" xfId="0" applyNumberFormat="1" applyFill="1"/>
    <xf numFmtId="0" fontId="3" fillId="0" borderId="0" xfId="0" applyFont="1" applyAlignment="1">
      <alignment vertical="center"/>
    </xf>
    <xf numFmtId="0" fontId="4" fillId="0" borderId="0" xfId="0" applyFont="1"/>
    <xf numFmtId="165" fontId="0" fillId="0" borderId="0" xfId="0" applyNumberFormat="1" applyFont="1"/>
    <xf numFmtId="0" fontId="5" fillId="0" borderId="0" xfId="0" applyFont="1" applyAlignment="1">
      <alignment vertical="center"/>
    </xf>
    <xf numFmtId="169" fontId="0" fillId="0" borderId="0" xfId="0" applyNumberFormat="1"/>
  </cellXfs>
  <cellStyles count="1">
    <cellStyle name="Normal" xfId="0" builtinId="0"/>
  </cellStyles>
  <dxfs count="4">
    <dxf>
      <numFmt numFmtId="165" formatCode="0.0"/>
    </dxf>
    <dxf>
      <numFmt numFmtId="164" formatCode="0.00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</a:t>
            </a:r>
            <a:r>
              <a:rPr lang="en-US" baseline="0"/>
              <a:t> standard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Natrium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47944006999126"/>
                  <c:y val="-0.1862762467191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'Opgave 3 external standard'!$B$4:$B$8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'Opgave 3 external standard'!$C$4:$C$8</c:f>
              <c:numCache>
                <c:formatCode>General</c:formatCode>
                <c:ptCount val="5"/>
                <c:pt idx="0">
                  <c:v>0.11</c:v>
                </c:pt>
                <c:pt idx="1">
                  <c:v>0.52</c:v>
                </c:pt>
                <c:pt idx="2">
                  <c:v>1.8</c:v>
                </c:pt>
                <c:pt idx="3">
                  <c:v>5.9</c:v>
                </c:pt>
                <c:pt idx="4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0-B449-8BBE-19061C0C8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99679"/>
        <c:axId val="79714271"/>
      </c:scatterChart>
      <c:valAx>
        <c:axId val="810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[Na]</a:t>
                </a:r>
                <a:r>
                  <a:rPr lang="en-GB" baseline="0"/>
                  <a:t> in ppm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9714271"/>
        <c:crosses val="autoZero"/>
        <c:crossBetween val="midCat"/>
      </c:valAx>
      <c:valAx>
        <c:axId val="797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Intensity</a:t>
                </a:r>
                <a:r>
                  <a:rPr lang="en-GB" baseline="0"/>
                  <a:t> (AU)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09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Conc Na (ppm)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Intensiteit Na</c:v>
          </c:tx>
          <c:spPr>
            <a:ln w="19050">
              <a:noFill/>
            </a:ln>
          </c:spPr>
          <c:xVal>
            <c:numRef>
              <c:f>'Opgave 3 external standard'!$B$4:$B$8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'Opgave 3 external standard'!$C$4:$C$8</c:f>
              <c:numCache>
                <c:formatCode>General</c:formatCode>
                <c:ptCount val="5"/>
                <c:pt idx="0">
                  <c:v>0.11</c:v>
                </c:pt>
                <c:pt idx="1">
                  <c:v>0.52</c:v>
                </c:pt>
                <c:pt idx="2">
                  <c:v>1.8</c:v>
                </c:pt>
                <c:pt idx="3">
                  <c:v>5.9</c:v>
                </c:pt>
                <c:pt idx="4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4-254B-BAB8-81FA44F14AA8}"/>
            </c:ext>
          </c:extLst>
        </c:ser>
        <c:ser>
          <c:idx val="1"/>
          <c:order val="1"/>
          <c:tx>
            <c:v>Predicted Intensiteit Na</c:v>
          </c:tx>
          <c:spPr>
            <a:ln w="19050">
              <a:noFill/>
            </a:ln>
          </c:spPr>
          <c:xVal>
            <c:numRef>
              <c:f>'Opgave 3 external standard'!$B$4:$B$8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'Opgave 3 external standard'!$C$42:$C$46</c:f>
              <c:numCache>
                <c:formatCode>General</c:formatCode>
                <c:ptCount val="5"/>
                <c:pt idx="0">
                  <c:v>0.51673947264856268</c:v>
                </c:pt>
                <c:pt idx="1">
                  <c:v>0.89552960026985917</c:v>
                </c:pt>
                <c:pt idx="2">
                  <c:v>1.3690172597964798</c:v>
                </c:pt>
                <c:pt idx="3">
                  <c:v>5.1569185360094441</c:v>
                </c:pt>
                <c:pt idx="4">
                  <c:v>9.89179513127565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14-254B-BAB8-81FA44F1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90671"/>
        <c:axId val="102392351"/>
      </c:scatterChart>
      <c:valAx>
        <c:axId val="102390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 Na (ppm)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92351"/>
        <c:crosses val="autoZero"/>
        <c:crossBetween val="midCat"/>
      </c:valAx>
      <c:valAx>
        <c:axId val="102392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Intensiteit Na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906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Internal</a:t>
            </a:r>
            <a:r>
              <a:rPr lang="en-US" baseline="0"/>
              <a:t> standard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Natrium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47944006999126"/>
                  <c:y val="-0.1862762467191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'Opgave 3 internal standard'!$B$4:$B$8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'Opgave 3 internal standard'!$E$4:$E$8</c:f>
              <c:numCache>
                <c:formatCode>0.00</c:formatCode>
                <c:ptCount val="5"/>
                <c:pt idx="0">
                  <c:v>1.2790697674418606E-3</c:v>
                </c:pt>
                <c:pt idx="1">
                  <c:v>6.5000000000000006E-3</c:v>
                </c:pt>
                <c:pt idx="2">
                  <c:v>1.40625E-2</c:v>
                </c:pt>
                <c:pt idx="3">
                  <c:v>6.4835164835164841E-2</c:v>
                </c:pt>
                <c:pt idx="4">
                  <c:v>0.13013698630136986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9-A24A-B4AE-FE730B49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99679"/>
        <c:axId val="79714271"/>
      </c:scatterChart>
      <c:valAx>
        <c:axId val="810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[Na]</a:t>
                </a:r>
                <a:r>
                  <a:rPr lang="en-GB" baseline="0"/>
                  <a:t> in ppm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9714271"/>
        <c:crosses val="autoZero"/>
        <c:crossBetween val="midCat"/>
      </c:valAx>
      <c:valAx>
        <c:axId val="797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Intensity ratio</a:t>
                </a:r>
                <a:r>
                  <a:rPr lang="en-GB" baseline="0"/>
                  <a:t>  (AU)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09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Conc Na (ppm)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19050">
              <a:noFill/>
            </a:ln>
          </c:spPr>
          <c:xVal>
            <c:numRef>
              <c:f>'Opgave 3 internal standard'!$B$4:$B$8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'Opgave 3 internal standard'!$E$4:$E$8</c:f>
              <c:numCache>
                <c:formatCode>0.00</c:formatCode>
                <c:ptCount val="5"/>
                <c:pt idx="0">
                  <c:v>1.2790697674418606E-3</c:v>
                </c:pt>
                <c:pt idx="1">
                  <c:v>6.5000000000000006E-3</c:v>
                </c:pt>
                <c:pt idx="2">
                  <c:v>1.40625E-2</c:v>
                </c:pt>
                <c:pt idx="3">
                  <c:v>6.4835164835164841E-2</c:v>
                </c:pt>
                <c:pt idx="4">
                  <c:v>0.13013698630136986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4-C743-BC42-5844529B251D}"/>
            </c:ext>
          </c:extLst>
        </c:ser>
        <c:ser>
          <c:idx val="1"/>
          <c:order val="1"/>
          <c:tx>
            <c:v>Predicted Ratio</c:v>
          </c:tx>
          <c:spPr>
            <a:ln w="19050">
              <a:noFill/>
            </a:ln>
          </c:spPr>
          <c:xVal>
            <c:numRef>
              <c:f>'Opgave 3 internal standard'!$B$4:$B$8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'Opgave 3 internal standard'!$C$47:$C$51</c:f>
              <c:numCache>
                <c:formatCode>General</c:formatCode>
                <c:ptCount val="5"/>
                <c:pt idx="0">
                  <c:v>1.5823733866266918E-3</c:v>
                </c:pt>
                <c:pt idx="1">
                  <c:v>6.7724815598153394E-3</c:v>
                </c:pt>
                <c:pt idx="2">
                  <c:v>1.3260116776301149E-2</c:v>
                </c:pt>
                <c:pt idx="3">
                  <c:v>6.5161198508187634E-2</c:v>
                </c:pt>
                <c:pt idx="4">
                  <c:v>0.13003755067304573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04-C743-BC42-5844529B2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56111"/>
        <c:axId val="129257743"/>
      </c:scatterChart>
      <c:valAx>
        <c:axId val="12925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 Na (ppm)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257743"/>
        <c:crosses val="autoZero"/>
        <c:crossBetween val="midCat"/>
      </c:valAx>
      <c:valAx>
        <c:axId val="129257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Ratio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56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44794400699913"/>
                  <c:y val="-0.20194553805774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'Opgave 5'!$D$13:$D$26</c:f>
              <c:numCache>
                <c:formatCode>0.0000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5.4351528292506876E-3</c:v>
                </c:pt>
                <c:pt idx="3">
                  <c:v>5.4351528292506876E-3</c:v>
                </c:pt>
                <c:pt idx="4">
                  <c:v>1.0870305658501375E-2</c:v>
                </c:pt>
                <c:pt idx="5">
                  <c:v>1.0870305658501375E-2</c:v>
                </c:pt>
                <c:pt idx="6">
                  <c:v>2.174061131700275E-2</c:v>
                </c:pt>
                <c:pt idx="7">
                  <c:v>2.174061131700275E-2</c:v>
                </c:pt>
                <c:pt idx="8">
                  <c:v>4.3481222634005501E-2</c:v>
                </c:pt>
                <c:pt idx="9">
                  <c:v>4.3481222634005501E-2</c:v>
                </c:pt>
                <c:pt idx="10">
                  <c:v>8.6962445268011002E-2</c:v>
                </c:pt>
                <c:pt idx="11">
                  <c:v>8.6962445268011002E-2</c:v>
                </c:pt>
                <c:pt idx="12">
                  <c:v>0.173924890536022</c:v>
                </c:pt>
                <c:pt idx="13">
                  <c:v>0.173924890536022</c:v>
                </c:pt>
              </c:numCache>
            </c:numRef>
          </c:xVal>
          <c:yVal>
            <c:numRef>
              <c:f>'Opgave 5'!$E$13:$E$26</c:f>
              <c:numCache>
                <c:formatCode>0.000</c:formatCode>
                <c:ptCount val="14"/>
                <c:pt idx="0">
                  <c:v>2.3E-2</c:v>
                </c:pt>
                <c:pt idx="1">
                  <c:v>1.9E-2</c:v>
                </c:pt>
                <c:pt idx="2">
                  <c:v>4.2999999999999997E-2</c:v>
                </c:pt>
                <c:pt idx="3">
                  <c:v>4.2999999999999997E-2</c:v>
                </c:pt>
                <c:pt idx="4">
                  <c:v>6.4000000000000001E-2</c:v>
                </c:pt>
                <c:pt idx="5">
                  <c:v>6.4000000000000001E-2</c:v>
                </c:pt>
                <c:pt idx="6">
                  <c:v>0.1</c:v>
                </c:pt>
                <c:pt idx="7">
                  <c:v>0.12</c:v>
                </c:pt>
                <c:pt idx="8">
                  <c:v>0.191</c:v>
                </c:pt>
                <c:pt idx="9">
                  <c:v>0.21199999999999999</c:v>
                </c:pt>
                <c:pt idx="10">
                  <c:v>0.312</c:v>
                </c:pt>
                <c:pt idx="11">
                  <c:v>0.32</c:v>
                </c:pt>
                <c:pt idx="12">
                  <c:v>0.55500000000000005</c:v>
                </c:pt>
                <c:pt idx="13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4-7F46-B9C9-D1D01ED12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82800"/>
        <c:axId val="624658480"/>
      </c:scatterChart>
      <c:valAx>
        <c:axId val="6245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[nitriet] in umol/buis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4658480"/>
        <c:crosses val="autoZero"/>
        <c:crossBetween val="midCat"/>
      </c:valAx>
      <c:valAx>
        <c:axId val="6246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458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Mangaan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22309711286089"/>
                  <c:y val="-0.2097152960046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'Opgave 6'!$B$10:$B$15</c:f>
              <c:numCache>
                <c:formatCode>0.0</c:formatCode>
                <c:ptCount val="6"/>
                <c:pt idx="0">
                  <c:v>0</c:v>
                </c:pt>
                <c:pt idx="1">
                  <c:v>2.012</c:v>
                </c:pt>
                <c:pt idx="2">
                  <c:v>4.024</c:v>
                </c:pt>
                <c:pt idx="3">
                  <c:v>6.0359999999999987</c:v>
                </c:pt>
                <c:pt idx="4">
                  <c:v>8.048</c:v>
                </c:pt>
                <c:pt idx="5">
                  <c:v>10.06</c:v>
                </c:pt>
              </c:numCache>
            </c:numRef>
          </c:xVal>
          <c:yVal>
            <c:numRef>
              <c:f>'Opgave 6'!$C$10:$C$15</c:f>
              <c:numCache>
                <c:formatCode>General</c:formatCode>
                <c:ptCount val="6"/>
                <c:pt idx="0">
                  <c:v>0.15</c:v>
                </c:pt>
                <c:pt idx="1">
                  <c:v>0.23</c:v>
                </c:pt>
                <c:pt idx="2">
                  <c:v>0.32</c:v>
                </c:pt>
                <c:pt idx="3">
                  <c:v>0.42</c:v>
                </c:pt>
                <c:pt idx="4">
                  <c:v>0.5</c:v>
                </c:pt>
                <c:pt idx="5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0-4E47-9BAF-274CA7EA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12448"/>
        <c:axId val="201513360"/>
      </c:scatterChart>
      <c:valAx>
        <c:axId val="2016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[mangaan] in ug/ml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513360"/>
        <c:crosses val="autoZero"/>
        <c:crossBetween val="midCat"/>
      </c:valAx>
      <c:valAx>
        <c:axId val="2015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61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235858</xdr:colOff>
      <xdr:row>1</xdr:row>
      <xdr:rowOff>152401</xdr:rowOff>
    </xdr:from>
    <xdr:to>
      <xdr:col>10</xdr:col>
      <xdr:colOff>680358</xdr:colOff>
      <xdr:row>15</xdr:row>
      <xdr:rowOff>101601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250CF-FD84-2249-898C-28E4ED9F3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18</xdr:row>
      <xdr:rowOff>177800</xdr:rowOff>
    </xdr:from>
    <xdr:to>
      <xdr:col>16</xdr:col>
      <xdr:colOff>419100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122C9-8FA4-2F4E-8E89-C55CB742C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</xdr:row>
      <xdr:rowOff>127000</xdr:rowOff>
    </xdr:from>
    <xdr:to>
      <xdr:col>13</xdr:col>
      <xdr:colOff>685800</xdr:colOff>
      <xdr:row>16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C411F-FC3F-F640-B939-51E17DD61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25</xdr:row>
      <xdr:rowOff>139700</xdr:rowOff>
    </xdr:from>
    <xdr:to>
      <xdr:col>14</xdr:col>
      <xdr:colOff>88900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D9D186-8981-9646-AE33-752774C10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483306</xdr:colOff>
      <xdr:row>12</xdr:row>
      <xdr:rowOff>23284</xdr:rowOff>
    </xdr:from>
    <xdr:to>
      <xdr:col>10</xdr:col>
      <xdr:colOff>703439</xdr:colOff>
      <xdr:row>25</xdr:row>
      <xdr:rowOff>124884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07053-1C12-0246-BEB2-B777B26D1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9</xdr:row>
      <xdr:rowOff>120650</xdr:rowOff>
    </xdr:from>
    <xdr:to>
      <xdr:col>9</xdr:col>
      <xdr:colOff>215900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1F166-E90C-4332-9B18-64AF274C4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D9" totalsRowShown="0" headerRowDxfId="3">
  <autoFilter ref="B3:D9" xr:uid="{00000000-0009-0000-0100-000001000000}"/>
  <tableColumns count="3">
    <tableColumn id="1" xr3:uid="{00000000-0010-0000-0000-000001000000}" name="Conc Na (ppm)"/>
    <tableColumn id="2" xr3:uid="{00000000-0010-0000-0000-000002000000}" name="Intensiteit Na"/>
    <tableColumn id="3" xr3:uid="{00000000-0010-0000-0000-000003000000}" name="Intensiteit Li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3:E9" totalsRowShown="0" headerRowDxfId="2">
  <autoFilter ref="B3:E9" xr:uid="{00000000-0009-0000-0100-000002000000}"/>
  <tableColumns count="4">
    <tableColumn id="1" xr3:uid="{00000000-0010-0000-0100-000001000000}" name="Conc Na (ppm)"/>
    <tableColumn id="2" xr3:uid="{00000000-0010-0000-0100-000002000000}" name="Intensiteit Na"/>
    <tableColumn id="3" xr3:uid="{00000000-0010-0000-0100-000003000000}" name="Intensiteit Li"/>
    <tableColumn id="4" xr3:uid="{00000000-0010-0000-0100-000004000000}" name="Ratio" dataDxfId="1">
      <calculatedColumnFormula>Table13[[#This Row],[Intensiteit Na]]/Table13[[#This Row],[Intensiteit Li]]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5:E10" totalsRowShown="0">
  <autoFilter ref="B5:E10" xr:uid="{00000000-0009-0000-0100-000003000000}"/>
  <tableColumns count="4">
    <tableColumn id="1" xr3:uid="{00000000-0010-0000-0200-000001000000}" name="Buis"/>
    <tableColumn id="2" xr3:uid="{00000000-0010-0000-0200-000002000000}" name="[Na] in ppm"/>
    <tableColumn id="3" xr3:uid="{00000000-0010-0000-0200-000003000000}" name="V stock (ml)">
      <calculatedColumnFormula>C6</calculatedColumnFormula>
    </tableColumn>
    <tableColumn id="4" xr3:uid="{00000000-0010-0000-0200-000004000000}" name="V water (ml)" dataDxfId="0">
      <calculatedColumnFormula>100-D6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zoomScale="90" zoomScaleNormal="90" workbookViewId="0">
      <selection activeCell="D6" sqref="D6"/>
    </sheetView>
  </sheetViews>
  <sheetFormatPr defaultColWidth="10.6640625" defaultRowHeight="15.5"/>
  <cols>
    <col min="2" max="2" width="16" customWidth="1"/>
    <col min="3" max="3" width="14.6640625" customWidth="1"/>
    <col min="4" max="4" width="13.6640625" customWidth="1"/>
  </cols>
  <sheetData>
    <row r="1" spans="1:4">
      <c r="A1" s="21" t="s">
        <v>106</v>
      </c>
    </row>
    <row r="2" spans="1:4">
      <c r="A2" s="21"/>
    </row>
    <row r="3" spans="1:4">
      <c r="B3" s="12" t="s">
        <v>1</v>
      </c>
      <c r="C3" s="12" t="s">
        <v>2</v>
      </c>
      <c r="D3" s="12" t="s">
        <v>3</v>
      </c>
    </row>
    <row r="4" spans="1:4">
      <c r="B4">
        <v>0.1</v>
      </c>
      <c r="C4">
        <v>0.11</v>
      </c>
      <c r="D4">
        <v>86</v>
      </c>
    </row>
    <row r="5" spans="1:4">
      <c r="B5">
        <v>0.5</v>
      </c>
      <c r="C5">
        <v>0.52</v>
      </c>
      <c r="D5">
        <v>80</v>
      </c>
    </row>
    <row r="6" spans="1:4">
      <c r="B6">
        <v>1</v>
      </c>
      <c r="C6">
        <v>1.8</v>
      </c>
      <c r="D6">
        <v>128</v>
      </c>
    </row>
    <row r="7" spans="1:4">
      <c r="B7">
        <v>5</v>
      </c>
      <c r="C7">
        <v>5.9</v>
      </c>
      <c r="D7">
        <v>91</v>
      </c>
    </row>
    <row r="8" spans="1:4">
      <c r="B8">
        <v>10</v>
      </c>
      <c r="C8">
        <v>9.5</v>
      </c>
      <c r="D8">
        <v>73</v>
      </c>
    </row>
    <row r="9" spans="1:4">
      <c r="B9" t="s">
        <v>0</v>
      </c>
      <c r="C9">
        <v>4.4000000000000004</v>
      </c>
      <c r="D9">
        <v>95</v>
      </c>
    </row>
    <row r="11" spans="1:4">
      <c r="B11" t="s">
        <v>4</v>
      </c>
      <c r="C11">
        <v>0.94699999999999995</v>
      </c>
    </row>
    <row r="12" spans="1:4">
      <c r="B12" t="s">
        <v>5</v>
      </c>
      <c r="C12">
        <v>0.42199999999999999</v>
      </c>
    </row>
    <row r="13" spans="1:4">
      <c r="B13" t="s">
        <v>35</v>
      </c>
      <c r="C13" s="8">
        <f>(C9-C12)/C11</f>
        <v>4.2006335797254488</v>
      </c>
      <c r="D13" s="9" t="s">
        <v>36</v>
      </c>
    </row>
    <row r="15" spans="1:4">
      <c r="D15" t="s">
        <v>108</v>
      </c>
    </row>
    <row r="16" spans="1:4">
      <c r="D16" t="s">
        <v>109</v>
      </c>
    </row>
    <row r="17" spans="2:7">
      <c r="B17" s="5" t="s">
        <v>34</v>
      </c>
      <c r="C17" s="5"/>
    </row>
    <row r="18" spans="2:7">
      <c r="B18" t="s">
        <v>6</v>
      </c>
    </row>
    <row r="19" spans="2:7" ht="16" thickBot="1"/>
    <row r="20" spans="2:7">
      <c r="B20" s="4" t="s">
        <v>7</v>
      </c>
      <c r="C20" s="4"/>
    </row>
    <row r="21" spans="2:7">
      <c r="B21" s="1" t="s">
        <v>8</v>
      </c>
      <c r="C21" s="1">
        <v>0.99074279965944501</v>
      </c>
    </row>
    <row r="22" spans="2:7">
      <c r="B22" s="1" t="s">
        <v>9</v>
      </c>
      <c r="C22" s="1">
        <v>0.98157129507703522</v>
      </c>
    </row>
    <row r="23" spans="2:7">
      <c r="B23" s="1" t="s">
        <v>10</v>
      </c>
      <c r="C23" s="1">
        <v>0.97542839343604693</v>
      </c>
    </row>
    <row r="24" spans="2:7">
      <c r="B24" s="1" t="s">
        <v>11</v>
      </c>
      <c r="C24" s="1">
        <v>0.63189637564510459</v>
      </c>
    </row>
    <row r="25" spans="2:7" ht="16" thickBot="1">
      <c r="B25" s="2" t="s">
        <v>12</v>
      </c>
      <c r="C25" s="2">
        <v>5</v>
      </c>
    </row>
    <row r="27" spans="2:7" ht="16" thickBot="1">
      <c r="B27" t="s">
        <v>13</v>
      </c>
    </row>
    <row r="28" spans="2:7">
      <c r="B28" s="3"/>
      <c r="C28" s="3" t="s">
        <v>18</v>
      </c>
      <c r="D28" s="3" t="s">
        <v>19</v>
      </c>
      <c r="E28" s="3" t="s">
        <v>20</v>
      </c>
      <c r="F28" s="3" t="s">
        <v>21</v>
      </c>
      <c r="G28" s="3" t="s">
        <v>22</v>
      </c>
    </row>
    <row r="29" spans="2:7">
      <c r="B29" s="1" t="s">
        <v>14</v>
      </c>
      <c r="C29" s="1">
        <v>1</v>
      </c>
      <c r="D29" s="1">
        <v>63.802840911339743</v>
      </c>
      <c r="E29" s="1">
        <v>63.802840911339743</v>
      </c>
      <c r="F29" s="1">
        <v>159.78951844638681</v>
      </c>
      <c r="G29" s="1">
        <v>1.0677003365532909E-3</v>
      </c>
    </row>
    <row r="30" spans="2:7">
      <c r="B30" s="1" t="s">
        <v>15</v>
      </c>
      <c r="C30" s="1">
        <v>3</v>
      </c>
      <c r="D30" s="1">
        <v>1.1978790886602575</v>
      </c>
      <c r="E30" s="1">
        <v>0.39929302955341917</v>
      </c>
      <c r="F30" s="1"/>
      <c r="G30" s="1"/>
    </row>
    <row r="31" spans="2:7" ht="16" thickBot="1">
      <c r="B31" s="2" t="s">
        <v>16</v>
      </c>
      <c r="C31" s="2">
        <v>4</v>
      </c>
      <c r="D31" s="2">
        <v>65.000720000000001</v>
      </c>
      <c r="E31" s="2"/>
      <c r="F31" s="2"/>
      <c r="G31" s="2"/>
    </row>
    <row r="32" spans="2:7" ht="16" thickBot="1"/>
    <row r="33" spans="2:10">
      <c r="B33" s="3"/>
      <c r="C33" s="3" t="s">
        <v>23</v>
      </c>
      <c r="D33" s="3" t="s">
        <v>11</v>
      </c>
      <c r="E33" s="3" t="s">
        <v>24</v>
      </c>
      <c r="F33" s="3" t="s">
        <v>25</v>
      </c>
      <c r="G33" s="3" t="s">
        <v>26</v>
      </c>
      <c r="H33" s="3" t="s">
        <v>27</v>
      </c>
      <c r="I33" s="3" t="s">
        <v>28</v>
      </c>
      <c r="J33" s="3" t="s">
        <v>29</v>
      </c>
    </row>
    <row r="34" spans="2:10">
      <c r="B34" s="1" t="s">
        <v>17</v>
      </c>
      <c r="C34" s="10">
        <v>0.42204194074323853</v>
      </c>
      <c r="D34" s="1">
        <v>0.37645442512671951</v>
      </c>
      <c r="E34" s="1">
        <v>1.1210970374466276</v>
      </c>
      <c r="F34" s="1">
        <v>0.34389463120678787</v>
      </c>
      <c r="G34" s="1">
        <v>-0.77600405360899272</v>
      </c>
      <c r="H34" s="1">
        <v>1.6200879350954698</v>
      </c>
      <c r="I34" s="1">
        <v>-0.77600405360899272</v>
      </c>
      <c r="J34" s="1">
        <v>1.6200879350954698</v>
      </c>
    </row>
    <row r="35" spans="2:10" ht="16" thickBot="1">
      <c r="B35" s="2" t="s">
        <v>1</v>
      </c>
      <c r="C35" s="11">
        <v>0.94697531905324128</v>
      </c>
      <c r="D35" s="2">
        <v>7.4914263841251494E-2</v>
      </c>
      <c r="E35" s="2">
        <v>12.640787888671609</v>
      </c>
      <c r="F35" s="2">
        <v>1.06770033655329E-3</v>
      </c>
      <c r="G35" s="2">
        <v>0.70856469687860146</v>
      </c>
      <c r="H35" s="2">
        <v>1.1853859412278811</v>
      </c>
      <c r="I35" s="2">
        <v>0.70856469687860146</v>
      </c>
      <c r="J35" s="2">
        <v>1.1853859412278811</v>
      </c>
    </row>
    <row r="39" spans="2:10">
      <c r="B39" t="s">
        <v>30</v>
      </c>
    </row>
    <row r="40" spans="2:10" ht="16" thickBot="1"/>
    <row r="41" spans="2:10">
      <c r="B41" s="3" t="s">
        <v>31</v>
      </c>
      <c r="C41" s="3" t="s">
        <v>32</v>
      </c>
      <c r="D41" s="3" t="s">
        <v>33</v>
      </c>
    </row>
    <row r="42" spans="2:10">
      <c r="B42" s="1">
        <v>1</v>
      </c>
      <c r="C42" s="1">
        <v>0.51673947264856268</v>
      </c>
      <c r="D42" s="1">
        <v>-0.40673947264856269</v>
      </c>
    </row>
    <row r="43" spans="2:10">
      <c r="B43" s="1">
        <v>2</v>
      </c>
      <c r="C43" s="1">
        <v>0.89552960026985917</v>
      </c>
      <c r="D43" s="1">
        <v>-0.37552960026985915</v>
      </c>
    </row>
    <row r="44" spans="2:10">
      <c r="B44" s="1">
        <v>3</v>
      </c>
      <c r="C44" s="1">
        <v>1.3690172597964798</v>
      </c>
      <c r="D44" s="1">
        <v>0.43098274020352023</v>
      </c>
    </row>
    <row r="45" spans="2:10">
      <c r="B45" s="1">
        <v>4</v>
      </c>
      <c r="C45" s="1">
        <v>5.1569185360094441</v>
      </c>
      <c r="D45" s="1">
        <v>0.7430814639905563</v>
      </c>
    </row>
    <row r="46" spans="2:10" ht="16" thickBot="1">
      <c r="B46" s="2">
        <v>5</v>
      </c>
      <c r="C46" s="2">
        <v>9.89179513127565</v>
      </c>
      <c r="D46" s="2">
        <v>-0.39179513127565002</v>
      </c>
    </row>
    <row r="50" spans="2:4">
      <c r="B50" t="s">
        <v>4</v>
      </c>
      <c r="C50">
        <f>C35</f>
        <v>0.94697531905324128</v>
      </c>
    </row>
    <row r="51" spans="2:4">
      <c r="B51" t="s">
        <v>5</v>
      </c>
      <c r="C51">
        <f>C34</f>
        <v>0.42204194074323853</v>
      </c>
    </row>
    <row r="52" spans="2:4">
      <c r="B52" s="18" t="s">
        <v>35</v>
      </c>
      <c r="C52" s="8">
        <f>(C9-C51)/C50</f>
        <v>4.2006987713616546</v>
      </c>
      <c r="D52" s="9" t="s">
        <v>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4"/>
  <sheetViews>
    <sheetView topLeftCell="A5" workbookViewId="0">
      <selection activeCell="C13" sqref="C13"/>
    </sheetView>
  </sheetViews>
  <sheetFormatPr defaultColWidth="10.6640625" defaultRowHeight="15.5"/>
  <cols>
    <col min="2" max="2" width="15.83203125" bestFit="1" customWidth="1"/>
    <col min="3" max="3" width="14.83203125" bestFit="1" customWidth="1"/>
    <col min="4" max="4" width="13.83203125" bestFit="1" customWidth="1"/>
  </cols>
  <sheetData>
    <row r="1" spans="1:5">
      <c r="A1" s="21" t="s">
        <v>105</v>
      </c>
    </row>
    <row r="3" spans="1:5">
      <c r="B3" s="12" t="s">
        <v>1</v>
      </c>
      <c r="C3" s="12" t="s">
        <v>2</v>
      </c>
      <c r="D3" s="12" t="s">
        <v>3</v>
      </c>
      <c r="E3" s="12" t="s">
        <v>37</v>
      </c>
    </row>
    <row r="4" spans="1:5">
      <c r="B4">
        <v>0.1</v>
      </c>
      <c r="C4">
        <v>0.11</v>
      </c>
      <c r="D4">
        <v>86</v>
      </c>
      <c r="E4" s="7">
        <f>Table13[[#This Row],[Intensiteit Na]]/Table13[[#This Row],[Intensiteit Li]]</f>
        <v>1.2790697674418606E-3</v>
      </c>
    </row>
    <row r="5" spans="1:5">
      <c r="B5">
        <v>0.5</v>
      </c>
      <c r="C5">
        <v>0.52</v>
      </c>
      <c r="D5">
        <v>80</v>
      </c>
      <c r="E5" s="7">
        <f>Table13[[#This Row],[Intensiteit Na]]/Table13[[#This Row],[Intensiteit Li]]</f>
        <v>6.5000000000000006E-3</v>
      </c>
    </row>
    <row r="6" spans="1:5">
      <c r="B6">
        <v>1</v>
      </c>
      <c r="C6">
        <v>1.8</v>
      </c>
      <c r="D6">
        <v>128</v>
      </c>
      <c r="E6" s="7">
        <f>Table13[[#This Row],[Intensiteit Na]]/Table13[[#This Row],[Intensiteit Li]]</f>
        <v>1.40625E-2</v>
      </c>
    </row>
    <row r="7" spans="1:5">
      <c r="B7">
        <v>5</v>
      </c>
      <c r="C7">
        <v>5.9</v>
      </c>
      <c r="D7">
        <v>91</v>
      </c>
      <c r="E7" s="7">
        <f>Table13[[#This Row],[Intensiteit Na]]/Table13[[#This Row],[Intensiteit Li]]</f>
        <v>6.4835164835164841E-2</v>
      </c>
    </row>
    <row r="8" spans="1:5">
      <c r="B8">
        <v>10</v>
      </c>
      <c r="C8">
        <v>9.5</v>
      </c>
      <c r="D8">
        <v>73</v>
      </c>
      <c r="E8" s="7">
        <f>Table13[[#This Row],[Intensiteit Na]]/Table13[[#This Row],[Intensiteit Li]]</f>
        <v>0.13013698630136986</v>
      </c>
    </row>
    <row r="9" spans="1:5">
      <c r="B9" t="s">
        <v>0</v>
      </c>
      <c r="C9">
        <v>4.4000000000000004</v>
      </c>
      <c r="D9">
        <v>95</v>
      </c>
      <c r="E9" s="6">
        <f>Table13[[#This Row],[Intensiteit Na]]/Table13[[#This Row],[Intensiteit Li]]</f>
        <v>4.6315789473684213E-2</v>
      </c>
    </row>
    <row r="15" spans="1:5">
      <c r="B15" t="s">
        <v>4</v>
      </c>
      <c r="C15">
        <v>1.2999999999999999E-2</v>
      </c>
      <c r="E15" t="s">
        <v>108</v>
      </c>
    </row>
    <row r="16" spans="1:5">
      <c r="B16" t="s">
        <v>5</v>
      </c>
      <c r="C16">
        <v>2.9999999999999997E-4</v>
      </c>
      <c r="E16" t="s">
        <v>109</v>
      </c>
    </row>
    <row r="17" spans="2:4">
      <c r="B17" t="s">
        <v>35</v>
      </c>
      <c r="C17" s="19">
        <f>(E9-C16)/C15</f>
        <v>3.5396761133603243</v>
      </c>
      <c r="D17" s="9" t="s">
        <v>36</v>
      </c>
    </row>
    <row r="20" spans="2:4">
      <c r="B20" s="9" t="s">
        <v>38</v>
      </c>
      <c r="C20" s="9"/>
    </row>
    <row r="23" spans="2:4">
      <c r="B23" t="s">
        <v>6</v>
      </c>
    </row>
    <row r="24" spans="2:4" ht="16" thickBot="1"/>
    <row r="25" spans="2:4">
      <c r="B25" s="4" t="s">
        <v>7</v>
      </c>
      <c r="C25" s="4"/>
    </row>
    <row r="26" spans="2:4">
      <c r="B26" s="1" t="s">
        <v>8</v>
      </c>
      <c r="C26" s="1">
        <v>0.99996133887657035</v>
      </c>
    </row>
    <row r="27" spans="2:4">
      <c r="B27" s="1" t="s">
        <v>9</v>
      </c>
      <c r="C27" s="1">
        <v>0.99992267924782319</v>
      </c>
    </row>
    <row r="28" spans="2:4">
      <c r="B28" s="1" t="s">
        <v>10</v>
      </c>
      <c r="C28" s="1">
        <v>0.99989690566376421</v>
      </c>
    </row>
    <row r="29" spans="2:4">
      <c r="B29" s="1" t="s">
        <v>11</v>
      </c>
      <c r="C29" s="1">
        <v>5.5565082670333869E-4</v>
      </c>
    </row>
    <row r="30" spans="2:4" ht="16" thickBot="1">
      <c r="B30" s="2" t="s">
        <v>12</v>
      </c>
      <c r="C30" s="2">
        <v>5</v>
      </c>
    </row>
    <row r="32" spans="2:4" ht="16" thickBot="1">
      <c r="B32" t="s">
        <v>13</v>
      </c>
    </row>
    <row r="33" spans="2:10">
      <c r="B33" s="3"/>
      <c r="C33" s="3" t="s">
        <v>18</v>
      </c>
      <c r="D33" s="3" t="s">
        <v>19</v>
      </c>
      <c r="E33" s="3" t="s">
        <v>20</v>
      </c>
      <c r="F33" s="3" t="s">
        <v>21</v>
      </c>
      <c r="G33" s="3" t="s">
        <v>22</v>
      </c>
    </row>
    <row r="34" spans="2:10">
      <c r="B34" s="1" t="s">
        <v>14</v>
      </c>
      <c r="C34" s="1">
        <v>1</v>
      </c>
      <c r="D34" s="1">
        <v>1.1978309570556771E-2</v>
      </c>
      <c r="E34" s="1">
        <v>1.1978309570556771E-2</v>
      </c>
      <c r="F34" s="1">
        <v>38796.415623106244</v>
      </c>
      <c r="G34" s="1">
        <v>2.8856459406079957E-7</v>
      </c>
    </row>
    <row r="35" spans="2:10">
      <c r="B35" s="1" t="s">
        <v>15</v>
      </c>
      <c r="C35" s="1">
        <v>3</v>
      </c>
      <c r="D35" s="1">
        <v>9.2624352364831111E-7</v>
      </c>
      <c r="E35" s="1">
        <v>3.0874784121610369E-7</v>
      </c>
      <c r="F35" s="1"/>
      <c r="G35" s="1"/>
    </row>
    <row r="36" spans="2:10" ht="16" thickBot="1">
      <c r="B36" s="2" t="s">
        <v>16</v>
      </c>
      <c r="C36" s="2">
        <v>4</v>
      </c>
      <c r="D36" s="2">
        <v>1.1979235814080419E-2</v>
      </c>
      <c r="E36" s="2"/>
      <c r="F36" s="2"/>
      <c r="G36" s="2"/>
    </row>
    <row r="37" spans="2:10" ht="16" thickBot="1"/>
    <row r="38" spans="2:10">
      <c r="B38" s="3"/>
      <c r="C38" s="3" t="s">
        <v>23</v>
      </c>
      <c r="D38" s="3" t="s">
        <v>11</v>
      </c>
      <c r="E38" s="3" t="s">
        <v>24</v>
      </c>
      <c r="F38" s="3" t="s">
        <v>25</v>
      </c>
      <c r="G38" s="3" t="s">
        <v>26</v>
      </c>
      <c r="H38" s="3" t="s">
        <v>27</v>
      </c>
      <c r="I38" s="3" t="s">
        <v>28</v>
      </c>
      <c r="J38" s="3" t="s">
        <v>29</v>
      </c>
    </row>
    <row r="39" spans="2:10">
      <c r="B39" s="1" t="s">
        <v>17</v>
      </c>
      <c r="C39" s="10">
        <v>2.8484634332952979E-4</v>
      </c>
      <c r="D39" s="1">
        <v>3.3103087879597708E-4</v>
      </c>
      <c r="E39" s="1">
        <v>0.86048269685767886</v>
      </c>
      <c r="F39" s="1">
        <v>0.45279919684801528</v>
      </c>
      <c r="G39" s="1">
        <v>-7.6864165382954674E-4</v>
      </c>
      <c r="H39" s="1">
        <v>1.3383343404886063E-3</v>
      </c>
      <c r="I39" s="1">
        <v>-7.6864165382954674E-4</v>
      </c>
      <c r="J39" s="1">
        <v>1.3383343404886063E-3</v>
      </c>
    </row>
    <row r="40" spans="2:10" ht="16" thickBot="1">
      <c r="B40" s="2" t="s">
        <v>1</v>
      </c>
      <c r="C40" s="11">
        <v>1.2975270432971619E-2</v>
      </c>
      <c r="D40" s="2">
        <v>6.5874998242816573E-5</v>
      </c>
      <c r="E40" s="2">
        <v>196.96805736744781</v>
      </c>
      <c r="F40" s="2">
        <v>2.885645940608001E-7</v>
      </c>
      <c r="G40" s="2">
        <v>1.2765626788203198E-2</v>
      </c>
      <c r="H40" s="2">
        <v>1.3184914077740041E-2</v>
      </c>
      <c r="I40" s="2">
        <v>1.2765626788203198E-2</v>
      </c>
      <c r="J40" s="2">
        <v>1.3184914077740041E-2</v>
      </c>
    </row>
    <row r="44" spans="2:10">
      <c r="B44" t="s">
        <v>30</v>
      </c>
    </row>
    <row r="45" spans="2:10" ht="16" thickBot="1"/>
    <row r="46" spans="2:10">
      <c r="B46" s="3" t="s">
        <v>31</v>
      </c>
      <c r="C46" s="3" t="s">
        <v>39</v>
      </c>
      <c r="D46" s="3" t="s">
        <v>33</v>
      </c>
    </row>
    <row r="47" spans="2:10">
      <c r="B47" s="1">
        <v>1</v>
      </c>
      <c r="C47" s="1">
        <v>1.5823733866266918E-3</v>
      </c>
      <c r="D47" s="1">
        <v>-3.0330361918483122E-4</v>
      </c>
    </row>
    <row r="48" spans="2:10">
      <c r="B48" s="1">
        <v>2</v>
      </c>
      <c r="C48" s="1">
        <v>6.7724815598153394E-3</v>
      </c>
      <c r="D48" s="1">
        <v>-2.7248155981533882E-4</v>
      </c>
    </row>
    <row r="49" spans="2:4">
      <c r="B49" s="1">
        <v>3</v>
      </c>
      <c r="C49" s="1">
        <v>1.3260116776301149E-2</v>
      </c>
      <c r="D49" s="1">
        <v>8.0238322369885137E-4</v>
      </c>
    </row>
    <row r="50" spans="2:4">
      <c r="B50" s="1">
        <v>4</v>
      </c>
      <c r="C50" s="1">
        <v>6.5161198508187634E-2</v>
      </c>
      <c r="D50" s="1">
        <v>-3.2603367302279362E-4</v>
      </c>
    </row>
    <row r="51" spans="2:4" ht="16" thickBot="1">
      <c r="B51" s="2">
        <v>5</v>
      </c>
      <c r="C51" s="2">
        <v>0.13003755067304573</v>
      </c>
      <c r="D51" s="2">
        <v>9.9435628324123781E-5</v>
      </c>
    </row>
    <row r="54" spans="2:4">
      <c r="B54" t="s">
        <v>35</v>
      </c>
      <c r="C54" s="19">
        <f>(E9-C39)/C40</f>
        <v>3.547590269362316</v>
      </c>
      <c r="D54" s="9" t="s">
        <v>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F4" sqref="F4"/>
    </sheetView>
  </sheetViews>
  <sheetFormatPr defaultColWidth="10.6640625" defaultRowHeight="15.5"/>
  <cols>
    <col min="3" max="4" width="13.33203125" customWidth="1"/>
    <col min="5" max="5" width="14" customWidth="1"/>
  </cols>
  <sheetData>
    <row r="1" spans="1:5">
      <c r="A1" t="s">
        <v>107</v>
      </c>
    </row>
    <row r="3" spans="1:5">
      <c r="B3" t="s">
        <v>40</v>
      </c>
      <c r="C3">
        <v>100</v>
      </c>
      <c r="D3" t="s">
        <v>36</v>
      </c>
    </row>
    <row r="5" spans="1:5">
      <c r="B5" t="s">
        <v>41</v>
      </c>
      <c r="C5" t="s">
        <v>42</v>
      </c>
      <c r="D5" t="s">
        <v>43</v>
      </c>
      <c r="E5" t="s">
        <v>44</v>
      </c>
    </row>
    <row r="6" spans="1:5">
      <c r="B6">
        <v>1</v>
      </c>
      <c r="C6">
        <v>0.1</v>
      </c>
      <c r="D6">
        <f t="shared" ref="D6:D9" si="0">C6</f>
        <v>0.1</v>
      </c>
      <c r="E6" s="13">
        <f>100-D6</f>
        <v>99.9</v>
      </c>
    </row>
    <row r="7" spans="1:5">
      <c r="B7">
        <v>2</v>
      </c>
      <c r="C7">
        <v>0.5</v>
      </c>
      <c r="D7">
        <f t="shared" si="0"/>
        <v>0.5</v>
      </c>
      <c r="E7" s="13">
        <f t="shared" ref="E7:E10" si="1">100-D7</f>
        <v>99.5</v>
      </c>
    </row>
    <row r="8" spans="1:5">
      <c r="B8">
        <v>3</v>
      </c>
      <c r="C8">
        <v>1</v>
      </c>
      <c r="D8">
        <f t="shared" si="0"/>
        <v>1</v>
      </c>
      <c r="E8" s="13">
        <f t="shared" si="1"/>
        <v>99</v>
      </c>
    </row>
    <row r="9" spans="1:5">
      <c r="B9">
        <v>4</v>
      </c>
      <c r="C9">
        <v>5</v>
      </c>
      <c r="D9">
        <f t="shared" si="0"/>
        <v>5</v>
      </c>
      <c r="E9" s="13">
        <f t="shared" si="1"/>
        <v>95</v>
      </c>
    </row>
    <row r="10" spans="1:5">
      <c r="B10">
        <v>5</v>
      </c>
      <c r="C10">
        <v>10</v>
      </c>
      <c r="D10">
        <f>C10</f>
        <v>10</v>
      </c>
      <c r="E10" s="13">
        <f t="shared" si="1"/>
        <v>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tabSelected="1" topLeftCell="A22" zoomScale="90" zoomScaleNormal="90" workbookViewId="0">
      <selection activeCell="I29" sqref="I29"/>
    </sheetView>
  </sheetViews>
  <sheetFormatPr defaultColWidth="10.6640625" defaultRowHeight="15.5"/>
  <cols>
    <col min="4" max="4" width="13.6640625" customWidth="1"/>
    <col min="5" max="5" width="15.33203125" bestFit="1" customWidth="1"/>
    <col min="6" max="6" width="14" bestFit="1" customWidth="1"/>
  </cols>
  <sheetData>
    <row r="1" spans="1:14">
      <c r="A1" s="21" t="s">
        <v>91</v>
      </c>
    </row>
    <row r="2" spans="1:14">
      <c r="A2" t="s">
        <v>50</v>
      </c>
      <c r="B2">
        <v>150</v>
      </c>
      <c r="C2" t="s">
        <v>45</v>
      </c>
      <c r="D2" t="s">
        <v>46</v>
      </c>
    </row>
    <row r="3" spans="1:14">
      <c r="A3" t="s">
        <v>51</v>
      </c>
      <c r="B3">
        <v>100</v>
      </c>
      <c r="C3" t="s">
        <v>47</v>
      </c>
      <c r="D3" t="s">
        <v>48</v>
      </c>
    </row>
    <row r="4" spans="1:14">
      <c r="A4" t="s">
        <v>49</v>
      </c>
      <c r="B4">
        <f>B2/(1/(1000/B3))</f>
        <v>1500</v>
      </c>
      <c r="C4" t="s">
        <v>52</v>
      </c>
    </row>
    <row r="5" spans="1:14">
      <c r="A5" t="s">
        <v>64</v>
      </c>
      <c r="B5">
        <f>B4/100</f>
        <v>15</v>
      </c>
      <c r="C5" t="s">
        <v>52</v>
      </c>
      <c r="D5" t="s">
        <v>66</v>
      </c>
    </row>
    <row r="6" spans="1:14">
      <c r="A6" t="s">
        <v>64</v>
      </c>
      <c r="B6">
        <f>B5/1000</f>
        <v>1.4999999999999999E-2</v>
      </c>
      <c r="C6" t="s">
        <v>65</v>
      </c>
    </row>
    <row r="7" spans="1:14">
      <c r="A7" t="s">
        <v>64</v>
      </c>
      <c r="B7">
        <f>B6/B9</f>
        <v>2.1740611317002751E-4</v>
      </c>
      <c r="C7" t="s">
        <v>68</v>
      </c>
    </row>
    <row r="8" spans="1:14">
      <c r="A8" t="s">
        <v>64</v>
      </c>
      <c r="B8">
        <f>B7*1000</f>
        <v>0.2174061131700275</v>
      </c>
      <c r="C8" t="s">
        <v>69</v>
      </c>
    </row>
    <row r="9" spans="1:14">
      <c r="A9" t="s">
        <v>76</v>
      </c>
      <c r="B9">
        <v>68.9953</v>
      </c>
      <c r="C9" t="s">
        <v>55</v>
      </c>
    </row>
    <row r="10" spans="1:14">
      <c r="A10" t="s">
        <v>77</v>
      </c>
      <c r="B10">
        <v>46</v>
      </c>
      <c r="C10" t="s">
        <v>55</v>
      </c>
    </row>
    <row r="12" spans="1:14">
      <c r="B12" t="s">
        <v>53</v>
      </c>
      <c r="C12" t="s">
        <v>54</v>
      </c>
      <c r="D12" t="s">
        <v>67</v>
      </c>
      <c r="E12" t="s">
        <v>56</v>
      </c>
    </row>
    <row r="13" spans="1:14">
      <c r="B13">
        <v>0</v>
      </c>
      <c r="C13">
        <f>9.5-B13</f>
        <v>9.5</v>
      </c>
      <c r="D13" s="6">
        <f>B13*$B$8</f>
        <v>0</v>
      </c>
      <c r="E13" s="14">
        <v>2.3E-2</v>
      </c>
      <c r="N13" s="16"/>
    </row>
    <row r="14" spans="1:14">
      <c r="B14">
        <v>0</v>
      </c>
      <c r="C14">
        <f t="shared" ref="C14:C26" si="0">9.5-B14</f>
        <v>9.5</v>
      </c>
      <c r="D14" s="6">
        <f t="shared" ref="D14:D25" si="1">B14*$B$8</f>
        <v>0</v>
      </c>
      <c r="E14" s="14">
        <v>1.9E-2</v>
      </c>
      <c r="N14" s="16"/>
    </row>
    <row r="15" spans="1:14">
      <c r="B15">
        <v>2.5000000000000001E-2</v>
      </c>
      <c r="C15">
        <f t="shared" si="0"/>
        <v>9.4749999999999996</v>
      </c>
      <c r="D15" s="6">
        <f t="shared" si="1"/>
        <v>5.4351528292506876E-3</v>
      </c>
      <c r="E15" s="14">
        <v>4.2999999999999997E-2</v>
      </c>
      <c r="N15" s="16"/>
    </row>
    <row r="16" spans="1:14">
      <c r="B16">
        <v>2.5000000000000001E-2</v>
      </c>
      <c r="C16">
        <f t="shared" si="0"/>
        <v>9.4749999999999996</v>
      </c>
      <c r="D16" s="6">
        <f t="shared" si="1"/>
        <v>5.4351528292506876E-3</v>
      </c>
      <c r="E16" s="14">
        <v>4.2999999999999997E-2</v>
      </c>
      <c r="N16" s="16"/>
    </row>
    <row r="17" spans="2:14">
      <c r="B17">
        <v>0.05</v>
      </c>
      <c r="C17">
        <f t="shared" si="0"/>
        <v>9.4499999999999993</v>
      </c>
      <c r="D17" s="6">
        <f t="shared" si="1"/>
        <v>1.0870305658501375E-2</v>
      </c>
      <c r="E17" s="14">
        <v>6.4000000000000001E-2</v>
      </c>
      <c r="N17" s="16"/>
    </row>
    <row r="18" spans="2:14">
      <c r="B18">
        <v>0.05</v>
      </c>
      <c r="C18">
        <f t="shared" si="0"/>
        <v>9.4499999999999993</v>
      </c>
      <c r="D18" s="6">
        <f t="shared" si="1"/>
        <v>1.0870305658501375E-2</v>
      </c>
      <c r="E18" s="14">
        <v>6.4000000000000001E-2</v>
      </c>
      <c r="N18" s="16"/>
    </row>
    <row r="19" spans="2:14">
      <c r="B19">
        <v>0.1</v>
      </c>
      <c r="C19">
        <f t="shared" si="0"/>
        <v>9.4</v>
      </c>
      <c r="D19" s="6">
        <f t="shared" si="1"/>
        <v>2.174061131700275E-2</v>
      </c>
      <c r="E19" s="14">
        <v>0.1</v>
      </c>
      <c r="N19" s="16"/>
    </row>
    <row r="20" spans="2:14">
      <c r="B20">
        <v>0.1</v>
      </c>
      <c r="C20">
        <f t="shared" si="0"/>
        <v>9.4</v>
      </c>
      <c r="D20" s="6">
        <f t="shared" si="1"/>
        <v>2.174061131700275E-2</v>
      </c>
      <c r="E20" s="14">
        <v>0.12</v>
      </c>
      <c r="N20" s="16"/>
    </row>
    <row r="21" spans="2:14">
      <c r="B21">
        <v>0.2</v>
      </c>
      <c r="C21">
        <f t="shared" si="0"/>
        <v>9.3000000000000007</v>
      </c>
      <c r="D21" s="6">
        <f t="shared" si="1"/>
        <v>4.3481222634005501E-2</v>
      </c>
      <c r="E21" s="14">
        <v>0.191</v>
      </c>
      <c r="N21" s="16"/>
    </row>
    <row r="22" spans="2:14">
      <c r="B22">
        <v>0.2</v>
      </c>
      <c r="C22">
        <f t="shared" si="0"/>
        <v>9.3000000000000007</v>
      </c>
      <c r="D22" s="6">
        <f t="shared" si="1"/>
        <v>4.3481222634005501E-2</v>
      </c>
      <c r="E22" s="14">
        <v>0.21199999999999999</v>
      </c>
      <c r="N22" s="16"/>
    </row>
    <row r="23" spans="2:14">
      <c r="B23">
        <v>0.4</v>
      </c>
      <c r="C23">
        <f t="shared" si="0"/>
        <v>9.1</v>
      </c>
      <c r="D23" s="6">
        <f t="shared" si="1"/>
        <v>8.6962445268011002E-2</v>
      </c>
      <c r="E23" s="14">
        <v>0.312</v>
      </c>
      <c r="N23" s="16"/>
    </row>
    <row r="24" spans="2:14">
      <c r="B24">
        <v>0.4</v>
      </c>
      <c r="C24">
        <f t="shared" si="0"/>
        <v>9.1</v>
      </c>
      <c r="D24" s="6">
        <f t="shared" si="1"/>
        <v>8.6962445268011002E-2</v>
      </c>
      <c r="E24" s="14">
        <v>0.32</v>
      </c>
      <c r="N24" s="16"/>
    </row>
    <row r="25" spans="2:14">
      <c r="B25">
        <v>0.8</v>
      </c>
      <c r="C25">
        <f t="shared" si="0"/>
        <v>8.6999999999999993</v>
      </c>
      <c r="D25" s="6">
        <f t="shared" si="1"/>
        <v>0.173924890536022</v>
      </c>
      <c r="E25" s="14">
        <v>0.55500000000000005</v>
      </c>
      <c r="N25" s="16"/>
    </row>
    <row r="26" spans="2:14">
      <c r="B26">
        <v>0.8</v>
      </c>
      <c r="C26">
        <f t="shared" si="0"/>
        <v>8.6999999999999993</v>
      </c>
      <c r="D26" s="6">
        <f>B26*$B$8</f>
        <v>0.173924890536022</v>
      </c>
      <c r="E26" s="14">
        <v>0.59</v>
      </c>
      <c r="N26" s="16"/>
    </row>
    <row r="27" spans="2:14">
      <c r="N27" s="16"/>
    </row>
    <row r="30" spans="2:14">
      <c r="B30" t="s">
        <v>4</v>
      </c>
      <c r="C30">
        <v>3.1465000000000001</v>
      </c>
      <c r="F30" t="s">
        <v>60</v>
      </c>
    </row>
    <row r="31" spans="2:14">
      <c r="B31" t="s">
        <v>5</v>
      </c>
      <c r="C31">
        <v>3.5799999999999998E-2</v>
      </c>
      <c r="F31" t="s">
        <v>61</v>
      </c>
    </row>
    <row r="32" spans="2:14">
      <c r="B32" t="s">
        <v>57</v>
      </c>
      <c r="C32">
        <v>0</v>
      </c>
      <c r="F32" t="s">
        <v>62</v>
      </c>
    </row>
    <row r="33" spans="2:6">
      <c r="B33" t="s">
        <v>59</v>
      </c>
      <c r="C33">
        <f>-1*C31/C30</f>
        <v>-1.1377721277610043E-2</v>
      </c>
      <c r="D33" t="s">
        <v>58</v>
      </c>
      <c r="F33" t="s">
        <v>63</v>
      </c>
    </row>
    <row r="34" spans="2:6">
      <c r="B34" t="s">
        <v>35</v>
      </c>
      <c r="C34" s="24">
        <f>C33*-1</f>
        <v>1.1377721277610043E-2</v>
      </c>
      <c r="D34" t="s">
        <v>110</v>
      </c>
    </row>
    <row r="35" spans="2:6">
      <c r="B35" t="s">
        <v>35</v>
      </c>
      <c r="C35" s="24">
        <f>C34/1</f>
        <v>1.1377721277610043E-2</v>
      </c>
      <c r="D35" t="s">
        <v>80</v>
      </c>
    </row>
    <row r="36" spans="2:6">
      <c r="B36" t="s">
        <v>35</v>
      </c>
      <c r="C36">
        <f>C35*200</f>
        <v>2.2755442555220085</v>
      </c>
      <c r="D36" t="s">
        <v>70</v>
      </c>
    </row>
    <row r="37" spans="2:6">
      <c r="B37" t="s">
        <v>35</v>
      </c>
      <c r="C37">
        <f>C36/5</f>
        <v>0.45510885110440169</v>
      </c>
      <c r="D37" t="s">
        <v>71</v>
      </c>
    </row>
    <row r="38" spans="2:6">
      <c r="B38" t="s">
        <v>35</v>
      </c>
      <c r="C38">
        <f>C37*B10</f>
        <v>20.935007150802477</v>
      </c>
      <c r="D38" t="s">
        <v>81</v>
      </c>
    </row>
    <row r="39" spans="2:6">
      <c r="B39" t="s">
        <v>72</v>
      </c>
      <c r="C39">
        <v>70</v>
      </c>
      <c r="D39" t="s">
        <v>73</v>
      </c>
    </row>
    <row r="40" spans="2:6">
      <c r="B40" t="s">
        <v>74</v>
      </c>
      <c r="C40">
        <v>0.06</v>
      </c>
      <c r="D40" t="s">
        <v>75</v>
      </c>
    </row>
    <row r="41" spans="2:6">
      <c r="B41" t="s">
        <v>74</v>
      </c>
      <c r="C41">
        <f>C40*C39</f>
        <v>4.2</v>
      </c>
      <c r="D41" t="s">
        <v>45</v>
      </c>
    </row>
    <row r="42" spans="2:6">
      <c r="B42" t="s">
        <v>78</v>
      </c>
      <c r="C42" s="15">
        <f>C41/(C38/1000)</f>
        <v>200.62090114160799</v>
      </c>
      <c r="D42" t="s"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DE36-C41E-4ECA-A78B-114C9AD299C6}">
  <dimension ref="A1:C29"/>
  <sheetViews>
    <sheetView workbookViewId="0"/>
  </sheetViews>
  <sheetFormatPr defaultColWidth="10.6640625" defaultRowHeight="15.5"/>
  <cols>
    <col min="1" max="1" width="17.5" bestFit="1" customWidth="1"/>
    <col min="2" max="2" width="13.6640625" bestFit="1" customWidth="1"/>
  </cols>
  <sheetData>
    <row r="1" spans="1:3">
      <c r="A1" s="21" t="s">
        <v>104</v>
      </c>
    </row>
    <row r="4" spans="1:3">
      <c r="A4" t="s">
        <v>103</v>
      </c>
      <c r="B4">
        <v>100.6</v>
      </c>
      <c r="C4" t="s">
        <v>95</v>
      </c>
    </row>
    <row r="5" spans="1:3">
      <c r="A5" t="s">
        <v>102</v>
      </c>
      <c r="B5">
        <v>50</v>
      </c>
      <c r="C5" t="s">
        <v>47</v>
      </c>
    </row>
    <row r="9" spans="1:3">
      <c r="A9" t="s">
        <v>101</v>
      </c>
      <c r="B9" t="s">
        <v>100</v>
      </c>
      <c r="C9" t="s">
        <v>99</v>
      </c>
    </row>
    <row r="10" spans="1:3">
      <c r="A10">
        <v>0</v>
      </c>
      <c r="B10" s="13">
        <f t="shared" ref="B10:B15" si="0">A10*$B$4/$B$5</f>
        <v>0</v>
      </c>
      <c r="C10">
        <v>0.15</v>
      </c>
    </row>
    <row r="11" spans="1:3">
      <c r="A11">
        <v>1</v>
      </c>
      <c r="B11" s="13">
        <f t="shared" si="0"/>
        <v>2.012</v>
      </c>
      <c r="C11">
        <v>0.23</v>
      </c>
    </row>
    <row r="12" spans="1:3">
      <c r="A12">
        <v>2</v>
      </c>
      <c r="B12" s="13">
        <f t="shared" si="0"/>
        <v>4.024</v>
      </c>
      <c r="C12">
        <v>0.32</v>
      </c>
    </row>
    <row r="13" spans="1:3">
      <c r="A13">
        <v>3</v>
      </c>
      <c r="B13" s="13">
        <f t="shared" si="0"/>
        <v>6.0359999999999987</v>
      </c>
      <c r="C13">
        <v>0.42</v>
      </c>
    </row>
    <row r="14" spans="1:3">
      <c r="A14">
        <v>4</v>
      </c>
      <c r="B14" s="13">
        <f t="shared" si="0"/>
        <v>8.048</v>
      </c>
      <c r="C14">
        <v>0.5</v>
      </c>
    </row>
    <row r="15" spans="1:3">
      <c r="A15">
        <v>5</v>
      </c>
      <c r="B15" s="13">
        <f t="shared" si="0"/>
        <v>10.06</v>
      </c>
      <c r="C15">
        <v>0.56999999999999995</v>
      </c>
    </row>
    <row r="18" spans="1:3">
      <c r="A18" t="s">
        <v>4</v>
      </c>
      <c r="B18">
        <v>4.2700000000000002E-2</v>
      </c>
    </row>
    <row r="19" spans="1:3">
      <c r="A19" t="s">
        <v>5</v>
      </c>
      <c r="B19">
        <v>0.15</v>
      </c>
    </row>
    <row r="20" spans="1:3">
      <c r="A20" t="s">
        <v>57</v>
      </c>
      <c r="B20">
        <v>0</v>
      </c>
    </row>
    <row r="21" spans="1:3">
      <c r="A21" t="s">
        <v>35</v>
      </c>
      <c r="B21" s="7">
        <f>B19/B18</f>
        <v>3.5128805620608898</v>
      </c>
      <c r="C21" t="s">
        <v>95</v>
      </c>
    </row>
    <row r="23" spans="1:3">
      <c r="A23" t="s">
        <v>98</v>
      </c>
      <c r="B23">
        <v>100</v>
      </c>
      <c r="C23" t="s">
        <v>35</v>
      </c>
    </row>
    <row r="24" spans="1:3">
      <c r="B24">
        <v>2</v>
      </c>
      <c r="C24" t="s">
        <v>35</v>
      </c>
    </row>
    <row r="25" spans="1:3">
      <c r="A25" t="s">
        <v>97</v>
      </c>
      <c r="B25">
        <f>B24*B23</f>
        <v>200</v>
      </c>
      <c r="C25" t="s">
        <v>35</v>
      </c>
    </row>
    <row r="26" spans="1:3">
      <c r="A26" t="s">
        <v>96</v>
      </c>
      <c r="B26" s="15">
        <f>B25*B21</f>
        <v>702.57611241217796</v>
      </c>
      <c r="C26" t="s">
        <v>95</v>
      </c>
    </row>
    <row r="27" spans="1:3">
      <c r="A27" t="s">
        <v>94</v>
      </c>
      <c r="B27">
        <v>100</v>
      </c>
      <c r="C27" t="s">
        <v>47</v>
      </c>
    </row>
    <row r="28" spans="1:3">
      <c r="A28" t="s">
        <v>92</v>
      </c>
      <c r="B28" s="15">
        <f>B27*B26</f>
        <v>70257.61124121779</v>
      </c>
      <c r="C28" t="s">
        <v>93</v>
      </c>
    </row>
    <row r="29" spans="1:3">
      <c r="A29" t="s">
        <v>92</v>
      </c>
      <c r="B29" s="15">
        <f>B28/1000</f>
        <v>70.257611241217788</v>
      </c>
      <c r="C29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H18" sqref="H18"/>
    </sheetView>
  </sheetViews>
  <sheetFormatPr defaultRowHeight="15.5"/>
  <cols>
    <col min="3" max="3" width="9.25" bestFit="1" customWidth="1"/>
  </cols>
  <sheetData>
    <row r="1" spans="1:4">
      <c r="A1" s="21" t="s">
        <v>82</v>
      </c>
      <c r="B1" s="17"/>
      <c r="C1" s="17"/>
    </row>
    <row r="2" spans="1:4">
      <c r="A2" s="17"/>
      <c r="B2" s="17"/>
      <c r="C2" s="17"/>
    </row>
    <row r="3" spans="1:4">
      <c r="A3" s="17"/>
      <c r="B3" s="20" t="s">
        <v>88</v>
      </c>
      <c r="C3" s="21" t="s">
        <v>89</v>
      </c>
      <c r="D3" s="21" t="s">
        <v>90</v>
      </c>
    </row>
    <row r="4" spans="1:4">
      <c r="A4" s="17"/>
      <c r="B4" s="23" t="s">
        <v>84</v>
      </c>
      <c r="C4" s="17">
        <v>459570</v>
      </c>
      <c r="D4" s="22">
        <f>C4/$C$9*100</f>
        <v>59.997336758992361</v>
      </c>
    </row>
    <row r="5" spans="1:4">
      <c r="A5" s="17"/>
      <c r="B5" s="23" t="s">
        <v>85</v>
      </c>
      <c r="C5" s="17">
        <v>238940</v>
      </c>
      <c r="D5" s="22">
        <f t="shared" ref="D5:D7" si="0">C5/$C$9*100</f>
        <v>31.193863057191795</v>
      </c>
    </row>
    <row r="6" spans="1:4">
      <c r="A6" s="17"/>
      <c r="B6" s="23" t="s">
        <v>86</v>
      </c>
      <c r="C6" s="17">
        <v>41372</v>
      </c>
      <c r="D6" s="22">
        <f t="shared" si="0"/>
        <v>5.4011572043280278</v>
      </c>
    </row>
    <row r="7" spans="1:4">
      <c r="A7" s="17"/>
      <c r="B7" s="23" t="s">
        <v>87</v>
      </c>
      <c r="C7" s="17">
        <v>26102</v>
      </c>
      <c r="D7" s="22">
        <f t="shared" si="0"/>
        <v>3.4076429794878225</v>
      </c>
    </row>
    <row r="8" spans="1:4">
      <c r="A8" s="17"/>
      <c r="B8" s="23"/>
      <c r="C8" s="17"/>
      <c r="D8" s="17"/>
    </row>
    <row r="9" spans="1:4">
      <c r="A9" s="17"/>
      <c r="B9" s="23" t="s">
        <v>83</v>
      </c>
      <c r="C9" s="17">
        <f>SUM(C4:C7)</f>
        <v>765984</v>
      </c>
      <c r="D9" s="22">
        <f>SUM(D4:D7)</f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Opgave 3 external standard</vt:lpstr>
      <vt:lpstr>Opgave 3 internal standard</vt:lpstr>
      <vt:lpstr>Opgave 3c pipetteer schema</vt:lpstr>
      <vt:lpstr>Opgave 5</vt:lpstr>
      <vt:lpstr>Opgave 6</vt:lpstr>
      <vt:lpstr>Opgave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2019-09-30T18:25:17Z</dcterms:created>
  <dcterms:modified xsi:type="dcterms:W3CDTF">2020-09-18T10:57:21Z</dcterms:modified>
</cp:coreProperties>
</file>