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59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C13" i="1" l="1"/>
  <c r="AB13" i="1"/>
  <c r="AD10" i="1"/>
  <c r="AD13" i="1"/>
  <c r="AD12" i="1"/>
  <c r="AD9" i="1"/>
  <c r="B170" i="1"/>
  <c r="E170" i="1"/>
  <c r="U170" i="1"/>
  <c r="P170" i="1"/>
  <c r="E156" i="1" l="1"/>
  <c r="U156" i="1"/>
  <c r="B156" i="1"/>
  <c r="P163" i="1"/>
  <c r="E163" i="1"/>
  <c r="B163" i="1"/>
  <c r="U163" i="1"/>
  <c r="AC12" i="1" l="1"/>
  <c r="AC10" i="1"/>
  <c r="AC9" i="1"/>
  <c r="AB10" i="1" l="1"/>
  <c r="AB9" i="1"/>
  <c r="U149" i="1"/>
  <c r="E149" i="1"/>
  <c r="B149" i="1"/>
  <c r="P149" i="1" l="1"/>
  <c r="AA12" i="1" s="1"/>
  <c r="AA9" i="1" l="1"/>
  <c r="AA13" i="1"/>
  <c r="AA10" i="1"/>
  <c r="Y9" i="1" l="1"/>
  <c r="B142" i="1"/>
  <c r="P142" i="1"/>
  <c r="Y12" i="1" s="1"/>
  <c r="U142" i="1"/>
  <c r="Y13" i="1" s="1"/>
  <c r="E142" i="1"/>
  <c r="Y10" i="1" s="1"/>
  <c r="X13" i="1" l="1"/>
  <c r="AK13" i="1" s="1"/>
  <c r="AL13" i="1" s="1"/>
  <c r="X10" i="1"/>
  <c r="P135" i="1"/>
  <c r="X12" i="1" s="1"/>
  <c r="K135" i="1"/>
  <c r="X11" i="1" s="1"/>
  <c r="B135" i="1"/>
  <c r="X9" i="1" s="1"/>
  <c r="E135" i="1"/>
  <c r="E128" i="1" l="1"/>
  <c r="V10" i="1" l="1"/>
  <c r="E121" i="1" l="1"/>
  <c r="U10" i="1" s="1"/>
  <c r="B121" i="1"/>
  <c r="U9" i="1" s="1"/>
  <c r="B114" i="1" l="1"/>
  <c r="T9" i="1" s="1"/>
  <c r="E114" i="1"/>
  <c r="T10" i="1" s="1"/>
  <c r="E107" i="1" l="1"/>
  <c r="R10" i="1" s="1"/>
  <c r="B107" i="1"/>
  <c r="R9" i="1" s="1"/>
  <c r="E100" i="1" l="1"/>
  <c r="B100" i="1"/>
  <c r="Q9" i="1" s="1"/>
  <c r="Q10" i="1"/>
  <c r="K100" i="1"/>
  <c r="Q11" i="1" s="1"/>
  <c r="B93" i="1" l="1"/>
  <c r="P9" i="1" s="1"/>
  <c r="P11" i="1"/>
  <c r="P10" i="1"/>
  <c r="E93" i="1"/>
  <c r="K93" i="1"/>
  <c r="B51" i="1"/>
  <c r="B44" i="1"/>
  <c r="B58" i="1"/>
  <c r="B86" i="1"/>
  <c r="O9" i="1" s="1"/>
  <c r="AK9" i="1" l="1"/>
  <c r="AL9" i="1" s="1"/>
  <c r="E86" i="1"/>
  <c r="O10" i="1" s="1"/>
  <c r="AK10" i="1" s="1"/>
  <c r="AL10" i="1" s="1"/>
  <c r="K86" i="1"/>
  <c r="O11" i="1" s="1"/>
  <c r="P86" i="1"/>
  <c r="O12" i="1" s="1"/>
  <c r="D9" i="1"/>
  <c r="P79" i="1" l="1"/>
  <c r="N12" i="1" s="1"/>
  <c r="K79" i="1"/>
  <c r="N11" i="1" s="1"/>
  <c r="K72" i="1" l="1"/>
  <c r="M11" i="1" s="1"/>
  <c r="P72" i="1"/>
  <c r="M12" i="1" s="1"/>
  <c r="E58" i="1" l="1"/>
  <c r="K65" i="1"/>
  <c r="K11" i="1" s="1"/>
  <c r="AK11" i="1" s="1"/>
  <c r="AL11" i="1" s="1"/>
  <c r="P65" i="1"/>
  <c r="K12" i="1" s="1"/>
  <c r="AK12" i="1" s="1"/>
  <c r="AL12" i="1" s="1"/>
  <c r="P58" i="1"/>
  <c r="E37" i="1"/>
  <c r="P51" i="1"/>
  <c r="P44" i="1"/>
  <c r="E51" i="1"/>
  <c r="E44" i="1"/>
</calcChain>
</file>

<file path=xl/sharedStrings.xml><?xml version="1.0" encoding="utf-8"?>
<sst xmlns="http://schemas.openxmlformats.org/spreadsheetml/2006/main" count="88" uniqueCount="67">
  <si>
    <t>JUMLAH HARIAN (kg)</t>
  </si>
  <si>
    <t>TOTAL PRODUKSI (kg)</t>
  </si>
  <si>
    <t>W01-03000027</t>
  </si>
  <si>
    <t>W01-03000013</t>
  </si>
  <si>
    <t>W01-03000026</t>
  </si>
  <si>
    <t>W01-03000020</t>
  </si>
  <si>
    <t>SPESIFIKASI (mm)</t>
  </si>
  <si>
    <t>RINCIAN BERAT HASIL PRODUKSI PRODUKSI</t>
  </si>
  <si>
    <t>TANGGAL</t>
  </si>
  <si>
    <t>SPESIFIKASI</t>
  </si>
  <si>
    <t>TOTAL</t>
  </si>
  <si>
    <t>SPESIFIKASI mm)</t>
  </si>
  <si>
    <t>PANJANG (m)</t>
  </si>
  <si>
    <t>3400 + 72300</t>
  </si>
  <si>
    <t>150000 + 51800 + 1390</t>
  </si>
  <si>
    <t>43400 + 74200 + 4600</t>
  </si>
  <si>
    <t>150000 + 150000</t>
  </si>
  <si>
    <t>150000 + 61300 + 1900 + 150000 + 150000 + 60700 + 3000 + 5800 + 2500 + 12700</t>
  </si>
  <si>
    <t>46800 + 150200 + 150000 + 24900</t>
  </si>
  <si>
    <t>9400 + 150000 + 27800 + 150000 + 150000 + 150000</t>
  </si>
  <si>
    <t>150000 + 57800 + 150200 + 150300</t>
  </si>
  <si>
    <t>150000 + 150000 + 123800</t>
  </si>
  <si>
    <t>6900 + 150000 + 43300 + 150000</t>
  </si>
  <si>
    <t>RUMUS (kg/km)</t>
  </si>
  <si>
    <t>144500 + 28700 + 4100 + 3300 + 150200 + 3400 + 68200 + 150000</t>
  </si>
  <si>
    <t>150000 + 150000 + 150000 + 3000 + 150000 + 150000 + 150000</t>
  </si>
  <si>
    <t>25000 + 150000 + 3000 + 150000 + 5700 + 150000</t>
  </si>
  <si>
    <t>150000 + 150000 + 150000 + 150000 + 150000 + 150000 + 150000</t>
  </si>
  <si>
    <t>150000 + 110500 + 150000 + 150000 + 150000 + 120200</t>
  </si>
  <si>
    <t>LAPORAN HASIL PRODUKSI FINE WIRE DRAWING / 伸线成品</t>
  </si>
  <si>
    <t>TEMBAGA ASLI (kg)</t>
  </si>
  <si>
    <t>W01-03000004</t>
  </si>
  <si>
    <t>KURANG (kg)</t>
  </si>
  <si>
    <t>10300 + 143100</t>
  </si>
  <si>
    <t>150000 + 150000 + 51200 + 150000</t>
  </si>
  <si>
    <t>2700 + 10600 + 150000 + 150000</t>
  </si>
  <si>
    <t>59300 + 150000 + 150000</t>
  </si>
  <si>
    <t>12000 + 150000 + 150000 + 24200</t>
  </si>
  <si>
    <t>150000 + 134000 + 150000 + 86800</t>
  </si>
  <si>
    <t>150000 + 1500 + 15000 + 150000 + 31700 + 150000 + 150000</t>
  </si>
  <si>
    <t>141200 + 150000 + 150000</t>
  </si>
  <si>
    <t>63900 + 150000 + 150000 + 136000</t>
  </si>
  <si>
    <t>9300 + 150000 + 150000 + 150000</t>
  </si>
  <si>
    <t>140000 + 150000 + 20600 + 150000 + 80000 + 150000 + 150000</t>
  </si>
  <si>
    <t>150000 + 150000 + 150000 + 122900 + 150000 + 8000 + 150000 + 19500</t>
  </si>
  <si>
    <t>31500 + 150000 + 3000 + 67200 + 150000</t>
  </si>
  <si>
    <t>73000 + 150000 + 150000 + 150000 + 150000 + 150000</t>
  </si>
  <si>
    <t>NO JOB ORDER</t>
  </si>
  <si>
    <t>KODE MATERIAL</t>
  </si>
  <si>
    <t>150000 + 150000 + 150000 + 150000 + 150000 + 150000</t>
  </si>
  <si>
    <t>115800 + 150000 + 31000 + 150000</t>
  </si>
  <si>
    <t>75900 + 150000</t>
  </si>
  <si>
    <t>134200 + 253600</t>
  </si>
  <si>
    <t>112800 + 59500</t>
  </si>
  <si>
    <t>150000 + 150000 + 150000 + 84000 + 150000</t>
  </si>
  <si>
    <t>150000 + 150000 + 23800 + 12200</t>
  </si>
  <si>
    <t>172300 + 21600 + 600000 + 600000</t>
  </si>
  <si>
    <t>47800 + 162300 + 146000 + 591000 + 29000 + 241500</t>
  </si>
  <si>
    <t>8900 + 50200 + 35000 + 28000 + 25000 + 58000</t>
  </si>
  <si>
    <t>150000 + 150000 + 109000</t>
  </si>
  <si>
    <t>150000 + 113700 + 150000</t>
  </si>
  <si>
    <t>150000 + 39800 + 100000 + 150000</t>
  </si>
  <si>
    <t>174600 + 331900 + 600000 + 231000</t>
  </si>
  <si>
    <t>150000 + 85400 + 150000 + 150000 + 104000</t>
  </si>
  <si>
    <t>62300 + 32900 + 10000 + 295500 + 97800</t>
  </si>
  <si>
    <t>103100 + 150000</t>
  </si>
  <si>
    <t>82000 + 18300 + 150000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</si>
</sst>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FC24"/>
        <bgColor indexed="64"/>
      </patternFill>
    </fill>
    <fill>
      <patternFill patternType="solid">
        <fgColor rgb="FFC5D9F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361949</xdr:colOff>
      <xdr:row>0</xdr:row>
      <xdr:rowOff>76201</xdr:rowOff>
    </xdr:from>
    <xdr:to>
      <xdr:col>13</xdr:col>
      <xdr:colOff>314324</xdr:colOff>
      <xdr:row>5</xdr:row>
      <xdr:rowOff>125125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0"/>
  <sheetViews>
    <sheetView tabSelected="1" topLeftCell="L1" zoomScale="70" zoomScaleNormal="70" workbookViewId="0">
      <selection activeCell="AC13" sqref="AC13"/>
    </sheetView>
  </sheetViews>
  <sheetFormatPr defaultRowHeight="15" x14ac:dyDescent="0.25"/>
  <cols>
    <col min="1" max="1" width="11.28515625" bestFit="1" customWidth="1"/>
    <col min="2" max="2" width="16.28515625" customWidth="1"/>
    <col min="3" max="4" width="15" customWidth="1"/>
    <col min="5" max="8" width="7.42578125" bestFit="1" customWidth="1"/>
    <col min="11" max="11" width="9.140625" customWidth="1"/>
    <col min="37" max="37" width="15.5703125" customWidth="1"/>
    <col min="38" max="38" width="12.140625" customWidth="1"/>
    <col min="39" max="39" width="14.140625" customWidth="1"/>
  </cols>
  <sheetData>
    <row r="1" spans="1:39" ht="15" customHeight="1" x14ac:dyDescent="0.25">
      <c r="A1" s="47" t="s">
        <v>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</row>
    <row r="2" spans="1:39" ht="1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</row>
    <row r="3" spans="1:39" ht="15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</row>
    <row r="4" spans="1:39" ht="15" customHeigh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"/>
    </row>
    <row r="5" spans="1:39" ht="15" customHeight="1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"/>
    </row>
    <row r="6" spans="1:39" ht="15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"/>
    </row>
    <row r="7" spans="1:39" x14ac:dyDescent="0.25">
      <c r="A7" s="37" t="s">
        <v>6</v>
      </c>
      <c r="B7" s="37" t="s">
        <v>48</v>
      </c>
      <c r="C7" s="37" t="s">
        <v>47</v>
      </c>
      <c r="D7" s="37" t="s">
        <v>30</v>
      </c>
      <c r="E7" s="39" t="s"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1"/>
      <c r="AK7" s="37" t="s">
        <v>1</v>
      </c>
      <c r="AL7" s="46" t="s">
        <v>32</v>
      </c>
    </row>
    <row r="8" spans="1:39" x14ac:dyDescent="0.25">
      <c r="A8" s="38"/>
      <c r="B8" s="38"/>
      <c r="C8" s="38"/>
      <c r="D8" s="38"/>
      <c r="E8" s="5">
        <v>47328</v>
      </c>
      <c r="F8" s="5">
        <v>11535</v>
      </c>
      <c r="G8" s="6">
        <v>45139</v>
      </c>
      <c r="H8" s="6">
        <v>45140</v>
      </c>
      <c r="I8" s="6">
        <v>45141</v>
      </c>
      <c r="J8" s="6">
        <v>45142</v>
      </c>
      <c r="K8" s="6">
        <v>45143</v>
      </c>
      <c r="L8" s="6">
        <v>45144</v>
      </c>
      <c r="M8" s="6">
        <v>45145</v>
      </c>
      <c r="N8" s="6">
        <v>45146</v>
      </c>
      <c r="O8" s="6">
        <v>45147</v>
      </c>
      <c r="P8" s="6">
        <v>45148</v>
      </c>
      <c r="Q8" s="6">
        <v>45149</v>
      </c>
      <c r="R8" s="6">
        <v>45150</v>
      </c>
      <c r="S8" s="6">
        <v>45151</v>
      </c>
      <c r="T8" s="6">
        <v>45152</v>
      </c>
      <c r="U8" s="6">
        <v>45153</v>
      </c>
      <c r="V8" s="6">
        <v>45154</v>
      </c>
      <c r="W8" s="6">
        <v>45155</v>
      </c>
      <c r="X8" s="6">
        <v>45156</v>
      </c>
      <c r="Y8" s="6">
        <v>45157</v>
      </c>
      <c r="Z8" s="6">
        <v>45158</v>
      </c>
      <c r="AA8" s="6">
        <v>45159</v>
      </c>
      <c r="AB8" s="6">
        <v>45160</v>
      </c>
      <c r="AC8" s="6">
        <v>45161</v>
      </c>
      <c r="AD8" s="6">
        <v>45162</v>
      </c>
      <c r="AE8" s="6">
        <v>45163</v>
      </c>
      <c r="AF8" s="6">
        <v>45164</v>
      </c>
      <c r="AG8" s="6">
        <v>45165</v>
      </c>
      <c r="AH8" s="6">
        <v>45166</v>
      </c>
      <c r="AI8" s="6">
        <v>45167</v>
      </c>
      <c r="AJ8" s="6">
        <v>45168</v>
      </c>
      <c r="AK8" s="38"/>
      <c r="AL8" s="46"/>
    </row>
    <row r="9" spans="1:39" x14ac:dyDescent="0.25">
      <c r="A9" s="1">
        <v>0.127</v>
      </c>
      <c r="B9" s="1" t="s">
        <v>2</v>
      </c>
      <c r="C9" s="1">
        <v>20230727004</v>
      </c>
      <c r="D9" s="19">
        <f>SUM(696.7 + 106.1)</f>
        <v>802.80000000000007</v>
      </c>
      <c r="E9" s="16">
        <v>70.2</v>
      </c>
      <c r="F9" s="16">
        <v>54.72</v>
      </c>
      <c r="G9" s="12"/>
      <c r="H9" s="12">
        <v>12.64</v>
      </c>
      <c r="I9" s="12">
        <v>41.91</v>
      </c>
      <c r="J9" s="12">
        <v>71.81</v>
      </c>
      <c r="K9" s="12"/>
      <c r="L9" s="12"/>
      <c r="M9" s="12"/>
      <c r="N9" s="12"/>
      <c r="O9" s="12">
        <f>B18*B86/1000</f>
        <v>9.3202899999999982</v>
      </c>
      <c r="P9" s="12">
        <f>B18*B93/1000</f>
        <v>37.889739999999996</v>
      </c>
      <c r="Q9" s="12">
        <f>B18*B100/1000</f>
        <v>73.052139999999994</v>
      </c>
      <c r="R9" s="12">
        <f>B18*B107/1000</f>
        <v>56.338729999999998</v>
      </c>
      <c r="S9" s="12"/>
      <c r="T9" s="12">
        <f>B18*B114/1000</f>
        <v>101.47508000000001</v>
      </c>
      <c r="U9" s="12">
        <f>B18*B121/1000</f>
        <v>45.271589999999996</v>
      </c>
      <c r="V9" s="12"/>
      <c r="W9" s="12"/>
      <c r="X9" s="12">
        <f>B18*B135/1000</f>
        <v>10.019029999999999</v>
      </c>
      <c r="Y9" s="12">
        <f>B18*B142/1000</f>
        <v>19.418209999999998</v>
      </c>
      <c r="Z9" s="12"/>
      <c r="AA9" s="12">
        <f>B18*B149/1000</f>
        <v>77.086799999999997</v>
      </c>
      <c r="AB9" s="12">
        <f>B18*B156/1000</f>
        <v>49.565460000000002</v>
      </c>
      <c r="AC9" s="12">
        <f>B18*B163/1000</f>
        <v>23.11477</v>
      </c>
      <c r="AD9" s="12">
        <f>B18*B170/1000</f>
        <v>28.208809999999996</v>
      </c>
      <c r="AE9" s="12"/>
      <c r="AF9" s="12"/>
      <c r="AG9" s="12"/>
      <c r="AH9" s="12"/>
      <c r="AI9" s="12"/>
      <c r="AJ9" s="12"/>
      <c r="AK9" s="18">
        <f>SUM(E9:AJ9)</f>
        <v>782.04065000000014</v>
      </c>
      <c r="AL9" s="18">
        <f>AK9-D9</f>
        <v>-20.759349999999927</v>
      </c>
    </row>
    <row r="10" spans="1:39" x14ac:dyDescent="0.25">
      <c r="A10" s="2">
        <v>0.12</v>
      </c>
      <c r="B10" s="2" t="s">
        <v>3</v>
      </c>
      <c r="C10" s="2">
        <v>20230727003</v>
      </c>
      <c r="D10" s="2">
        <v>802.8</v>
      </c>
      <c r="E10" s="12"/>
      <c r="F10" s="12"/>
      <c r="G10" s="12">
        <v>60.14</v>
      </c>
      <c r="H10" s="12">
        <v>7.61</v>
      </c>
      <c r="I10" s="12">
        <v>20.43</v>
      </c>
      <c r="J10" s="12">
        <v>55.57</v>
      </c>
      <c r="K10" s="12"/>
      <c r="L10" s="12"/>
      <c r="M10" s="12"/>
      <c r="N10" s="12"/>
      <c r="O10" s="12">
        <f>B19*E86/1000</f>
        <v>31.517979999999998</v>
      </c>
      <c r="P10" s="12">
        <f>B19*E93/1000</f>
        <v>30.18</v>
      </c>
      <c r="Q10" s="12">
        <f>B19*E100/1000</f>
        <v>44.384720000000002</v>
      </c>
      <c r="R10" s="12">
        <f>B19*E107/1000</f>
        <v>46.205579999999998</v>
      </c>
      <c r="S10" s="12"/>
      <c r="T10" s="12">
        <f>B19*E114/1000</f>
        <v>84.564359999999994</v>
      </c>
      <c r="U10" s="12">
        <f>B19*E121/1000</f>
        <v>82.793800000000005</v>
      </c>
      <c r="V10" s="12">
        <f>B19*E128/1000</f>
        <v>90.54</v>
      </c>
      <c r="W10" s="12"/>
      <c r="X10" s="12">
        <f>B19*E135/1000</f>
        <v>44.948079999999997</v>
      </c>
      <c r="Y10" s="12">
        <f>B19*E142/1000</f>
        <v>30.18</v>
      </c>
      <c r="Z10" s="12"/>
      <c r="AA10" s="12">
        <f>B19*E149/1000</f>
        <v>33.801600000000001</v>
      </c>
      <c r="AB10" s="12">
        <f>B19*E156/1000</f>
        <v>64.323639999999997</v>
      </c>
      <c r="AC10" s="12">
        <f>B19*E163/1000</f>
        <v>41.145400000000002</v>
      </c>
      <c r="AD10" s="12">
        <f>B19*E170/1000</f>
        <v>25.461859999999998</v>
      </c>
      <c r="AE10" s="12"/>
      <c r="AF10" s="12"/>
      <c r="AG10" s="12"/>
      <c r="AH10" s="12"/>
      <c r="AI10" s="12"/>
      <c r="AJ10" s="12"/>
      <c r="AK10" s="13">
        <f t="shared" ref="AK10:AK13" si="0">SUM(E10:AJ10)</f>
        <v>793.79701999999986</v>
      </c>
      <c r="AL10" s="13">
        <f t="shared" ref="AL10:AL12" si="1">AK10-D10</f>
        <v>-9.0029800000000932</v>
      </c>
    </row>
    <row r="11" spans="1:39" x14ac:dyDescent="0.25">
      <c r="A11" s="12">
        <v>0.2</v>
      </c>
      <c r="B11" s="2" t="s">
        <v>4</v>
      </c>
      <c r="C11" s="2">
        <v>20230727005</v>
      </c>
      <c r="D11" s="11">
        <v>902.7</v>
      </c>
      <c r="E11" s="12"/>
      <c r="F11" s="12"/>
      <c r="G11" s="12"/>
      <c r="H11" s="12"/>
      <c r="I11" s="12"/>
      <c r="J11" s="17"/>
      <c r="K11" s="12">
        <f>$B20*$K65/1000</f>
        <v>97.91592</v>
      </c>
      <c r="L11" s="12"/>
      <c r="M11" s="12">
        <f>$B20*$K72/1000</f>
        <v>135.24252000000001</v>
      </c>
      <c r="N11" s="12">
        <f>B20*K79/1000</f>
        <v>293.58</v>
      </c>
      <c r="O11" s="12">
        <f>B20*K86/1000</f>
        <v>140.13552000000001</v>
      </c>
      <c r="P11" s="12">
        <f>B20*K93/1000</f>
        <v>100.46028</v>
      </c>
      <c r="Q11" s="12">
        <f>B20*K100/1000</f>
        <v>145.61568000000003</v>
      </c>
      <c r="R11" s="12"/>
      <c r="S11" s="12"/>
      <c r="T11" s="12"/>
      <c r="U11" s="12"/>
      <c r="V11" s="12"/>
      <c r="W11" s="12"/>
      <c r="X11" s="12">
        <f>B20*K135/1000</f>
        <v>2.7680400000000001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8">
        <f t="shared" si="0"/>
        <v>915.71796000000006</v>
      </c>
      <c r="AL11" s="15">
        <f t="shared" si="1"/>
        <v>13.017960000000016</v>
      </c>
    </row>
    <row r="12" spans="1:39" x14ac:dyDescent="0.25">
      <c r="A12" s="2">
        <v>0.16</v>
      </c>
      <c r="B12" s="2" t="s">
        <v>5</v>
      </c>
      <c r="C12" s="2">
        <v>20230727002</v>
      </c>
      <c r="D12" s="11">
        <v>501.5</v>
      </c>
      <c r="E12" s="12"/>
      <c r="F12" s="12"/>
      <c r="G12" s="12"/>
      <c r="H12" s="12">
        <v>14.47</v>
      </c>
      <c r="I12" s="12">
        <v>53.67</v>
      </c>
      <c r="J12" s="12">
        <v>90.93</v>
      </c>
      <c r="K12" s="12">
        <f>$B21*$P65/1000</f>
        <v>75.817820000000012</v>
      </c>
      <c r="L12" s="12"/>
      <c r="M12" s="12">
        <f>$B21*$P72/1000</f>
        <v>161.54670000000002</v>
      </c>
      <c r="N12" s="12">
        <f>B21*P79/1000</f>
        <v>148.61223000000001</v>
      </c>
      <c r="O12" s="12">
        <f>B21*P86/1000</f>
        <v>27.443260000000002</v>
      </c>
      <c r="P12" s="12"/>
      <c r="Q12" s="12"/>
      <c r="R12" s="12"/>
      <c r="S12" s="12"/>
      <c r="T12" s="12"/>
      <c r="U12" s="12"/>
      <c r="V12" s="12"/>
      <c r="W12" s="12"/>
      <c r="X12" s="12">
        <f>B21*P135/1000</f>
        <v>40.413510000000002</v>
      </c>
      <c r="Y12" s="12">
        <f>B21*P142/1000</f>
        <v>26.835000000000001</v>
      </c>
      <c r="Z12" s="12"/>
      <c r="AA12" s="12">
        <f>B21*P149/1000</f>
        <v>4.9555299999999995</v>
      </c>
      <c r="AB12" s="12"/>
      <c r="AC12" s="12">
        <f>B21*P163/1000</f>
        <v>74.010930000000002</v>
      </c>
      <c r="AD12" s="12">
        <f>B21*P170/1000</f>
        <v>23.364339999999999</v>
      </c>
      <c r="AE12" s="12"/>
      <c r="AF12" s="12"/>
      <c r="AG12" s="12"/>
      <c r="AH12" s="12"/>
      <c r="AI12" s="12"/>
      <c r="AJ12" s="12"/>
      <c r="AK12" s="18">
        <f t="shared" si="0"/>
        <v>742.06931999999995</v>
      </c>
      <c r="AL12" s="15">
        <f t="shared" si="1"/>
        <v>240.56931999999995</v>
      </c>
    </row>
    <row r="13" spans="1:39" x14ac:dyDescent="0.25">
      <c r="A13" s="2">
        <v>0.08</v>
      </c>
      <c r="B13" s="2" t="s">
        <v>31</v>
      </c>
      <c r="C13" s="2">
        <v>20230809001</v>
      </c>
      <c r="D13" s="2">
        <v>502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>
        <f>B22*U135/1000</f>
        <v>2.9055</v>
      </c>
      <c r="Y13" s="12">
        <f>B22*U142/1000</f>
        <v>17.33466</v>
      </c>
      <c r="Z13" s="12"/>
      <c r="AA13" s="12">
        <f>B22*U149/1000</f>
        <v>62.307329999999993</v>
      </c>
      <c r="AB13" s="12">
        <f>B22*U156/1000</f>
        <v>59.786249999999995</v>
      </c>
      <c r="AC13" s="12">
        <f>B22*U163/1000</f>
        <v>54.426719999999996</v>
      </c>
      <c r="AD13" s="12">
        <f>B22*U170/1000</f>
        <v>22.282949999999996</v>
      </c>
      <c r="AE13" s="12"/>
      <c r="AF13" s="12"/>
      <c r="AG13" s="12"/>
      <c r="AH13" s="12"/>
      <c r="AI13" s="12"/>
      <c r="AJ13" s="12"/>
      <c r="AK13" s="13">
        <f t="shared" si="0"/>
        <v>219.04340999999997</v>
      </c>
      <c r="AL13" s="13">
        <f>AK13-D13</f>
        <v>-282.95659000000001</v>
      </c>
    </row>
    <row r="14" spans="1:39" x14ac:dyDescent="0.25">
      <c r="A14" s="3"/>
      <c r="B14" s="3"/>
      <c r="C14" s="3"/>
    </row>
    <row r="17" spans="1:25" x14ac:dyDescent="0.25">
      <c r="A17" s="9" t="s">
        <v>9</v>
      </c>
      <c r="B17" s="9" t="s">
        <v>23</v>
      </c>
    </row>
    <row r="18" spans="1:25" x14ac:dyDescent="0.25">
      <c r="A18" s="8">
        <v>0.127</v>
      </c>
      <c r="B18" s="8">
        <v>0.11269999999999999</v>
      </c>
    </row>
    <row r="19" spans="1:25" x14ac:dyDescent="0.25">
      <c r="A19" s="8">
        <v>0.12</v>
      </c>
      <c r="B19" s="8">
        <v>0.10059999999999999</v>
      </c>
    </row>
    <row r="20" spans="1:25" x14ac:dyDescent="0.25">
      <c r="A20" s="13">
        <v>0.2</v>
      </c>
      <c r="B20" s="8">
        <v>0.27960000000000002</v>
      </c>
    </row>
    <row r="21" spans="1:25" x14ac:dyDescent="0.25">
      <c r="A21" s="8">
        <v>0.16</v>
      </c>
      <c r="B21" s="8">
        <v>0.1789</v>
      </c>
      <c r="J21" s="3"/>
    </row>
    <row r="22" spans="1:25" x14ac:dyDescent="0.25">
      <c r="A22" s="8">
        <v>0.08</v>
      </c>
      <c r="B22" s="8">
        <v>4.4699999999999997E-2</v>
      </c>
      <c r="J22" s="3"/>
    </row>
    <row r="23" spans="1:25" x14ac:dyDescent="0.25">
      <c r="A23" s="10"/>
      <c r="B23" s="10"/>
      <c r="J23" s="3"/>
    </row>
    <row r="24" spans="1:25" x14ac:dyDescent="0.25">
      <c r="A24" s="10"/>
      <c r="B24" s="10"/>
      <c r="J24" s="3"/>
    </row>
    <row r="25" spans="1:25" x14ac:dyDescent="0.25">
      <c r="A25" s="10"/>
      <c r="B25" s="10"/>
      <c r="J25" s="3"/>
    </row>
    <row r="26" spans="1:25" ht="15" customHeight="1" x14ac:dyDescent="0.25">
      <c r="A26" s="44" t="s">
        <v>7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</row>
    <row r="27" spans="1:25" ht="15" customHeight="1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</row>
    <row r="28" spans="1:25" x14ac:dyDescent="0.25">
      <c r="A28" s="42" t="s">
        <v>8</v>
      </c>
      <c r="B28" s="42" t="s">
        <v>11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 spans="1:25" x14ac:dyDescent="0.25">
      <c r="A29" s="42"/>
      <c r="B29" s="43">
        <v>0.127</v>
      </c>
      <c r="C29" s="43"/>
      <c r="D29" s="43"/>
      <c r="E29" s="43">
        <v>0.12</v>
      </c>
      <c r="F29" s="43"/>
      <c r="G29" s="43"/>
      <c r="H29" s="43"/>
      <c r="I29" s="43"/>
      <c r="J29" s="43"/>
      <c r="K29" s="49">
        <v>0.2</v>
      </c>
      <c r="L29" s="49"/>
      <c r="M29" s="49"/>
      <c r="N29" s="49"/>
      <c r="O29" s="49"/>
      <c r="P29" s="43">
        <v>0.16</v>
      </c>
      <c r="Q29" s="43"/>
      <c r="R29" s="43"/>
      <c r="S29" s="43"/>
      <c r="T29" s="43"/>
      <c r="U29" s="50">
        <v>0.08</v>
      </c>
      <c r="V29" s="50"/>
      <c r="W29" s="50"/>
      <c r="X29" s="50"/>
      <c r="Y29" s="50"/>
    </row>
    <row r="30" spans="1:25" x14ac:dyDescent="0.25">
      <c r="A30" s="42"/>
      <c r="B30" s="42" t="s">
        <v>12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 spans="1:25" ht="15" customHeight="1" x14ac:dyDescent="0.25">
      <c r="A31" s="20">
        <v>45139</v>
      </c>
      <c r="B31" s="22"/>
      <c r="C31" s="22"/>
      <c r="D31" s="22"/>
      <c r="E31" s="23" t="s">
        <v>17</v>
      </c>
      <c r="F31" s="24"/>
      <c r="G31" s="24"/>
      <c r="H31" s="24"/>
      <c r="I31" s="24"/>
      <c r="J31" s="25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x14ac:dyDescent="0.25">
      <c r="A32" s="21"/>
      <c r="B32" s="22"/>
      <c r="C32" s="22"/>
      <c r="D32" s="22"/>
      <c r="E32" s="26"/>
      <c r="F32" s="27"/>
      <c r="G32" s="27"/>
      <c r="H32" s="27"/>
      <c r="I32" s="27"/>
      <c r="J32" s="28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x14ac:dyDescent="0.25">
      <c r="A33" s="21"/>
      <c r="B33" s="22"/>
      <c r="C33" s="22"/>
      <c r="D33" s="22"/>
      <c r="E33" s="26"/>
      <c r="F33" s="27"/>
      <c r="G33" s="27"/>
      <c r="H33" s="27"/>
      <c r="I33" s="27"/>
      <c r="J33" s="28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x14ac:dyDescent="0.25">
      <c r="A34" s="21"/>
      <c r="B34" s="22"/>
      <c r="C34" s="22"/>
      <c r="D34" s="22"/>
      <c r="E34" s="26"/>
      <c r="F34" s="27"/>
      <c r="G34" s="27"/>
      <c r="H34" s="27"/>
      <c r="I34" s="27"/>
      <c r="J34" s="28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x14ac:dyDescent="0.25">
      <c r="A35" s="21"/>
      <c r="B35" s="22"/>
      <c r="C35" s="22"/>
      <c r="D35" s="22"/>
      <c r="E35" s="26"/>
      <c r="F35" s="27"/>
      <c r="G35" s="27"/>
      <c r="H35" s="27"/>
      <c r="I35" s="27"/>
      <c r="J35" s="28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x14ac:dyDescent="0.25">
      <c r="A36" s="21"/>
      <c r="B36" s="22"/>
      <c r="C36" s="22"/>
      <c r="D36" s="22"/>
      <c r="E36" s="29"/>
      <c r="F36" s="30"/>
      <c r="G36" s="30"/>
      <c r="H36" s="30"/>
      <c r="I36" s="30"/>
      <c r="J36" s="31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x14ac:dyDescent="0.25">
      <c r="A37" s="7" t="s">
        <v>10</v>
      </c>
      <c r="B37" s="32"/>
      <c r="C37" s="32"/>
      <c r="D37" s="32"/>
      <c r="E37" s="33">
        <f>SUM(150000 + 61300 + 1900 + 150000 + 150000 + 60700 + 3000 + 5800 + 2500 + 12700)</f>
        <v>597900</v>
      </c>
      <c r="F37" s="34"/>
      <c r="G37" s="34"/>
      <c r="H37" s="34"/>
      <c r="I37" s="34"/>
      <c r="J37" s="35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6"/>
      <c r="V37" s="36"/>
      <c r="W37" s="36"/>
      <c r="X37" s="36"/>
      <c r="Y37" s="36"/>
    </row>
    <row r="38" spans="1:25" ht="15" customHeight="1" x14ac:dyDescent="0.25">
      <c r="A38" s="20">
        <v>45140</v>
      </c>
      <c r="B38" s="22" t="s">
        <v>15</v>
      </c>
      <c r="C38" s="22"/>
      <c r="D38" s="22"/>
      <c r="E38" s="23" t="s">
        <v>13</v>
      </c>
      <c r="F38" s="24"/>
      <c r="G38" s="24"/>
      <c r="H38" s="24"/>
      <c r="I38" s="24"/>
      <c r="J38" s="25"/>
      <c r="K38" s="22"/>
      <c r="L38" s="22"/>
      <c r="M38" s="22"/>
      <c r="N38" s="22"/>
      <c r="O38" s="22"/>
      <c r="P38" s="22">
        <v>80900</v>
      </c>
      <c r="Q38" s="22"/>
      <c r="R38" s="22"/>
      <c r="S38" s="22"/>
      <c r="T38" s="22"/>
      <c r="U38" s="22"/>
      <c r="V38" s="22"/>
      <c r="W38" s="22"/>
      <c r="X38" s="22"/>
      <c r="Y38" s="22"/>
    </row>
    <row r="39" spans="1:25" x14ac:dyDescent="0.25">
      <c r="A39" s="21"/>
      <c r="B39" s="22"/>
      <c r="C39" s="22"/>
      <c r="D39" s="22"/>
      <c r="E39" s="26"/>
      <c r="F39" s="27"/>
      <c r="G39" s="27"/>
      <c r="H39" s="27"/>
      <c r="I39" s="27"/>
      <c r="J39" s="28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x14ac:dyDescent="0.25">
      <c r="A40" s="21"/>
      <c r="B40" s="22"/>
      <c r="C40" s="22"/>
      <c r="D40" s="22"/>
      <c r="E40" s="26"/>
      <c r="F40" s="27"/>
      <c r="G40" s="27"/>
      <c r="H40" s="27"/>
      <c r="I40" s="27"/>
      <c r="J40" s="28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x14ac:dyDescent="0.25">
      <c r="A41" s="21"/>
      <c r="B41" s="22"/>
      <c r="C41" s="22"/>
      <c r="D41" s="22"/>
      <c r="E41" s="26"/>
      <c r="F41" s="27"/>
      <c r="G41" s="27"/>
      <c r="H41" s="27"/>
      <c r="I41" s="27"/>
      <c r="J41" s="28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x14ac:dyDescent="0.25">
      <c r="A42" s="21"/>
      <c r="B42" s="22"/>
      <c r="C42" s="22"/>
      <c r="D42" s="22"/>
      <c r="E42" s="26"/>
      <c r="F42" s="27"/>
      <c r="G42" s="27"/>
      <c r="H42" s="27"/>
      <c r="I42" s="27"/>
      <c r="J42" s="28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x14ac:dyDescent="0.25">
      <c r="A43" s="21"/>
      <c r="B43" s="22"/>
      <c r="C43" s="22"/>
      <c r="D43" s="22"/>
      <c r="E43" s="29"/>
      <c r="F43" s="30"/>
      <c r="G43" s="30"/>
      <c r="H43" s="30"/>
      <c r="I43" s="30"/>
      <c r="J43" s="31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x14ac:dyDescent="0.25">
      <c r="A44" s="7" t="s">
        <v>10</v>
      </c>
      <c r="B44" s="32">
        <f>SUM(43400 + 74200 + 4600)</f>
        <v>122200</v>
      </c>
      <c r="C44" s="32"/>
      <c r="D44" s="32"/>
      <c r="E44" s="33">
        <f>SUM(3400 + 72300)</f>
        <v>75700</v>
      </c>
      <c r="F44" s="34"/>
      <c r="G44" s="34"/>
      <c r="H44" s="34"/>
      <c r="I44" s="34"/>
      <c r="J44" s="35"/>
      <c r="K44" s="32"/>
      <c r="L44" s="32"/>
      <c r="M44" s="32"/>
      <c r="N44" s="32"/>
      <c r="O44" s="32"/>
      <c r="P44" s="32">
        <f>SUM(80900)</f>
        <v>80900</v>
      </c>
      <c r="Q44" s="32"/>
      <c r="R44" s="32"/>
      <c r="S44" s="32"/>
      <c r="T44" s="32"/>
      <c r="U44" s="36"/>
      <c r="V44" s="36"/>
      <c r="W44" s="36"/>
      <c r="X44" s="36"/>
      <c r="Y44" s="36"/>
    </row>
    <row r="45" spans="1:25" ht="15" customHeight="1" x14ac:dyDescent="0.25">
      <c r="A45" s="20">
        <v>45141</v>
      </c>
      <c r="B45" s="22" t="s">
        <v>18</v>
      </c>
      <c r="C45" s="22"/>
      <c r="D45" s="22"/>
      <c r="E45" s="23" t="s">
        <v>14</v>
      </c>
      <c r="F45" s="24"/>
      <c r="G45" s="24"/>
      <c r="H45" s="24"/>
      <c r="I45" s="24"/>
      <c r="J45" s="25"/>
      <c r="K45" s="22"/>
      <c r="L45" s="22"/>
      <c r="M45" s="22"/>
      <c r="N45" s="22"/>
      <c r="O45" s="22"/>
      <c r="P45" s="22" t="s">
        <v>16</v>
      </c>
      <c r="Q45" s="22"/>
      <c r="R45" s="22"/>
      <c r="S45" s="22"/>
      <c r="T45" s="22"/>
      <c r="U45" s="22"/>
      <c r="V45" s="22"/>
      <c r="W45" s="22"/>
      <c r="X45" s="22"/>
      <c r="Y45" s="22"/>
    </row>
    <row r="46" spans="1:25" x14ac:dyDescent="0.25">
      <c r="A46" s="21"/>
      <c r="B46" s="22"/>
      <c r="C46" s="22"/>
      <c r="D46" s="22"/>
      <c r="E46" s="26"/>
      <c r="F46" s="27"/>
      <c r="G46" s="27"/>
      <c r="H46" s="27"/>
      <c r="I46" s="27"/>
      <c r="J46" s="28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x14ac:dyDescent="0.25">
      <c r="A47" s="21"/>
      <c r="B47" s="22"/>
      <c r="C47" s="22"/>
      <c r="D47" s="22"/>
      <c r="E47" s="26"/>
      <c r="F47" s="27"/>
      <c r="G47" s="27"/>
      <c r="H47" s="27"/>
      <c r="I47" s="27"/>
      <c r="J47" s="28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x14ac:dyDescent="0.25">
      <c r="A48" s="21"/>
      <c r="B48" s="22"/>
      <c r="C48" s="22"/>
      <c r="D48" s="22"/>
      <c r="E48" s="26"/>
      <c r="F48" s="27"/>
      <c r="G48" s="27"/>
      <c r="H48" s="27"/>
      <c r="I48" s="27"/>
      <c r="J48" s="28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x14ac:dyDescent="0.25">
      <c r="A49" s="21"/>
      <c r="B49" s="22"/>
      <c r="C49" s="22"/>
      <c r="D49" s="22"/>
      <c r="E49" s="26"/>
      <c r="F49" s="27"/>
      <c r="G49" s="27"/>
      <c r="H49" s="27"/>
      <c r="I49" s="27"/>
      <c r="J49" s="28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x14ac:dyDescent="0.25">
      <c r="A50" s="21"/>
      <c r="B50" s="22"/>
      <c r="C50" s="22"/>
      <c r="D50" s="22"/>
      <c r="E50" s="29"/>
      <c r="F50" s="30"/>
      <c r="G50" s="30"/>
      <c r="H50" s="30"/>
      <c r="I50" s="30"/>
      <c r="J50" s="31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x14ac:dyDescent="0.25">
      <c r="A51" s="7" t="s">
        <v>10</v>
      </c>
      <c r="B51" s="32">
        <f>SUM(46800 + 150200 + 150000 + 24900)</f>
        <v>371900</v>
      </c>
      <c r="C51" s="32"/>
      <c r="D51" s="32"/>
      <c r="E51" s="33">
        <f>SUM(150000 + 51800 + 1390)</f>
        <v>203190</v>
      </c>
      <c r="F51" s="34"/>
      <c r="G51" s="34"/>
      <c r="H51" s="34"/>
      <c r="I51" s="34"/>
      <c r="J51" s="35"/>
      <c r="K51" s="32"/>
      <c r="L51" s="32"/>
      <c r="M51" s="32"/>
      <c r="N51" s="32"/>
      <c r="O51" s="32"/>
      <c r="P51" s="32">
        <f>SUM(150000 + 150000)</f>
        <v>300000</v>
      </c>
      <c r="Q51" s="32"/>
      <c r="R51" s="32"/>
      <c r="S51" s="32"/>
      <c r="T51" s="32"/>
      <c r="U51" s="36"/>
      <c r="V51" s="36"/>
      <c r="W51" s="36"/>
      <c r="X51" s="36"/>
      <c r="Y51" s="36"/>
    </row>
    <row r="52" spans="1:25" ht="15" customHeight="1" x14ac:dyDescent="0.25">
      <c r="A52" s="20">
        <v>45142</v>
      </c>
      <c r="B52" s="22" t="s">
        <v>19</v>
      </c>
      <c r="C52" s="22"/>
      <c r="D52" s="22"/>
      <c r="E52" s="23" t="s">
        <v>24</v>
      </c>
      <c r="F52" s="24"/>
      <c r="G52" s="24"/>
      <c r="H52" s="24"/>
      <c r="I52" s="24"/>
      <c r="J52" s="25"/>
      <c r="K52" s="22"/>
      <c r="L52" s="22"/>
      <c r="M52" s="22"/>
      <c r="N52" s="22"/>
      <c r="O52" s="22"/>
      <c r="P52" s="22" t="s">
        <v>20</v>
      </c>
      <c r="Q52" s="22"/>
      <c r="R52" s="22"/>
      <c r="S52" s="22"/>
      <c r="T52" s="22"/>
      <c r="U52" s="22"/>
      <c r="V52" s="22"/>
      <c r="W52" s="22"/>
      <c r="X52" s="22"/>
      <c r="Y52" s="22"/>
    </row>
    <row r="53" spans="1:25" x14ac:dyDescent="0.25">
      <c r="A53" s="21"/>
      <c r="B53" s="22"/>
      <c r="C53" s="22"/>
      <c r="D53" s="22"/>
      <c r="E53" s="26"/>
      <c r="F53" s="27"/>
      <c r="G53" s="27"/>
      <c r="H53" s="27"/>
      <c r="I53" s="27"/>
      <c r="J53" s="28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x14ac:dyDescent="0.25">
      <c r="A54" s="21"/>
      <c r="B54" s="22"/>
      <c r="C54" s="22"/>
      <c r="D54" s="22"/>
      <c r="E54" s="26"/>
      <c r="F54" s="27"/>
      <c r="G54" s="27"/>
      <c r="H54" s="27"/>
      <c r="I54" s="27"/>
      <c r="J54" s="28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x14ac:dyDescent="0.25">
      <c r="A55" s="21"/>
      <c r="B55" s="22"/>
      <c r="C55" s="22"/>
      <c r="D55" s="22"/>
      <c r="E55" s="26"/>
      <c r="F55" s="27"/>
      <c r="G55" s="27"/>
      <c r="H55" s="27"/>
      <c r="I55" s="27"/>
      <c r="J55" s="28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x14ac:dyDescent="0.25">
      <c r="A56" s="21"/>
      <c r="B56" s="22"/>
      <c r="C56" s="22"/>
      <c r="D56" s="22"/>
      <c r="E56" s="26"/>
      <c r="F56" s="27"/>
      <c r="G56" s="27"/>
      <c r="H56" s="27"/>
      <c r="I56" s="27"/>
      <c r="J56" s="28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x14ac:dyDescent="0.25">
      <c r="A57" s="21"/>
      <c r="B57" s="22"/>
      <c r="C57" s="22"/>
      <c r="D57" s="22"/>
      <c r="E57" s="29"/>
      <c r="F57" s="30"/>
      <c r="G57" s="30"/>
      <c r="H57" s="30"/>
      <c r="I57" s="30"/>
      <c r="J57" s="31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x14ac:dyDescent="0.25">
      <c r="A58" s="7" t="s">
        <v>10</v>
      </c>
      <c r="B58" s="42">
        <f>SUM(9400 + 150000 + 27800 + 150000 + 150000 + 150000)</f>
        <v>637200</v>
      </c>
      <c r="C58" s="42"/>
      <c r="D58" s="42"/>
      <c r="E58" s="33">
        <f>SUM(144500 + 28700 + 4100 + 3300 + 150200 + 3400 + 68200 + 150000)</f>
        <v>552400</v>
      </c>
      <c r="F58" s="34"/>
      <c r="G58" s="34"/>
      <c r="H58" s="34"/>
      <c r="I58" s="34"/>
      <c r="J58" s="35"/>
      <c r="K58" s="32"/>
      <c r="L58" s="32"/>
      <c r="M58" s="32"/>
      <c r="N58" s="32"/>
      <c r="O58" s="32"/>
      <c r="P58" s="32">
        <f>SUM(150000 + 57800 + 150200 + 150300)</f>
        <v>508300</v>
      </c>
      <c r="Q58" s="32"/>
      <c r="R58" s="32"/>
      <c r="S58" s="32"/>
      <c r="T58" s="32"/>
      <c r="U58" s="36"/>
      <c r="V58" s="36"/>
      <c r="W58" s="36"/>
      <c r="X58" s="36"/>
      <c r="Y58" s="36"/>
    </row>
    <row r="59" spans="1:25" x14ac:dyDescent="0.25">
      <c r="A59" s="20">
        <v>45143</v>
      </c>
      <c r="B59" s="22"/>
      <c r="C59" s="22"/>
      <c r="D59" s="22"/>
      <c r="E59" s="23"/>
      <c r="F59" s="24"/>
      <c r="G59" s="24"/>
      <c r="H59" s="24"/>
      <c r="I59" s="24"/>
      <c r="J59" s="25"/>
      <c r="K59" s="22" t="s">
        <v>22</v>
      </c>
      <c r="L59" s="22"/>
      <c r="M59" s="22"/>
      <c r="N59" s="22"/>
      <c r="O59" s="22"/>
      <c r="P59" s="22" t="s">
        <v>21</v>
      </c>
      <c r="Q59" s="22"/>
      <c r="R59" s="22"/>
      <c r="S59" s="22"/>
      <c r="T59" s="22"/>
      <c r="U59" s="22"/>
      <c r="V59" s="22"/>
      <c r="W59" s="22"/>
      <c r="X59" s="22"/>
      <c r="Y59" s="22"/>
    </row>
    <row r="60" spans="1:25" x14ac:dyDescent="0.25">
      <c r="A60" s="21"/>
      <c r="B60" s="22"/>
      <c r="C60" s="22"/>
      <c r="D60" s="22"/>
      <c r="E60" s="26"/>
      <c r="F60" s="27"/>
      <c r="G60" s="27"/>
      <c r="H60" s="27"/>
      <c r="I60" s="27"/>
      <c r="J60" s="28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x14ac:dyDescent="0.25">
      <c r="A61" s="21"/>
      <c r="B61" s="22"/>
      <c r="C61" s="22"/>
      <c r="D61" s="22"/>
      <c r="E61" s="26"/>
      <c r="F61" s="27"/>
      <c r="G61" s="27"/>
      <c r="H61" s="27"/>
      <c r="I61" s="27"/>
      <c r="J61" s="28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x14ac:dyDescent="0.25">
      <c r="A62" s="21"/>
      <c r="B62" s="22"/>
      <c r="C62" s="22"/>
      <c r="D62" s="22"/>
      <c r="E62" s="26"/>
      <c r="F62" s="27"/>
      <c r="G62" s="27"/>
      <c r="H62" s="27"/>
      <c r="I62" s="27"/>
      <c r="J62" s="28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x14ac:dyDescent="0.25">
      <c r="A63" s="21"/>
      <c r="B63" s="22"/>
      <c r="C63" s="22"/>
      <c r="D63" s="22"/>
      <c r="E63" s="26"/>
      <c r="F63" s="27"/>
      <c r="G63" s="27"/>
      <c r="H63" s="27"/>
      <c r="I63" s="27"/>
      <c r="J63" s="28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x14ac:dyDescent="0.25">
      <c r="A64" s="21"/>
      <c r="B64" s="22"/>
      <c r="C64" s="22"/>
      <c r="D64" s="22"/>
      <c r="E64" s="29"/>
      <c r="F64" s="30"/>
      <c r="G64" s="30"/>
      <c r="H64" s="30"/>
      <c r="I64" s="30"/>
      <c r="J64" s="31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x14ac:dyDescent="0.25">
      <c r="A65" s="7" t="s">
        <v>10</v>
      </c>
      <c r="B65" s="32"/>
      <c r="C65" s="32"/>
      <c r="D65" s="32"/>
      <c r="E65" s="33"/>
      <c r="F65" s="34"/>
      <c r="G65" s="34"/>
      <c r="H65" s="34"/>
      <c r="I65" s="34"/>
      <c r="J65" s="35"/>
      <c r="K65" s="32">
        <f>SUM(6900 + 150000 + 43300 + 150000)</f>
        <v>350200</v>
      </c>
      <c r="L65" s="32"/>
      <c r="M65" s="32"/>
      <c r="N65" s="32"/>
      <c r="O65" s="32"/>
      <c r="P65" s="32">
        <f>SUM(150000 + 150000 + 123800)</f>
        <v>423800</v>
      </c>
      <c r="Q65" s="32"/>
      <c r="R65" s="32"/>
      <c r="S65" s="32"/>
      <c r="T65" s="32"/>
      <c r="U65" s="36"/>
      <c r="V65" s="36"/>
      <c r="W65" s="36"/>
      <c r="X65" s="36"/>
      <c r="Y65" s="36"/>
    </row>
    <row r="66" spans="1:25" x14ac:dyDescent="0.25">
      <c r="A66" s="20">
        <v>45145</v>
      </c>
      <c r="B66" s="22"/>
      <c r="C66" s="22"/>
      <c r="D66" s="22"/>
      <c r="E66" s="23"/>
      <c r="F66" s="24"/>
      <c r="G66" s="24"/>
      <c r="H66" s="24"/>
      <c r="I66" s="24"/>
      <c r="J66" s="25"/>
      <c r="K66" s="22" t="s">
        <v>26</v>
      </c>
      <c r="L66" s="22"/>
      <c r="M66" s="22"/>
      <c r="N66" s="22"/>
      <c r="O66" s="22"/>
      <c r="P66" s="22" t="s">
        <v>25</v>
      </c>
      <c r="Q66" s="22"/>
      <c r="R66" s="22"/>
      <c r="S66" s="22"/>
      <c r="T66" s="22"/>
      <c r="U66" s="22"/>
      <c r="V66" s="22"/>
      <c r="W66" s="22"/>
      <c r="X66" s="22"/>
      <c r="Y66" s="22"/>
    </row>
    <row r="67" spans="1:25" x14ac:dyDescent="0.25">
      <c r="A67" s="21"/>
      <c r="B67" s="22"/>
      <c r="C67" s="22"/>
      <c r="D67" s="22"/>
      <c r="E67" s="26"/>
      <c r="F67" s="27"/>
      <c r="G67" s="27"/>
      <c r="H67" s="27"/>
      <c r="I67" s="27"/>
      <c r="J67" s="28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x14ac:dyDescent="0.25">
      <c r="A68" s="21"/>
      <c r="B68" s="22"/>
      <c r="C68" s="22"/>
      <c r="D68" s="22"/>
      <c r="E68" s="26"/>
      <c r="F68" s="27"/>
      <c r="G68" s="27"/>
      <c r="H68" s="27"/>
      <c r="I68" s="27"/>
      <c r="J68" s="28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x14ac:dyDescent="0.25">
      <c r="A69" s="21"/>
      <c r="B69" s="22"/>
      <c r="C69" s="22"/>
      <c r="D69" s="22"/>
      <c r="E69" s="26"/>
      <c r="F69" s="27"/>
      <c r="G69" s="27"/>
      <c r="H69" s="27"/>
      <c r="I69" s="27"/>
      <c r="J69" s="28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x14ac:dyDescent="0.25">
      <c r="A70" s="21"/>
      <c r="B70" s="22"/>
      <c r="C70" s="22"/>
      <c r="D70" s="22"/>
      <c r="E70" s="26"/>
      <c r="F70" s="27"/>
      <c r="G70" s="27"/>
      <c r="H70" s="27"/>
      <c r="I70" s="27"/>
      <c r="J70" s="28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x14ac:dyDescent="0.25">
      <c r="A71" s="21"/>
      <c r="B71" s="22"/>
      <c r="C71" s="22"/>
      <c r="D71" s="22"/>
      <c r="E71" s="29"/>
      <c r="F71" s="30"/>
      <c r="G71" s="30"/>
      <c r="H71" s="30"/>
      <c r="I71" s="30"/>
      <c r="J71" s="31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x14ac:dyDescent="0.25">
      <c r="A72" s="7" t="s">
        <v>10</v>
      </c>
      <c r="B72" s="32"/>
      <c r="C72" s="32"/>
      <c r="D72" s="32"/>
      <c r="E72" s="33"/>
      <c r="F72" s="34"/>
      <c r="G72" s="34"/>
      <c r="H72" s="34"/>
      <c r="I72" s="34"/>
      <c r="J72" s="35"/>
      <c r="K72" s="32">
        <f>SUM(25000 + 150000 + 3000 + 150000 + 5700 + 150000)</f>
        <v>483700</v>
      </c>
      <c r="L72" s="32"/>
      <c r="M72" s="32"/>
      <c r="N72" s="32"/>
      <c r="O72" s="32"/>
      <c r="P72" s="32">
        <f>SUM(150000 + 150000 + 150000 + 3000 + 150000 + 150000 + 150000)</f>
        <v>903000</v>
      </c>
      <c r="Q72" s="32"/>
      <c r="R72" s="32"/>
      <c r="S72" s="32"/>
      <c r="T72" s="32"/>
      <c r="U72" s="36"/>
      <c r="V72" s="36"/>
      <c r="W72" s="36"/>
      <c r="X72" s="36"/>
      <c r="Y72" s="36"/>
    </row>
    <row r="73" spans="1:25" x14ac:dyDescent="0.25">
      <c r="A73" s="20">
        <v>45146</v>
      </c>
      <c r="B73" s="22"/>
      <c r="C73" s="22"/>
      <c r="D73" s="22"/>
      <c r="E73" s="23"/>
      <c r="F73" s="24"/>
      <c r="G73" s="24"/>
      <c r="H73" s="24"/>
      <c r="I73" s="24"/>
      <c r="J73" s="25"/>
      <c r="K73" s="22" t="s">
        <v>27</v>
      </c>
      <c r="L73" s="22"/>
      <c r="M73" s="22"/>
      <c r="N73" s="22"/>
      <c r="O73" s="22"/>
      <c r="P73" s="22" t="s">
        <v>28</v>
      </c>
      <c r="Q73" s="22"/>
      <c r="R73" s="22"/>
      <c r="S73" s="22"/>
      <c r="T73" s="22"/>
      <c r="U73" s="22"/>
      <c r="V73" s="22"/>
      <c r="W73" s="22"/>
      <c r="X73" s="22"/>
      <c r="Y73" s="22"/>
    </row>
    <row r="74" spans="1:25" x14ac:dyDescent="0.25">
      <c r="A74" s="21"/>
      <c r="B74" s="22"/>
      <c r="C74" s="22"/>
      <c r="D74" s="22"/>
      <c r="E74" s="26"/>
      <c r="F74" s="27"/>
      <c r="G74" s="27"/>
      <c r="H74" s="27"/>
      <c r="I74" s="27"/>
      <c r="J74" s="28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x14ac:dyDescent="0.25">
      <c r="A75" s="21"/>
      <c r="B75" s="22"/>
      <c r="C75" s="22"/>
      <c r="D75" s="22"/>
      <c r="E75" s="26"/>
      <c r="F75" s="27"/>
      <c r="G75" s="27"/>
      <c r="H75" s="27"/>
      <c r="I75" s="27"/>
      <c r="J75" s="28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x14ac:dyDescent="0.25">
      <c r="A76" s="21"/>
      <c r="B76" s="22"/>
      <c r="C76" s="22"/>
      <c r="D76" s="22"/>
      <c r="E76" s="26"/>
      <c r="F76" s="27"/>
      <c r="G76" s="27"/>
      <c r="H76" s="27"/>
      <c r="I76" s="27"/>
      <c r="J76" s="28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x14ac:dyDescent="0.25">
      <c r="A77" s="21"/>
      <c r="B77" s="22"/>
      <c r="C77" s="22"/>
      <c r="D77" s="22"/>
      <c r="E77" s="26"/>
      <c r="F77" s="27"/>
      <c r="G77" s="27"/>
      <c r="H77" s="27"/>
      <c r="I77" s="27"/>
      <c r="J77" s="28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x14ac:dyDescent="0.25">
      <c r="A78" s="21"/>
      <c r="B78" s="22"/>
      <c r="C78" s="22"/>
      <c r="D78" s="22"/>
      <c r="E78" s="29"/>
      <c r="F78" s="30"/>
      <c r="G78" s="30"/>
      <c r="H78" s="30"/>
      <c r="I78" s="30"/>
      <c r="J78" s="31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x14ac:dyDescent="0.25">
      <c r="A79" s="7" t="s">
        <v>10</v>
      </c>
      <c r="B79" s="32"/>
      <c r="C79" s="32"/>
      <c r="D79" s="32"/>
      <c r="E79" s="33"/>
      <c r="F79" s="34"/>
      <c r="G79" s="34"/>
      <c r="H79" s="34"/>
      <c r="I79" s="34"/>
      <c r="J79" s="35"/>
      <c r="K79" s="32">
        <f>SUM(150000 + 150000 + 150000 + 150000 + 150000 + 150000 + 150000)</f>
        <v>1050000</v>
      </c>
      <c r="L79" s="32"/>
      <c r="M79" s="32"/>
      <c r="N79" s="32"/>
      <c r="O79" s="32"/>
      <c r="P79" s="32">
        <f>SUM(150000 + 110500 + 150000 + 150000 + 150000 + 120200)</f>
        <v>830700</v>
      </c>
      <c r="Q79" s="32"/>
      <c r="R79" s="32"/>
      <c r="S79" s="32"/>
      <c r="T79" s="32"/>
      <c r="U79" s="36"/>
      <c r="V79" s="36"/>
      <c r="W79" s="36"/>
      <c r="X79" s="36"/>
      <c r="Y79" s="36"/>
    </row>
    <row r="80" spans="1:25" ht="15" customHeight="1" x14ac:dyDescent="0.25">
      <c r="A80" s="20">
        <v>45147</v>
      </c>
      <c r="B80" s="22">
        <v>82700</v>
      </c>
      <c r="C80" s="22"/>
      <c r="D80" s="22"/>
      <c r="E80" s="23" t="s">
        <v>35</v>
      </c>
      <c r="F80" s="24"/>
      <c r="G80" s="24"/>
      <c r="H80" s="24"/>
      <c r="I80" s="24"/>
      <c r="J80" s="25"/>
      <c r="K80" s="22" t="s">
        <v>34</v>
      </c>
      <c r="L80" s="22"/>
      <c r="M80" s="22"/>
      <c r="N80" s="22"/>
      <c r="O80" s="22"/>
      <c r="P80" s="22" t="s">
        <v>33</v>
      </c>
      <c r="Q80" s="22"/>
      <c r="R80" s="22"/>
      <c r="S80" s="22"/>
      <c r="T80" s="22"/>
      <c r="U80" s="22"/>
      <c r="V80" s="22"/>
      <c r="W80" s="22"/>
      <c r="X80" s="22"/>
      <c r="Y80" s="22"/>
    </row>
    <row r="81" spans="1:25" x14ac:dyDescent="0.25">
      <c r="A81" s="21"/>
      <c r="B81" s="22"/>
      <c r="C81" s="22"/>
      <c r="D81" s="22"/>
      <c r="E81" s="26"/>
      <c r="F81" s="27"/>
      <c r="G81" s="27"/>
      <c r="H81" s="27"/>
      <c r="I81" s="27"/>
      <c r="J81" s="28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x14ac:dyDescent="0.25">
      <c r="A82" s="21"/>
      <c r="B82" s="22"/>
      <c r="C82" s="22"/>
      <c r="D82" s="22"/>
      <c r="E82" s="26"/>
      <c r="F82" s="27"/>
      <c r="G82" s="27"/>
      <c r="H82" s="27"/>
      <c r="I82" s="27"/>
      <c r="J82" s="28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x14ac:dyDescent="0.25">
      <c r="A83" s="21"/>
      <c r="B83" s="22"/>
      <c r="C83" s="22"/>
      <c r="D83" s="22"/>
      <c r="E83" s="26"/>
      <c r="F83" s="27"/>
      <c r="G83" s="27"/>
      <c r="H83" s="27"/>
      <c r="I83" s="27"/>
      <c r="J83" s="28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x14ac:dyDescent="0.25">
      <c r="A84" s="21"/>
      <c r="B84" s="22"/>
      <c r="C84" s="22"/>
      <c r="D84" s="22"/>
      <c r="E84" s="26"/>
      <c r="F84" s="27"/>
      <c r="G84" s="27"/>
      <c r="H84" s="27"/>
      <c r="I84" s="27"/>
      <c r="J84" s="28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x14ac:dyDescent="0.25">
      <c r="A85" s="21"/>
      <c r="B85" s="22"/>
      <c r="C85" s="22"/>
      <c r="D85" s="22"/>
      <c r="E85" s="29"/>
      <c r="F85" s="30"/>
      <c r="G85" s="30"/>
      <c r="H85" s="30"/>
      <c r="I85" s="30"/>
      <c r="J85" s="31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x14ac:dyDescent="0.25">
      <c r="A86" s="7" t="s">
        <v>10</v>
      </c>
      <c r="B86" s="32">
        <f>SUM(82700)</f>
        <v>82700</v>
      </c>
      <c r="C86" s="32"/>
      <c r="D86" s="32"/>
      <c r="E86" s="33">
        <f>SUM(2700 + 10600 + 150000 + 150000)</f>
        <v>313300</v>
      </c>
      <c r="F86" s="34"/>
      <c r="G86" s="34"/>
      <c r="H86" s="34"/>
      <c r="I86" s="34"/>
      <c r="J86" s="35"/>
      <c r="K86" s="32">
        <f>SUM(150000 + 150000 + 51200 + 150000)</f>
        <v>501200</v>
      </c>
      <c r="L86" s="32"/>
      <c r="M86" s="32"/>
      <c r="N86" s="32"/>
      <c r="O86" s="32"/>
      <c r="P86" s="32">
        <f>SUM(10300 + 143100)</f>
        <v>153400</v>
      </c>
      <c r="Q86" s="32"/>
      <c r="R86" s="32"/>
      <c r="S86" s="32"/>
      <c r="T86" s="32"/>
      <c r="U86" s="36"/>
      <c r="V86" s="36"/>
      <c r="W86" s="36"/>
      <c r="X86" s="36"/>
      <c r="Y86" s="36"/>
    </row>
    <row r="87" spans="1:25" ht="15" customHeight="1" x14ac:dyDescent="0.25">
      <c r="A87" s="20">
        <v>45148</v>
      </c>
      <c r="B87" s="22" t="s">
        <v>37</v>
      </c>
      <c r="C87" s="22"/>
      <c r="D87" s="22"/>
      <c r="E87" s="23" t="s">
        <v>16</v>
      </c>
      <c r="F87" s="24"/>
      <c r="G87" s="24"/>
      <c r="H87" s="24"/>
      <c r="I87" s="24"/>
      <c r="J87" s="25"/>
      <c r="K87" s="22" t="s">
        <v>36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x14ac:dyDescent="0.25">
      <c r="A88" s="21"/>
      <c r="B88" s="22"/>
      <c r="C88" s="22"/>
      <c r="D88" s="22"/>
      <c r="E88" s="26"/>
      <c r="F88" s="27"/>
      <c r="G88" s="27"/>
      <c r="H88" s="27"/>
      <c r="I88" s="27"/>
      <c r="J88" s="28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x14ac:dyDescent="0.25">
      <c r="A89" s="21"/>
      <c r="B89" s="22"/>
      <c r="C89" s="22"/>
      <c r="D89" s="22"/>
      <c r="E89" s="26"/>
      <c r="F89" s="27"/>
      <c r="G89" s="27"/>
      <c r="H89" s="27"/>
      <c r="I89" s="27"/>
      <c r="J89" s="28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x14ac:dyDescent="0.25">
      <c r="A90" s="21"/>
      <c r="B90" s="22"/>
      <c r="C90" s="22"/>
      <c r="D90" s="22"/>
      <c r="E90" s="26"/>
      <c r="F90" s="27"/>
      <c r="G90" s="27"/>
      <c r="H90" s="27"/>
      <c r="I90" s="27"/>
      <c r="J90" s="28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x14ac:dyDescent="0.25">
      <c r="A91" s="21"/>
      <c r="B91" s="22"/>
      <c r="C91" s="22"/>
      <c r="D91" s="22"/>
      <c r="E91" s="26"/>
      <c r="F91" s="27"/>
      <c r="G91" s="27"/>
      <c r="H91" s="27"/>
      <c r="I91" s="27"/>
      <c r="J91" s="28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x14ac:dyDescent="0.25">
      <c r="A92" s="21"/>
      <c r="B92" s="22"/>
      <c r="C92" s="22"/>
      <c r="D92" s="22"/>
      <c r="E92" s="29"/>
      <c r="F92" s="30"/>
      <c r="G92" s="30"/>
      <c r="H92" s="30"/>
      <c r="I92" s="30"/>
      <c r="J92" s="31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x14ac:dyDescent="0.25">
      <c r="A93" s="7" t="s">
        <v>10</v>
      </c>
      <c r="B93" s="32">
        <f>SUM(12000 + 150000 + 150000 + 24200)</f>
        <v>336200</v>
      </c>
      <c r="C93" s="32"/>
      <c r="D93" s="32"/>
      <c r="E93" s="33">
        <f>SUM(150000 + 150000)</f>
        <v>300000</v>
      </c>
      <c r="F93" s="34"/>
      <c r="G93" s="34"/>
      <c r="H93" s="34"/>
      <c r="I93" s="34"/>
      <c r="J93" s="35"/>
      <c r="K93" s="32">
        <f>SUM(59300 + 150000 + 150000)</f>
        <v>359300</v>
      </c>
      <c r="L93" s="32"/>
      <c r="M93" s="32"/>
      <c r="N93" s="32"/>
      <c r="O93" s="32"/>
      <c r="P93" s="32"/>
      <c r="Q93" s="32"/>
      <c r="R93" s="32"/>
      <c r="S93" s="32"/>
      <c r="T93" s="32"/>
      <c r="U93" s="36"/>
      <c r="V93" s="36"/>
      <c r="W93" s="36"/>
      <c r="X93" s="36"/>
      <c r="Y93" s="36"/>
    </row>
    <row r="94" spans="1:25" ht="15" customHeight="1" x14ac:dyDescent="0.25">
      <c r="A94" s="20">
        <v>45149</v>
      </c>
      <c r="B94" s="22" t="s">
        <v>39</v>
      </c>
      <c r="C94" s="22"/>
      <c r="D94" s="22"/>
      <c r="E94" s="23" t="s">
        <v>40</v>
      </c>
      <c r="F94" s="24"/>
      <c r="G94" s="24"/>
      <c r="H94" s="24"/>
      <c r="I94" s="24"/>
      <c r="J94" s="25"/>
      <c r="K94" s="22" t="s">
        <v>38</v>
      </c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x14ac:dyDescent="0.25">
      <c r="A95" s="21"/>
      <c r="B95" s="22"/>
      <c r="C95" s="22"/>
      <c r="D95" s="22"/>
      <c r="E95" s="26"/>
      <c r="F95" s="27"/>
      <c r="G95" s="27"/>
      <c r="H95" s="27"/>
      <c r="I95" s="27"/>
      <c r="J95" s="28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x14ac:dyDescent="0.25">
      <c r="A96" s="21"/>
      <c r="B96" s="22"/>
      <c r="C96" s="22"/>
      <c r="D96" s="22"/>
      <c r="E96" s="26"/>
      <c r="F96" s="27"/>
      <c r="G96" s="27"/>
      <c r="H96" s="27"/>
      <c r="I96" s="27"/>
      <c r="J96" s="28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x14ac:dyDescent="0.25">
      <c r="A97" s="21"/>
      <c r="B97" s="22"/>
      <c r="C97" s="22"/>
      <c r="D97" s="22"/>
      <c r="E97" s="26"/>
      <c r="F97" s="27"/>
      <c r="G97" s="27"/>
      <c r="H97" s="27"/>
      <c r="I97" s="27"/>
      <c r="J97" s="28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x14ac:dyDescent="0.25">
      <c r="A98" s="21"/>
      <c r="B98" s="22"/>
      <c r="C98" s="22"/>
      <c r="D98" s="22"/>
      <c r="E98" s="26"/>
      <c r="F98" s="27"/>
      <c r="G98" s="27"/>
      <c r="H98" s="27"/>
      <c r="I98" s="27"/>
      <c r="J98" s="28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x14ac:dyDescent="0.25">
      <c r="A99" s="21"/>
      <c r="B99" s="22"/>
      <c r="C99" s="22"/>
      <c r="D99" s="22"/>
      <c r="E99" s="29"/>
      <c r="F99" s="30"/>
      <c r="G99" s="30"/>
      <c r="H99" s="30"/>
      <c r="I99" s="30"/>
      <c r="J99" s="31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x14ac:dyDescent="0.25">
      <c r="A100" s="7" t="s">
        <v>10</v>
      </c>
      <c r="B100" s="32">
        <f>SUM(150000 + 1500 + 15000 + 150000 + 31700 + 150000 + 150000)</f>
        <v>648200</v>
      </c>
      <c r="C100" s="32"/>
      <c r="D100" s="32"/>
      <c r="E100" s="33">
        <f>SUM(141200 + 150000 + 150000)</f>
        <v>441200</v>
      </c>
      <c r="F100" s="34"/>
      <c r="G100" s="34"/>
      <c r="H100" s="34"/>
      <c r="I100" s="34"/>
      <c r="J100" s="35"/>
      <c r="K100" s="32">
        <f>SUM(150000 + 134000 + 150000 + 86800)</f>
        <v>520800</v>
      </c>
      <c r="L100" s="32"/>
      <c r="M100" s="32"/>
      <c r="N100" s="32"/>
      <c r="O100" s="32"/>
      <c r="P100" s="32"/>
      <c r="Q100" s="32"/>
      <c r="R100" s="32"/>
      <c r="S100" s="32"/>
      <c r="T100" s="32"/>
      <c r="U100" s="36"/>
      <c r="V100" s="36"/>
      <c r="W100" s="36"/>
      <c r="X100" s="36"/>
      <c r="Y100" s="36"/>
    </row>
    <row r="101" spans="1:25" ht="15" customHeight="1" x14ac:dyDescent="0.25">
      <c r="A101" s="20">
        <v>45150</v>
      </c>
      <c r="B101" s="22" t="s">
        <v>41</v>
      </c>
      <c r="C101" s="22"/>
      <c r="D101" s="22"/>
      <c r="E101" s="23" t="s">
        <v>42</v>
      </c>
      <c r="F101" s="24"/>
      <c r="G101" s="24"/>
      <c r="H101" s="24"/>
      <c r="I101" s="24"/>
      <c r="J101" s="25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x14ac:dyDescent="0.25">
      <c r="A102" s="21"/>
      <c r="B102" s="22"/>
      <c r="C102" s="22"/>
      <c r="D102" s="22"/>
      <c r="E102" s="26"/>
      <c r="F102" s="27"/>
      <c r="G102" s="27"/>
      <c r="H102" s="27"/>
      <c r="I102" s="27"/>
      <c r="J102" s="28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x14ac:dyDescent="0.25">
      <c r="A103" s="21"/>
      <c r="B103" s="22"/>
      <c r="C103" s="22"/>
      <c r="D103" s="22"/>
      <c r="E103" s="26"/>
      <c r="F103" s="27"/>
      <c r="G103" s="27"/>
      <c r="H103" s="27"/>
      <c r="I103" s="27"/>
      <c r="J103" s="28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x14ac:dyDescent="0.25">
      <c r="A104" s="21"/>
      <c r="B104" s="22"/>
      <c r="C104" s="22"/>
      <c r="D104" s="22"/>
      <c r="E104" s="26"/>
      <c r="F104" s="27"/>
      <c r="G104" s="27"/>
      <c r="H104" s="27"/>
      <c r="I104" s="27"/>
      <c r="J104" s="28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x14ac:dyDescent="0.25">
      <c r="A105" s="21"/>
      <c r="B105" s="22"/>
      <c r="C105" s="22"/>
      <c r="D105" s="22"/>
      <c r="E105" s="26"/>
      <c r="F105" s="27"/>
      <c r="G105" s="27"/>
      <c r="H105" s="27"/>
      <c r="I105" s="27"/>
      <c r="J105" s="28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x14ac:dyDescent="0.25">
      <c r="A106" s="21"/>
      <c r="B106" s="22"/>
      <c r="C106" s="22"/>
      <c r="D106" s="22"/>
      <c r="E106" s="29"/>
      <c r="F106" s="30"/>
      <c r="G106" s="30"/>
      <c r="H106" s="30"/>
      <c r="I106" s="30"/>
      <c r="J106" s="31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x14ac:dyDescent="0.25">
      <c r="A107" s="7" t="s">
        <v>10</v>
      </c>
      <c r="B107" s="32">
        <f>SUM(63900 + 150000 + 150000 + 136000)</f>
        <v>499900</v>
      </c>
      <c r="C107" s="32"/>
      <c r="D107" s="32"/>
      <c r="E107" s="33">
        <f>SUM(9300 + 150000 + 150000 + 150000)</f>
        <v>459300</v>
      </c>
      <c r="F107" s="34"/>
      <c r="G107" s="34"/>
      <c r="H107" s="34"/>
      <c r="I107" s="34"/>
      <c r="J107" s="35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6"/>
      <c r="V107" s="36"/>
      <c r="W107" s="36"/>
      <c r="X107" s="36"/>
      <c r="Y107" s="36"/>
    </row>
    <row r="108" spans="1:25" ht="15" customHeight="1" x14ac:dyDescent="0.25">
      <c r="A108" s="20">
        <v>45152</v>
      </c>
      <c r="B108" s="22" t="s">
        <v>44</v>
      </c>
      <c r="C108" s="22"/>
      <c r="D108" s="22"/>
      <c r="E108" s="23" t="s">
        <v>43</v>
      </c>
      <c r="F108" s="24"/>
      <c r="G108" s="24"/>
      <c r="H108" s="24"/>
      <c r="I108" s="24"/>
      <c r="J108" s="25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x14ac:dyDescent="0.25">
      <c r="A109" s="21"/>
      <c r="B109" s="22"/>
      <c r="C109" s="22"/>
      <c r="D109" s="22"/>
      <c r="E109" s="26"/>
      <c r="F109" s="27"/>
      <c r="G109" s="27"/>
      <c r="H109" s="27"/>
      <c r="I109" s="27"/>
      <c r="J109" s="28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x14ac:dyDescent="0.25">
      <c r="A110" s="21"/>
      <c r="B110" s="22"/>
      <c r="C110" s="22"/>
      <c r="D110" s="22"/>
      <c r="E110" s="26"/>
      <c r="F110" s="27"/>
      <c r="G110" s="27"/>
      <c r="H110" s="27"/>
      <c r="I110" s="27"/>
      <c r="J110" s="28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x14ac:dyDescent="0.25">
      <c r="A111" s="21"/>
      <c r="B111" s="22"/>
      <c r="C111" s="22"/>
      <c r="D111" s="22"/>
      <c r="E111" s="26"/>
      <c r="F111" s="27"/>
      <c r="G111" s="27"/>
      <c r="H111" s="27"/>
      <c r="I111" s="27"/>
      <c r="J111" s="28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x14ac:dyDescent="0.25">
      <c r="A112" s="21"/>
      <c r="B112" s="22"/>
      <c r="C112" s="22"/>
      <c r="D112" s="22"/>
      <c r="E112" s="26"/>
      <c r="F112" s="27"/>
      <c r="G112" s="27"/>
      <c r="H112" s="27"/>
      <c r="I112" s="27"/>
      <c r="J112" s="28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x14ac:dyDescent="0.25">
      <c r="A113" s="21"/>
      <c r="B113" s="22"/>
      <c r="C113" s="22"/>
      <c r="D113" s="22"/>
      <c r="E113" s="29"/>
      <c r="F113" s="30"/>
      <c r="G113" s="30"/>
      <c r="H113" s="30"/>
      <c r="I113" s="30"/>
      <c r="J113" s="31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x14ac:dyDescent="0.25">
      <c r="A114" s="14" t="s">
        <v>10</v>
      </c>
      <c r="B114" s="32">
        <f>SUM(150000 + 150000 + 150000 + 122900 + 150000 + 8000 + 150000 + 19500)</f>
        <v>900400</v>
      </c>
      <c r="C114" s="32"/>
      <c r="D114" s="32"/>
      <c r="E114" s="33">
        <f>SUM(140000 + 150000 + 20600 + 150000 + 80000 + 150000 + 150000)</f>
        <v>840600</v>
      </c>
      <c r="F114" s="34"/>
      <c r="G114" s="34"/>
      <c r="H114" s="34"/>
      <c r="I114" s="34"/>
      <c r="J114" s="35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6"/>
      <c r="V114" s="36"/>
      <c r="W114" s="36"/>
      <c r="X114" s="36"/>
      <c r="Y114" s="36"/>
    </row>
    <row r="115" spans="1:25" ht="15" customHeight="1" x14ac:dyDescent="0.25">
      <c r="A115" s="20">
        <v>45153</v>
      </c>
      <c r="B115" s="22" t="s">
        <v>45</v>
      </c>
      <c r="C115" s="22"/>
      <c r="D115" s="22"/>
      <c r="E115" s="23" t="s">
        <v>46</v>
      </c>
      <c r="F115" s="24"/>
      <c r="G115" s="24"/>
      <c r="H115" s="24"/>
      <c r="I115" s="24"/>
      <c r="J115" s="25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x14ac:dyDescent="0.25">
      <c r="A116" s="21"/>
      <c r="B116" s="22"/>
      <c r="C116" s="22"/>
      <c r="D116" s="22"/>
      <c r="E116" s="26"/>
      <c r="F116" s="27"/>
      <c r="G116" s="27"/>
      <c r="H116" s="27"/>
      <c r="I116" s="27"/>
      <c r="J116" s="28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x14ac:dyDescent="0.25">
      <c r="A117" s="21"/>
      <c r="B117" s="22"/>
      <c r="C117" s="22"/>
      <c r="D117" s="22"/>
      <c r="E117" s="26"/>
      <c r="F117" s="27"/>
      <c r="G117" s="27"/>
      <c r="H117" s="27"/>
      <c r="I117" s="27"/>
      <c r="J117" s="28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x14ac:dyDescent="0.25">
      <c r="A118" s="21"/>
      <c r="B118" s="22"/>
      <c r="C118" s="22"/>
      <c r="D118" s="22"/>
      <c r="E118" s="26"/>
      <c r="F118" s="27"/>
      <c r="G118" s="27"/>
      <c r="H118" s="27"/>
      <c r="I118" s="27"/>
      <c r="J118" s="28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x14ac:dyDescent="0.25">
      <c r="A119" s="21"/>
      <c r="B119" s="22"/>
      <c r="C119" s="22"/>
      <c r="D119" s="22"/>
      <c r="E119" s="26"/>
      <c r="F119" s="27"/>
      <c r="G119" s="27"/>
      <c r="H119" s="27"/>
      <c r="I119" s="27"/>
      <c r="J119" s="28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x14ac:dyDescent="0.25">
      <c r="A120" s="21"/>
      <c r="B120" s="22"/>
      <c r="C120" s="22"/>
      <c r="D120" s="22"/>
      <c r="E120" s="29"/>
      <c r="F120" s="30"/>
      <c r="G120" s="30"/>
      <c r="H120" s="30"/>
      <c r="I120" s="30"/>
      <c r="J120" s="31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x14ac:dyDescent="0.25">
      <c r="A121" s="14" t="s">
        <v>10</v>
      </c>
      <c r="B121" s="32">
        <f>SUM(31500 + 150000 + 3000 + 67200 + 150000)</f>
        <v>401700</v>
      </c>
      <c r="C121" s="32"/>
      <c r="D121" s="32"/>
      <c r="E121" s="33">
        <f>SUM(73000 + 150000 + 150000 + 150000 + 150000 + 150000)</f>
        <v>823000</v>
      </c>
      <c r="F121" s="34"/>
      <c r="G121" s="34"/>
      <c r="H121" s="34"/>
      <c r="I121" s="34"/>
      <c r="J121" s="35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6"/>
      <c r="V121" s="36"/>
      <c r="W121" s="36"/>
      <c r="X121" s="36"/>
      <c r="Y121" s="36"/>
    </row>
    <row r="122" spans="1:25" ht="15" customHeight="1" x14ac:dyDescent="0.25">
      <c r="A122" s="20">
        <v>45154</v>
      </c>
      <c r="B122" s="22"/>
      <c r="C122" s="22"/>
      <c r="D122" s="22"/>
      <c r="E122" s="23" t="s">
        <v>49</v>
      </c>
      <c r="F122" s="24"/>
      <c r="G122" s="24"/>
      <c r="H122" s="24"/>
      <c r="I122" s="24"/>
      <c r="J122" s="25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x14ac:dyDescent="0.25">
      <c r="A123" s="21"/>
      <c r="B123" s="22"/>
      <c r="C123" s="22"/>
      <c r="D123" s="22"/>
      <c r="E123" s="26"/>
      <c r="F123" s="27"/>
      <c r="G123" s="27"/>
      <c r="H123" s="27"/>
      <c r="I123" s="27"/>
      <c r="J123" s="28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x14ac:dyDescent="0.25">
      <c r="A124" s="21"/>
      <c r="B124" s="22"/>
      <c r="C124" s="22"/>
      <c r="D124" s="22"/>
      <c r="E124" s="26"/>
      <c r="F124" s="27"/>
      <c r="G124" s="27"/>
      <c r="H124" s="27"/>
      <c r="I124" s="27"/>
      <c r="J124" s="28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x14ac:dyDescent="0.25">
      <c r="A125" s="21"/>
      <c r="B125" s="22"/>
      <c r="C125" s="22"/>
      <c r="D125" s="22"/>
      <c r="E125" s="26"/>
      <c r="F125" s="27"/>
      <c r="G125" s="27"/>
      <c r="H125" s="27"/>
      <c r="I125" s="27"/>
      <c r="J125" s="28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x14ac:dyDescent="0.25">
      <c r="A126" s="21"/>
      <c r="B126" s="22"/>
      <c r="C126" s="22"/>
      <c r="D126" s="22"/>
      <c r="E126" s="26"/>
      <c r="F126" s="27"/>
      <c r="G126" s="27"/>
      <c r="H126" s="27"/>
      <c r="I126" s="27"/>
      <c r="J126" s="28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x14ac:dyDescent="0.25">
      <c r="A127" s="21"/>
      <c r="B127" s="22"/>
      <c r="C127" s="22"/>
      <c r="D127" s="22"/>
      <c r="E127" s="29"/>
      <c r="F127" s="30"/>
      <c r="G127" s="30"/>
      <c r="H127" s="30"/>
      <c r="I127" s="30"/>
      <c r="J127" s="31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x14ac:dyDescent="0.25">
      <c r="A128" s="14" t="s">
        <v>10</v>
      </c>
      <c r="B128" s="32"/>
      <c r="C128" s="32"/>
      <c r="D128" s="32"/>
      <c r="E128" s="33">
        <f>SUM(150000 + 150000 + 150000 + 150000 + 150000 + 150000)</f>
        <v>900000</v>
      </c>
      <c r="F128" s="34"/>
      <c r="G128" s="34"/>
      <c r="H128" s="34"/>
      <c r="I128" s="34"/>
      <c r="J128" s="35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6"/>
      <c r="V128" s="36"/>
      <c r="W128" s="36"/>
      <c r="X128" s="36"/>
      <c r="Y128" s="36"/>
    </row>
    <row r="129" spans="1:25" ht="15" customHeight="1" x14ac:dyDescent="0.25">
      <c r="A129" s="20">
        <v>45156</v>
      </c>
      <c r="B129" s="22">
        <v>88900</v>
      </c>
      <c r="C129" s="22"/>
      <c r="D129" s="22"/>
      <c r="E129" s="23" t="s">
        <v>50</v>
      </c>
      <c r="F129" s="24"/>
      <c r="G129" s="24"/>
      <c r="H129" s="24"/>
      <c r="I129" s="24"/>
      <c r="J129" s="25"/>
      <c r="K129" s="22">
        <v>9900</v>
      </c>
      <c r="L129" s="22"/>
      <c r="M129" s="22"/>
      <c r="N129" s="22"/>
      <c r="O129" s="22"/>
      <c r="P129" s="22" t="s">
        <v>51</v>
      </c>
      <c r="Q129" s="22"/>
      <c r="R129" s="22"/>
      <c r="S129" s="22"/>
      <c r="T129" s="22"/>
      <c r="U129" s="22">
        <v>65000</v>
      </c>
      <c r="V129" s="22"/>
      <c r="W129" s="22"/>
      <c r="X129" s="22"/>
      <c r="Y129" s="22"/>
    </row>
    <row r="130" spans="1:25" x14ac:dyDescent="0.25">
      <c r="A130" s="21"/>
      <c r="B130" s="22"/>
      <c r="C130" s="22"/>
      <c r="D130" s="22"/>
      <c r="E130" s="26"/>
      <c r="F130" s="27"/>
      <c r="G130" s="27"/>
      <c r="H130" s="27"/>
      <c r="I130" s="27"/>
      <c r="J130" s="28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x14ac:dyDescent="0.25">
      <c r="A131" s="21"/>
      <c r="B131" s="22"/>
      <c r="C131" s="22"/>
      <c r="D131" s="22"/>
      <c r="E131" s="26"/>
      <c r="F131" s="27"/>
      <c r="G131" s="27"/>
      <c r="H131" s="27"/>
      <c r="I131" s="27"/>
      <c r="J131" s="28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x14ac:dyDescent="0.25">
      <c r="A132" s="21"/>
      <c r="B132" s="22"/>
      <c r="C132" s="22"/>
      <c r="D132" s="22"/>
      <c r="E132" s="26"/>
      <c r="F132" s="27"/>
      <c r="G132" s="27"/>
      <c r="H132" s="27"/>
      <c r="I132" s="27"/>
      <c r="J132" s="28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x14ac:dyDescent="0.25">
      <c r="A133" s="21"/>
      <c r="B133" s="22"/>
      <c r="C133" s="22"/>
      <c r="D133" s="22"/>
      <c r="E133" s="26"/>
      <c r="F133" s="27"/>
      <c r="G133" s="27"/>
      <c r="H133" s="27"/>
      <c r="I133" s="27"/>
      <c r="J133" s="28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x14ac:dyDescent="0.25">
      <c r="A134" s="21"/>
      <c r="B134" s="22"/>
      <c r="C134" s="22"/>
      <c r="D134" s="22"/>
      <c r="E134" s="29"/>
      <c r="F134" s="30"/>
      <c r="G134" s="30"/>
      <c r="H134" s="30"/>
      <c r="I134" s="30"/>
      <c r="J134" s="31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x14ac:dyDescent="0.25">
      <c r="A135" s="14" t="s">
        <v>10</v>
      </c>
      <c r="B135" s="32">
        <f>SUM(88900)</f>
        <v>88900</v>
      </c>
      <c r="C135" s="32"/>
      <c r="D135" s="32"/>
      <c r="E135" s="33">
        <f>SUM(115800 + 150000 + 31000 + 150000)</f>
        <v>446800</v>
      </c>
      <c r="F135" s="34"/>
      <c r="G135" s="34"/>
      <c r="H135" s="34"/>
      <c r="I135" s="34"/>
      <c r="J135" s="35"/>
      <c r="K135" s="32">
        <f>SUM(9900)</f>
        <v>9900</v>
      </c>
      <c r="L135" s="32"/>
      <c r="M135" s="32"/>
      <c r="N135" s="32"/>
      <c r="O135" s="32"/>
      <c r="P135" s="32">
        <f>SUM(75900 + 150000)</f>
        <v>225900</v>
      </c>
      <c r="Q135" s="32"/>
      <c r="R135" s="32"/>
      <c r="S135" s="32"/>
      <c r="T135" s="32"/>
      <c r="U135" s="36">
        <v>65000</v>
      </c>
      <c r="V135" s="36"/>
      <c r="W135" s="36"/>
      <c r="X135" s="36"/>
      <c r="Y135" s="36"/>
    </row>
    <row r="136" spans="1:25" ht="15" customHeight="1" x14ac:dyDescent="0.25">
      <c r="A136" s="20">
        <v>45157</v>
      </c>
      <c r="B136" s="22" t="s">
        <v>53</v>
      </c>
      <c r="C136" s="22"/>
      <c r="D136" s="22"/>
      <c r="E136" s="23" t="s">
        <v>16</v>
      </c>
      <c r="F136" s="24"/>
      <c r="G136" s="24"/>
      <c r="H136" s="24"/>
      <c r="I136" s="24"/>
      <c r="J136" s="25"/>
      <c r="K136" s="22"/>
      <c r="L136" s="22"/>
      <c r="M136" s="22"/>
      <c r="N136" s="22"/>
      <c r="O136" s="22"/>
      <c r="P136" s="22">
        <v>150000</v>
      </c>
      <c r="Q136" s="22"/>
      <c r="R136" s="22"/>
      <c r="S136" s="22"/>
      <c r="T136" s="22"/>
      <c r="U136" s="22" t="s">
        <v>52</v>
      </c>
      <c r="V136" s="22"/>
      <c r="W136" s="22"/>
      <c r="X136" s="22"/>
      <c r="Y136" s="22"/>
    </row>
    <row r="137" spans="1:25" x14ac:dyDescent="0.25">
      <c r="A137" s="21"/>
      <c r="B137" s="22"/>
      <c r="C137" s="22"/>
      <c r="D137" s="22"/>
      <c r="E137" s="26"/>
      <c r="F137" s="27"/>
      <c r="G137" s="27"/>
      <c r="H137" s="27"/>
      <c r="I137" s="27"/>
      <c r="J137" s="28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x14ac:dyDescent="0.25">
      <c r="A138" s="21"/>
      <c r="B138" s="22"/>
      <c r="C138" s="22"/>
      <c r="D138" s="22"/>
      <c r="E138" s="26"/>
      <c r="F138" s="27"/>
      <c r="G138" s="27"/>
      <c r="H138" s="27"/>
      <c r="I138" s="27"/>
      <c r="J138" s="28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x14ac:dyDescent="0.25">
      <c r="A139" s="21"/>
      <c r="B139" s="22"/>
      <c r="C139" s="22"/>
      <c r="D139" s="22"/>
      <c r="E139" s="26"/>
      <c r="F139" s="27"/>
      <c r="G139" s="27"/>
      <c r="H139" s="27"/>
      <c r="I139" s="27"/>
      <c r="J139" s="28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x14ac:dyDescent="0.25">
      <c r="A140" s="21"/>
      <c r="B140" s="22"/>
      <c r="C140" s="22"/>
      <c r="D140" s="22"/>
      <c r="E140" s="26"/>
      <c r="F140" s="27"/>
      <c r="G140" s="27"/>
      <c r="H140" s="27"/>
      <c r="I140" s="27"/>
      <c r="J140" s="28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x14ac:dyDescent="0.25">
      <c r="A141" s="21"/>
      <c r="B141" s="22"/>
      <c r="C141" s="22"/>
      <c r="D141" s="22"/>
      <c r="E141" s="29"/>
      <c r="F141" s="30"/>
      <c r="G141" s="30"/>
      <c r="H141" s="30"/>
      <c r="I141" s="30"/>
      <c r="J141" s="31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x14ac:dyDescent="0.25">
      <c r="A142" s="14" t="s">
        <v>10</v>
      </c>
      <c r="B142" s="32">
        <f>112800 + 59500</f>
        <v>172300</v>
      </c>
      <c r="C142" s="32"/>
      <c r="D142" s="32"/>
      <c r="E142" s="33">
        <f>150000 + 150000</f>
        <v>300000</v>
      </c>
      <c r="F142" s="34"/>
      <c r="G142" s="34"/>
      <c r="H142" s="34"/>
      <c r="I142" s="34"/>
      <c r="J142" s="35"/>
      <c r="K142" s="32"/>
      <c r="L142" s="32"/>
      <c r="M142" s="32"/>
      <c r="N142" s="32"/>
      <c r="O142" s="32"/>
      <c r="P142" s="32">
        <f>150000</f>
        <v>150000</v>
      </c>
      <c r="Q142" s="32"/>
      <c r="R142" s="32"/>
      <c r="S142" s="32"/>
      <c r="T142" s="32"/>
      <c r="U142" s="36">
        <f>134200 + 253600</f>
        <v>387800</v>
      </c>
      <c r="V142" s="36"/>
      <c r="W142" s="36"/>
      <c r="X142" s="36"/>
      <c r="Y142" s="36"/>
    </row>
    <row r="143" spans="1:25" ht="15" customHeight="1" x14ac:dyDescent="0.25">
      <c r="A143" s="20">
        <v>45159</v>
      </c>
      <c r="B143" s="22" t="s">
        <v>54</v>
      </c>
      <c r="C143" s="22"/>
      <c r="D143" s="22"/>
      <c r="E143" s="23" t="s">
        <v>55</v>
      </c>
      <c r="F143" s="24"/>
      <c r="G143" s="24"/>
      <c r="H143" s="24"/>
      <c r="I143" s="24"/>
      <c r="J143" s="25"/>
      <c r="K143" s="22"/>
      <c r="L143" s="22"/>
      <c r="M143" s="22"/>
      <c r="N143" s="22"/>
      <c r="O143" s="22"/>
      <c r="P143" s="22">
        <v>27700</v>
      </c>
      <c r="Q143" s="22"/>
      <c r="R143" s="22"/>
      <c r="S143" s="22"/>
      <c r="T143" s="22"/>
      <c r="U143" s="22" t="s">
        <v>56</v>
      </c>
      <c r="V143" s="22"/>
      <c r="W143" s="22"/>
      <c r="X143" s="22"/>
      <c r="Y143" s="22"/>
    </row>
    <row r="144" spans="1:25" x14ac:dyDescent="0.25">
      <c r="A144" s="21"/>
      <c r="B144" s="22"/>
      <c r="C144" s="22"/>
      <c r="D144" s="22"/>
      <c r="E144" s="26"/>
      <c r="F144" s="27"/>
      <c r="G144" s="27"/>
      <c r="H144" s="27"/>
      <c r="I144" s="27"/>
      <c r="J144" s="28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x14ac:dyDescent="0.25">
      <c r="A145" s="21"/>
      <c r="B145" s="22"/>
      <c r="C145" s="22"/>
      <c r="D145" s="22"/>
      <c r="E145" s="26"/>
      <c r="F145" s="27"/>
      <c r="G145" s="27"/>
      <c r="H145" s="27"/>
      <c r="I145" s="27"/>
      <c r="J145" s="28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x14ac:dyDescent="0.25">
      <c r="A146" s="21"/>
      <c r="B146" s="22"/>
      <c r="C146" s="22"/>
      <c r="D146" s="22"/>
      <c r="E146" s="26"/>
      <c r="F146" s="27"/>
      <c r="G146" s="27"/>
      <c r="H146" s="27"/>
      <c r="I146" s="27"/>
      <c r="J146" s="28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x14ac:dyDescent="0.25">
      <c r="A147" s="21"/>
      <c r="B147" s="22"/>
      <c r="C147" s="22"/>
      <c r="D147" s="22"/>
      <c r="E147" s="26"/>
      <c r="F147" s="27"/>
      <c r="G147" s="27"/>
      <c r="H147" s="27"/>
      <c r="I147" s="27"/>
      <c r="J147" s="28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x14ac:dyDescent="0.25">
      <c r="A148" s="21"/>
      <c r="B148" s="22"/>
      <c r="C148" s="22"/>
      <c r="D148" s="22"/>
      <c r="E148" s="29"/>
      <c r="F148" s="30"/>
      <c r="G148" s="30"/>
      <c r="H148" s="30"/>
      <c r="I148" s="30"/>
      <c r="J148" s="31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x14ac:dyDescent="0.25">
      <c r="A149" s="14" t="s">
        <v>10</v>
      </c>
      <c r="B149" s="32">
        <f>150000 + 150000 + 150000 + 84000 + 150000</f>
        <v>684000</v>
      </c>
      <c r="C149" s="32"/>
      <c r="D149" s="32"/>
      <c r="E149" s="33">
        <f>150000 + 150000 + 23800 + 12200</f>
        <v>336000</v>
      </c>
      <c r="F149" s="34"/>
      <c r="G149" s="34"/>
      <c r="H149" s="34"/>
      <c r="I149" s="34"/>
      <c r="J149" s="35"/>
      <c r="K149" s="32"/>
      <c r="L149" s="32"/>
      <c r="M149" s="32"/>
      <c r="N149" s="32"/>
      <c r="O149" s="32"/>
      <c r="P149" s="32">
        <f>27700</f>
        <v>27700</v>
      </c>
      <c r="Q149" s="32"/>
      <c r="R149" s="32"/>
      <c r="S149" s="32"/>
      <c r="T149" s="32"/>
      <c r="U149" s="36">
        <f>172300 + 21600 + 600000 + 600000</f>
        <v>1393900</v>
      </c>
      <c r="V149" s="36"/>
      <c r="W149" s="36"/>
      <c r="X149" s="36"/>
      <c r="Y149" s="36"/>
    </row>
    <row r="150" spans="1:25" ht="15" customHeight="1" x14ac:dyDescent="0.25">
      <c r="A150" s="20">
        <v>45160</v>
      </c>
      <c r="B150" s="22" t="s">
        <v>61</v>
      </c>
      <c r="C150" s="22"/>
      <c r="D150" s="22"/>
      <c r="E150" s="23" t="s">
        <v>63</v>
      </c>
      <c r="F150" s="24"/>
      <c r="G150" s="24"/>
      <c r="H150" s="24"/>
      <c r="I150" s="24"/>
      <c r="J150" s="25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 t="s">
        <v>62</v>
      </c>
      <c r="V150" s="22"/>
      <c r="W150" s="22"/>
      <c r="X150" s="22"/>
      <c r="Y150" s="22"/>
    </row>
    <row r="151" spans="1:25" x14ac:dyDescent="0.25">
      <c r="A151" s="21"/>
      <c r="B151" s="22"/>
      <c r="C151" s="22"/>
      <c r="D151" s="22"/>
      <c r="E151" s="26"/>
      <c r="F151" s="27"/>
      <c r="G151" s="27"/>
      <c r="H151" s="27"/>
      <c r="I151" s="27"/>
      <c r="J151" s="28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x14ac:dyDescent="0.25">
      <c r="A152" s="21"/>
      <c r="B152" s="22"/>
      <c r="C152" s="22"/>
      <c r="D152" s="22"/>
      <c r="E152" s="26"/>
      <c r="F152" s="27"/>
      <c r="G152" s="27"/>
      <c r="H152" s="27"/>
      <c r="I152" s="27"/>
      <c r="J152" s="28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x14ac:dyDescent="0.25">
      <c r="A153" s="21"/>
      <c r="B153" s="22"/>
      <c r="C153" s="22"/>
      <c r="D153" s="22"/>
      <c r="E153" s="26"/>
      <c r="F153" s="27"/>
      <c r="G153" s="27"/>
      <c r="H153" s="27"/>
      <c r="I153" s="27"/>
      <c r="J153" s="28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x14ac:dyDescent="0.25">
      <c r="A154" s="21"/>
      <c r="B154" s="22"/>
      <c r="C154" s="22"/>
      <c r="D154" s="22"/>
      <c r="E154" s="26"/>
      <c r="F154" s="27"/>
      <c r="G154" s="27"/>
      <c r="H154" s="27"/>
      <c r="I154" s="27"/>
      <c r="J154" s="28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x14ac:dyDescent="0.25">
      <c r="A155" s="21"/>
      <c r="B155" s="22"/>
      <c r="C155" s="22"/>
      <c r="D155" s="22"/>
      <c r="E155" s="29"/>
      <c r="F155" s="30"/>
      <c r="G155" s="30"/>
      <c r="H155" s="30"/>
      <c r="I155" s="30"/>
      <c r="J155" s="31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x14ac:dyDescent="0.25">
      <c r="A156" s="14" t="s">
        <v>10</v>
      </c>
      <c r="B156" s="32">
        <f>150000 + 39800 + 100000 + 150000</f>
        <v>439800</v>
      </c>
      <c r="C156" s="32"/>
      <c r="D156" s="32"/>
      <c r="E156" s="33">
        <f>150000 + 85400 + 150000 + 150000 + 104000</f>
        <v>639400</v>
      </c>
      <c r="F156" s="34"/>
      <c r="G156" s="34"/>
      <c r="H156" s="34"/>
      <c r="I156" s="34"/>
      <c r="J156" s="35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6">
        <f>174600 + 331900 + 600000 + 231000</f>
        <v>1337500</v>
      </c>
      <c r="V156" s="36"/>
      <c r="W156" s="36"/>
      <c r="X156" s="36"/>
      <c r="Y156" s="36"/>
    </row>
    <row r="157" spans="1:25" ht="15" customHeight="1" x14ac:dyDescent="0.25">
      <c r="A157" s="20">
        <v>45161</v>
      </c>
      <c r="B157" s="22" t="s">
        <v>58</v>
      </c>
      <c r="C157" s="22"/>
      <c r="D157" s="22"/>
      <c r="E157" s="23" t="s">
        <v>59</v>
      </c>
      <c r="F157" s="24"/>
      <c r="G157" s="24"/>
      <c r="H157" s="24"/>
      <c r="I157" s="24"/>
      <c r="J157" s="25"/>
      <c r="K157" s="22"/>
      <c r="L157" s="22"/>
      <c r="M157" s="22"/>
      <c r="N157" s="22"/>
      <c r="O157" s="22"/>
      <c r="P157" s="22" t="s">
        <v>60</v>
      </c>
      <c r="Q157" s="22"/>
      <c r="R157" s="22"/>
      <c r="S157" s="22"/>
      <c r="T157" s="22"/>
      <c r="U157" s="22" t="s">
        <v>57</v>
      </c>
      <c r="V157" s="22"/>
      <c r="W157" s="22"/>
      <c r="X157" s="22"/>
      <c r="Y157" s="22"/>
    </row>
    <row r="158" spans="1:25" x14ac:dyDescent="0.25">
      <c r="A158" s="21"/>
      <c r="B158" s="22"/>
      <c r="C158" s="22"/>
      <c r="D158" s="22"/>
      <c r="E158" s="26"/>
      <c r="F158" s="27"/>
      <c r="G158" s="27"/>
      <c r="H158" s="27"/>
      <c r="I158" s="27"/>
      <c r="J158" s="28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x14ac:dyDescent="0.25">
      <c r="A159" s="21"/>
      <c r="B159" s="22"/>
      <c r="C159" s="22"/>
      <c r="D159" s="22"/>
      <c r="E159" s="26"/>
      <c r="F159" s="27"/>
      <c r="G159" s="27"/>
      <c r="H159" s="27"/>
      <c r="I159" s="27"/>
      <c r="J159" s="28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x14ac:dyDescent="0.25">
      <c r="A160" s="21"/>
      <c r="B160" s="22"/>
      <c r="C160" s="22"/>
      <c r="D160" s="22"/>
      <c r="E160" s="26"/>
      <c r="F160" s="27"/>
      <c r="G160" s="27"/>
      <c r="H160" s="27"/>
      <c r="I160" s="27"/>
      <c r="J160" s="28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x14ac:dyDescent="0.25">
      <c r="A161" s="21"/>
      <c r="B161" s="22"/>
      <c r="C161" s="22"/>
      <c r="D161" s="22"/>
      <c r="E161" s="26"/>
      <c r="F161" s="27"/>
      <c r="G161" s="27"/>
      <c r="H161" s="27"/>
      <c r="I161" s="27"/>
      <c r="J161" s="28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x14ac:dyDescent="0.25">
      <c r="A162" s="21"/>
      <c r="B162" s="22"/>
      <c r="C162" s="22"/>
      <c r="D162" s="22"/>
      <c r="E162" s="29"/>
      <c r="F162" s="30"/>
      <c r="G162" s="30"/>
      <c r="H162" s="30"/>
      <c r="I162" s="30"/>
      <c r="J162" s="31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x14ac:dyDescent="0.25">
      <c r="A163" s="14" t="s">
        <v>10</v>
      </c>
      <c r="B163" s="32">
        <f>8900 + 50200 + 35000 + 28000 + 25000 + 58000</f>
        <v>205100</v>
      </c>
      <c r="C163" s="32"/>
      <c r="D163" s="32"/>
      <c r="E163" s="33">
        <f>150000 + 150000 + 109000</f>
        <v>409000</v>
      </c>
      <c r="F163" s="34"/>
      <c r="G163" s="34"/>
      <c r="H163" s="34"/>
      <c r="I163" s="34"/>
      <c r="J163" s="35"/>
      <c r="K163" s="32"/>
      <c r="L163" s="32"/>
      <c r="M163" s="32"/>
      <c r="N163" s="32"/>
      <c r="O163" s="32"/>
      <c r="P163" s="32">
        <f>150000 + 113700 + 150000</f>
        <v>413700</v>
      </c>
      <c r="Q163" s="32"/>
      <c r="R163" s="32"/>
      <c r="S163" s="32"/>
      <c r="T163" s="32"/>
      <c r="U163" s="36">
        <f>47800 + 162300 + 146000 + 591000 + 29000 + 241500</f>
        <v>1217600</v>
      </c>
      <c r="V163" s="36"/>
      <c r="W163" s="36"/>
      <c r="X163" s="36"/>
      <c r="Y163" s="36"/>
    </row>
    <row r="164" spans="1:25" ht="15" customHeight="1" x14ac:dyDescent="0.25">
      <c r="A164" s="20">
        <v>45162</v>
      </c>
      <c r="B164" s="22" t="s">
        <v>66</v>
      </c>
      <c r="C164" s="22"/>
      <c r="D164" s="22"/>
      <c r="E164" s="23" t="s">
        <v>65</v>
      </c>
      <c r="F164" s="24"/>
      <c r="G164" s="24"/>
      <c r="H164" s="24"/>
      <c r="I164" s="24"/>
      <c r="J164" s="25"/>
      <c r="K164" s="22"/>
      <c r="L164" s="22"/>
      <c r="M164" s="22"/>
      <c r="N164" s="22"/>
      <c r="O164" s="22"/>
      <c r="P164" s="22">
        <v>130600</v>
      </c>
      <c r="Q164" s="22"/>
      <c r="R164" s="22"/>
      <c r="S164" s="22"/>
      <c r="T164" s="22"/>
      <c r="U164" s="22" t="s">
        <v>64</v>
      </c>
      <c r="V164" s="22"/>
      <c r="W164" s="22"/>
      <c r="X164" s="22"/>
      <c r="Y164" s="22"/>
    </row>
    <row r="165" spans="1:25" x14ac:dyDescent="0.25">
      <c r="A165" s="21"/>
      <c r="B165" s="22"/>
      <c r="C165" s="22"/>
      <c r="D165" s="22"/>
      <c r="E165" s="26"/>
      <c r="F165" s="27"/>
      <c r="G165" s="27"/>
      <c r="H165" s="27"/>
      <c r="I165" s="27"/>
      <c r="J165" s="28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x14ac:dyDescent="0.25">
      <c r="A166" s="21"/>
      <c r="B166" s="22"/>
      <c r="C166" s="22"/>
      <c r="D166" s="22"/>
      <c r="E166" s="26"/>
      <c r="F166" s="27"/>
      <c r="G166" s="27"/>
      <c r="H166" s="27"/>
      <c r="I166" s="27"/>
      <c r="J166" s="28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x14ac:dyDescent="0.25">
      <c r="A167" s="21"/>
      <c r="B167" s="22"/>
      <c r="C167" s="22"/>
      <c r="D167" s="22"/>
      <c r="E167" s="26"/>
      <c r="F167" s="27"/>
      <c r="G167" s="27"/>
      <c r="H167" s="27"/>
      <c r="I167" s="27"/>
      <c r="J167" s="28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x14ac:dyDescent="0.25">
      <c r="A168" s="21"/>
      <c r="B168" s="22"/>
      <c r="C168" s="22"/>
      <c r="D168" s="22"/>
      <c r="E168" s="26"/>
      <c r="F168" s="27"/>
      <c r="G168" s="27"/>
      <c r="H168" s="27"/>
      <c r="I168" s="27"/>
      <c r="J168" s="28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x14ac:dyDescent="0.25">
      <c r="A169" s="21"/>
      <c r="B169" s="22"/>
      <c r="C169" s="22"/>
      <c r="D169" s="22"/>
      <c r="E169" s="29"/>
      <c r="F169" s="30"/>
      <c r="G169" s="30"/>
      <c r="H169" s="30"/>
      <c r="I169" s="30"/>
      <c r="J169" s="31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x14ac:dyDescent="0.25">
      <c r="A170" s="14" t="s">
        <v>10</v>
      </c>
      <c r="B170" s="32">
        <f>82000 + 18300 + 150000</f>
        <v>250300</v>
      </c>
      <c r="C170" s="32"/>
      <c r="D170" s="32"/>
      <c r="E170" s="33">
        <f>103100 + 150000</f>
        <v>253100</v>
      </c>
      <c r="F170" s="34"/>
      <c r="G170" s="34"/>
      <c r="H170" s="34"/>
      <c r="I170" s="34"/>
      <c r="J170" s="35"/>
      <c r="K170" s="32"/>
      <c r="L170" s="32"/>
      <c r="M170" s="32"/>
      <c r="N170" s="32"/>
      <c r="O170" s="32"/>
      <c r="P170" s="32">
        <f>130600</f>
        <v>130600</v>
      </c>
      <c r="Q170" s="32"/>
      <c r="R170" s="32"/>
      <c r="S170" s="32"/>
      <c r="T170" s="32"/>
      <c r="U170" s="36">
        <f>62300 + 32900 + 10000 + 295500 + 97800</f>
        <v>498500</v>
      </c>
      <c r="V170" s="36"/>
      <c r="W170" s="36"/>
      <c r="X170" s="36"/>
      <c r="Y170" s="36"/>
    </row>
  </sheetData>
  <mergeCells count="237">
    <mergeCell ref="A164:A169"/>
    <mergeCell ref="B164:D169"/>
    <mergeCell ref="E164:J169"/>
    <mergeCell ref="K164:O169"/>
    <mergeCell ref="P164:T169"/>
    <mergeCell ref="U164:Y169"/>
    <mergeCell ref="B170:D170"/>
    <mergeCell ref="E170:J170"/>
    <mergeCell ref="K170:O170"/>
    <mergeCell ref="P170:T170"/>
    <mergeCell ref="U170:Y170"/>
    <mergeCell ref="A157:A162"/>
    <mergeCell ref="B157:D162"/>
    <mergeCell ref="E157:J162"/>
    <mergeCell ref="K157:O162"/>
    <mergeCell ref="P157:T162"/>
    <mergeCell ref="U157:Y162"/>
    <mergeCell ref="B163:D163"/>
    <mergeCell ref="E163:J163"/>
    <mergeCell ref="K163:O163"/>
    <mergeCell ref="P163:T163"/>
    <mergeCell ref="U163:Y163"/>
    <mergeCell ref="A150:A155"/>
    <mergeCell ref="B150:D155"/>
    <mergeCell ref="E150:J155"/>
    <mergeCell ref="K150:O155"/>
    <mergeCell ref="P150:T155"/>
    <mergeCell ref="U150:Y155"/>
    <mergeCell ref="B156:D156"/>
    <mergeCell ref="E156:J156"/>
    <mergeCell ref="K156:O156"/>
    <mergeCell ref="P156:T156"/>
    <mergeCell ref="U156:Y156"/>
    <mergeCell ref="A136:A141"/>
    <mergeCell ref="B136:D141"/>
    <mergeCell ref="E136:J141"/>
    <mergeCell ref="K136:O141"/>
    <mergeCell ref="P136:T141"/>
    <mergeCell ref="U136:Y141"/>
    <mergeCell ref="B142:D142"/>
    <mergeCell ref="E142:J142"/>
    <mergeCell ref="K142:O142"/>
    <mergeCell ref="P142:T142"/>
    <mergeCell ref="U142:Y142"/>
    <mergeCell ref="A115:A120"/>
    <mergeCell ref="B115:D120"/>
    <mergeCell ref="E115:J120"/>
    <mergeCell ref="K115:O120"/>
    <mergeCell ref="P115:T120"/>
    <mergeCell ref="U115:Y120"/>
    <mergeCell ref="B121:D121"/>
    <mergeCell ref="E121:J121"/>
    <mergeCell ref="K121:O121"/>
    <mergeCell ref="P121:T121"/>
    <mergeCell ref="U121:Y121"/>
    <mergeCell ref="A101:A106"/>
    <mergeCell ref="B101:D106"/>
    <mergeCell ref="E101:J106"/>
    <mergeCell ref="K101:O106"/>
    <mergeCell ref="P101:T106"/>
    <mergeCell ref="U101:Y106"/>
    <mergeCell ref="B107:D107"/>
    <mergeCell ref="E107:J107"/>
    <mergeCell ref="K107:O107"/>
    <mergeCell ref="P107:T107"/>
    <mergeCell ref="U107:Y107"/>
    <mergeCell ref="B93:D93"/>
    <mergeCell ref="E93:J93"/>
    <mergeCell ref="K93:O93"/>
    <mergeCell ref="P93:T93"/>
    <mergeCell ref="U93:Y93"/>
    <mergeCell ref="U86:Y86"/>
    <mergeCell ref="A87:A92"/>
    <mergeCell ref="B87:D92"/>
    <mergeCell ref="E87:J92"/>
    <mergeCell ref="K87:O92"/>
    <mergeCell ref="P87:T92"/>
    <mergeCell ref="U87:Y92"/>
    <mergeCell ref="U80:Y85"/>
    <mergeCell ref="E79:J79"/>
    <mergeCell ref="E80:J85"/>
    <mergeCell ref="E86:J86"/>
    <mergeCell ref="U29:Y29"/>
    <mergeCell ref="U58:Y58"/>
    <mergeCell ref="U59:Y64"/>
    <mergeCell ref="U65:Y65"/>
    <mergeCell ref="E58:J58"/>
    <mergeCell ref="E59:J64"/>
    <mergeCell ref="E65:J65"/>
    <mergeCell ref="E66:J71"/>
    <mergeCell ref="E73:J78"/>
    <mergeCell ref="E72:J72"/>
    <mergeCell ref="K86:O86"/>
    <mergeCell ref="P86:T86"/>
    <mergeCell ref="K72:O72"/>
    <mergeCell ref="P72:T72"/>
    <mergeCell ref="B59:D64"/>
    <mergeCell ref="B65:D65"/>
    <mergeCell ref="B38:D43"/>
    <mergeCell ref="B44:D44"/>
    <mergeCell ref="B45:D50"/>
    <mergeCell ref="B28:Y28"/>
    <mergeCell ref="B30:Y30"/>
    <mergeCell ref="U31:Y36"/>
    <mergeCell ref="U37:Y37"/>
    <mergeCell ref="U38:Y43"/>
    <mergeCell ref="U44:Y44"/>
    <mergeCell ref="U45:Y50"/>
    <mergeCell ref="U51:Y51"/>
    <mergeCell ref="U52:Y57"/>
    <mergeCell ref="E38:J43"/>
    <mergeCell ref="E44:J44"/>
    <mergeCell ref="E45:J50"/>
    <mergeCell ref="E51:J51"/>
    <mergeCell ref="E52:J57"/>
    <mergeCell ref="K37:O37"/>
    <mergeCell ref="P37:T37"/>
    <mergeCell ref="K29:O29"/>
    <mergeCell ref="P29:T29"/>
    <mergeCell ref="AL7:AL8"/>
    <mergeCell ref="K65:O65"/>
    <mergeCell ref="P65:T65"/>
    <mergeCell ref="K58:O58"/>
    <mergeCell ref="P58:T58"/>
    <mergeCell ref="A59:A64"/>
    <mergeCell ref="A1:AL6"/>
    <mergeCell ref="A80:A85"/>
    <mergeCell ref="K80:O85"/>
    <mergeCell ref="P80:T85"/>
    <mergeCell ref="K79:O79"/>
    <mergeCell ref="P79:T79"/>
    <mergeCell ref="D7:D8"/>
    <mergeCell ref="A73:A78"/>
    <mergeCell ref="K73:O78"/>
    <mergeCell ref="P73:T78"/>
    <mergeCell ref="K59:O64"/>
    <mergeCell ref="P59:T64"/>
    <mergeCell ref="P45:T50"/>
    <mergeCell ref="K51:O51"/>
    <mergeCell ref="P51:T51"/>
    <mergeCell ref="B31:D36"/>
    <mergeCell ref="B37:D37"/>
    <mergeCell ref="B58:D58"/>
    <mergeCell ref="A52:A57"/>
    <mergeCell ref="K52:O57"/>
    <mergeCell ref="P52:T57"/>
    <mergeCell ref="A45:A50"/>
    <mergeCell ref="K44:O44"/>
    <mergeCell ref="P44:T44"/>
    <mergeCell ref="K45:O50"/>
    <mergeCell ref="A38:A43"/>
    <mergeCell ref="A31:A36"/>
    <mergeCell ref="B51:D51"/>
    <mergeCell ref="B52:D57"/>
    <mergeCell ref="P31:T36"/>
    <mergeCell ref="E31:J36"/>
    <mergeCell ref="E37:J37"/>
    <mergeCell ref="AK7:AK8"/>
    <mergeCell ref="A7:A8"/>
    <mergeCell ref="B7:B8"/>
    <mergeCell ref="C7:C8"/>
    <mergeCell ref="E7:AJ7"/>
    <mergeCell ref="K38:O43"/>
    <mergeCell ref="P38:T43"/>
    <mergeCell ref="A28:A30"/>
    <mergeCell ref="K31:O36"/>
    <mergeCell ref="B29:D29"/>
    <mergeCell ref="E29:J29"/>
    <mergeCell ref="A26:Y27"/>
    <mergeCell ref="U94:Y99"/>
    <mergeCell ref="B100:D100"/>
    <mergeCell ref="E100:J100"/>
    <mergeCell ref="K100:O100"/>
    <mergeCell ref="P100:T100"/>
    <mergeCell ref="U100:Y100"/>
    <mergeCell ref="A66:A71"/>
    <mergeCell ref="K66:O71"/>
    <mergeCell ref="P66:T71"/>
    <mergeCell ref="B66:D71"/>
    <mergeCell ref="B72:D72"/>
    <mergeCell ref="A94:A99"/>
    <mergeCell ref="B94:D99"/>
    <mergeCell ref="E94:J99"/>
    <mergeCell ref="K94:O99"/>
    <mergeCell ref="P94:T99"/>
    <mergeCell ref="B73:D78"/>
    <mergeCell ref="B79:D79"/>
    <mergeCell ref="B80:D85"/>
    <mergeCell ref="B86:D86"/>
    <mergeCell ref="U66:Y71"/>
    <mergeCell ref="U72:Y72"/>
    <mergeCell ref="U73:Y78"/>
    <mergeCell ref="U79:Y79"/>
    <mergeCell ref="A108:A113"/>
    <mergeCell ref="B108:D113"/>
    <mergeCell ref="E108:J113"/>
    <mergeCell ref="K108:O113"/>
    <mergeCell ref="P108:T113"/>
    <mergeCell ref="U108:Y113"/>
    <mergeCell ref="B114:D114"/>
    <mergeCell ref="E114:J114"/>
    <mergeCell ref="K114:O114"/>
    <mergeCell ref="P114:T114"/>
    <mergeCell ref="U114:Y114"/>
    <mergeCell ref="A122:A127"/>
    <mergeCell ref="B122:D127"/>
    <mergeCell ref="E122:J127"/>
    <mergeCell ref="K122:O127"/>
    <mergeCell ref="P122:T127"/>
    <mergeCell ref="U122:Y127"/>
    <mergeCell ref="B128:D128"/>
    <mergeCell ref="E128:J128"/>
    <mergeCell ref="K128:O128"/>
    <mergeCell ref="P128:T128"/>
    <mergeCell ref="U128:Y128"/>
    <mergeCell ref="A129:A134"/>
    <mergeCell ref="B129:D134"/>
    <mergeCell ref="E129:J134"/>
    <mergeCell ref="K129:O134"/>
    <mergeCell ref="P129:T134"/>
    <mergeCell ref="U129:Y134"/>
    <mergeCell ref="B135:D135"/>
    <mergeCell ref="E135:J135"/>
    <mergeCell ref="K135:O135"/>
    <mergeCell ref="P135:T135"/>
    <mergeCell ref="U135:Y135"/>
    <mergeCell ref="A143:A148"/>
    <mergeCell ref="B143:D148"/>
    <mergeCell ref="E143:J148"/>
    <mergeCell ref="K143:O148"/>
    <mergeCell ref="P143:T148"/>
    <mergeCell ref="U143:Y148"/>
    <mergeCell ref="B149:D149"/>
    <mergeCell ref="E149:J149"/>
    <mergeCell ref="K149:O149"/>
    <mergeCell ref="P149:T149"/>
    <mergeCell ref="U149:Y149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2023-08-03T02:07:50Z</dcterms:created>
  <dcterms:modified xsi:type="dcterms:W3CDTF">2023-08-24T09:03:04Z</dcterms:modified>
</cp:coreProperties>
</file>