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20" yWindow="-120" windowWidth="20730" windowHeight="11160" tabRatio="250"/>
  </bookViews>
  <sheets>
    <sheet name="Agustus 2023" sheetId="1" r:id="rId1"/>
    <sheet name="September 2023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U211" i="1" l="1"/>
  <c r="AJ9" i="2"/>
  <c r="AJ10" i="2"/>
  <c r="AK10" i="2" s="1"/>
  <c r="AJ11" i="2"/>
  <c r="AK11" i="2" s="1"/>
  <c r="D9" i="2"/>
  <c r="AK9" i="2" l="1"/>
  <c r="AJ13" i="2"/>
  <c r="AK13" i="2" s="1"/>
  <c r="AJ12" i="2"/>
  <c r="AK12" i="2" s="1"/>
  <c r="AK13" i="1"/>
  <c r="AL13" i="1" l="1"/>
  <c r="AL12" i="1"/>
  <c r="AL11" i="1"/>
  <c r="AL10" i="1"/>
  <c r="AL9" i="1"/>
  <c r="AM9" i="1" l="1"/>
  <c r="U204" i="1" l="1"/>
  <c r="AJ13" i="1" s="1"/>
  <c r="U197" i="1" l="1"/>
  <c r="AI13" i="1" l="1"/>
  <c r="U190" i="1"/>
  <c r="AH13" i="1" l="1"/>
  <c r="U183" i="1" l="1"/>
  <c r="AF13" i="1" s="1"/>
  <c r="B176" i="1" l="1"/>
  <c r="K176" i="1"/>
  <c r="AE11" i="1" s="1"/>
  <c r="E176" i="1"/>
  <c r="AE10" i="1" s="1"/>
  <c r="U176" i="1"/>
  <c r="AE13" i="1" s="1"/>
  <c r="AE9" i="1" l="1"/>
  <c r="U169" i="1" l="1"/>
  <c r="E169" i="1"/>
  <c r="B169" i="1"/>
  <c r="AD10" i="1" l="1"/>
  <c r="AD13" i="1"/>
  <c r="AD9" i="1"/>
  <c r="P169" i="1"/>
  <c r="AD12" i="1" s="1"/>
  <c r="E155" i="1" l="1"/>
  <c r="U155" i="1"/>
  <c r="AB13" i="1" s="1"/>
  <c r="B155" i="1"/>
  <c r="P162" i="1"/>
  <c r="E162" i="1"/>
  <c r="B162" i="1"/>
  <c r="U162" i="1"/>
  <c r="AC13" i="1" s="1"/>
  <c r="AC12" i="1" l="1"/>
  <c r="AC10" i="1"/>
  <c r="AC9" i="1"/>
  <c r="AB10" i="1" l="1"/>
  <c r="AB9" i="1"/>
  <c r="U148" i="1"/>
  <c r="E148" i="1"/>
  <c r="B148" i="1"/>
  <c r="P148" i="1" l="1"/>
  <c r="AA12" i="1" s="1"/>
  <c r="AA9" i="1" l="1"/>
  <c r="AA13" i="1"/>
  <c r="AA10" i="1"/>
  <c r="B141" i="1" l="1"/>
  <c r="Y9" i="1" s="1"/>
  <c r="P141" i="1"/>
  <c r="Y12" i="1" s="1"/>
  <c r="U141" i="1"/>
  <c r="Y13" i="1" s="1"/>
  <c r="E141" i="1"/>
  <c r="Y10" i="1" s="1"/>
  <c r="X13" i="1" l="1"/>
  <c r="P134" i="1"/>
  <c r="X12" i="1" s="1"/>
  <c r="K134" i="1"/>
  <c r="X11" i="1" s="1"/>
  <c r="B134" i="1"/>
  <c r="X9" i="1" s="1"/>
  <c r="E134" i="1"/>
  <c r="X10" i="1" s="1"/>
  <c r="AM13" i="1" l="1"/>
  <c r="E127" i="1"/>
  <c r="V10" i="1" l="1"/>
  <c r="E120" i="1" l="1"/>
  <c r="U10" i="1" s="1"/>
  <c r="B120" i="1"/>
  <c r="U9" i="1" s="1"/>
  <c r="B113" i="1" l="1"/>
  <c r="T9" i="1" s="1"/>
  <c r="E113" i="1"/>
  <c r="T10" i="1" s="1"/>
  <c r="E106" i="1" l="1"/>
  <c r="R10" i="1" s="1"/>
  <c r="B106" i="1"/>
  <c r="R9" i="1" s="1"/>
  <c r="E99" i="1" l="1"/>
  <c r="Q10" i="1" s="1"/>
  <c r="B99" i="1"/>
  <c r="Q9" i="1" s="1"/>
  <c r="K99" i="1"/>
  <c r="Q11" i="1" s="1"/>
  <c r="B92" i="1" l="1"/>
  <c r="P9" i="1" s="1"/>
  <c r="E92" i="1"/>
  <c r="P10" i="1" s="1"/>
  <c r="K92" i="1"/>
  <c r="P11" i="1" s="1"/>
  <c r="B50" i="1"/>
  <c r="B43" i="1"/>
  <c r="B57" i="1"/>
  <c r="B85" i="1"/>
  <c r="O9" i="1" s="1"/>
  <c r="E85" i="1" l="1"/>
  <c r="O10" i="1" s="1"/>
  <c r="K85" i="1"/>
  <c r="O11" i="1" s="1"/>
  <c r="P85" i="1"/>
  <c r="O12" i="1" s="1"/>
  <c r="D9" i="1"/>
  <c r="AM10" i="1" l="1"/>
  <c r="P78" i="1"/>
  <c r="N12" i="1" s="1"/>
  <c r="K78" i="1"/>
  <c r="N11" i="1" s="1"/>
  <c r="K71" i="1" l="1"/>
  <c r="M11" i="1" s="1"/>
  <c r="P71" i="1"/>
  <c r="M12" i="1" s="1"/>
  <c r="E57" i="1" l="1"/>
  <c r="K64" i="1"/>
  <c r="K11" i="1" s="1"/>
  <c r="P64" i="1"/>
  <c r="K12" i="1" s="1"/>
  <c r="AM12" i="1" s="1"/>
  <c r="P57" i="1"/>
  <c r="E36" i="1"/>
  <c r="P50" i="1"/>
  <c r="P43" i="1"/>
  <c r="E50" i="1"/>
  <c r="E43" i="1"/>
  <c r="AM11" i="1" l="1"/>
</calcChain>
</file>

<file path=xl/sharedStrings.xml><?xml version="1.0" encoding="utf-8"?>
<sst xmlns="http://schemas.openxmlformats.org/spreadsheetml/2006/main" count="120" uniqueCount="73">
  <si>
    <t>JUMLAH HARIAN (kg)</t>
  </si>
  <si>
    <t>TOTAL PRODUKSI (kg)</t>
  </si>
  <si>
    <t>W01-03000027</t>
  </si>
  <si>
    <t>W01-03000013</t>
  </si>
  <si>
    <t>W01-03000026</t>
  </si>
  <si>
    <t>W01-03000020</t>
  </si>
  <si>
    <t>SPESIFIKASI (mm)</t>
  </si>
  <si>
    <t>RINCIAN BERAT HASIL PRODUKSI PRODUKSI</t>
  </si>
  <si>
    <t>TANGGAL</t>
  </si>
  <si>
    <t>SPESIFIKASI</t>
  </si>
  <si>
    <t>TOTAL</t>
  </si>
  <si>
    <t>SPESIFIKASI mm)</t>
  </si>
  <si>
    <t>PANJANG (m)</t>
  </si>
  <si>
    <t>3400 + 72300</t>
  </si>
  <si>
    <t>150000 + 51800 + 1390</t>
  </si>
  <si>
    <t>43400 + 74200 + 4600</t>
  </si>
  <si>
    <t>150000 + 150000</t>
  </si>
  <si>
    <t>150000 + 61300 + 1900 + 150000 + 150000 + 60700 + 3000 + 5800 + 2500 + 12700</t>
  </si>
  <si>
    <t>46800 + 150200 + 150000 + 24900</t>
  </si>
  <si>
    <t>9400 + 150000 + 27800 + 150000 + 150000 + 150000</t>
  </si>
  <si>
    <t>150000 + 57800 + 150200 + 150300</t>
  </si>
  <si>
    <t>150000 + 150000 + 123800</t>
  </si>
  <si>
    <t>6900 + 150000 + 43300 + 150000</t>
  </si>
  <si>
    <t>RUMUS (kg/km)</t>
  </si>
  <si>
    <t>144500 + 28700 + 4100 + 3300 + 150200 + 3400 + 68200 + 150000</t>
  </si>
  <si>
    <t>150000 + 150000 + 150000 + 3000 + 150000 + 150000 + 150000</t>
  </si>
  <si>
    <t>25000 + 150000 + 3000 + 150000 + 5700 + 150000</t>
  </si>
  <si>
    <t>150000 + 150000 + 150000 + 150000 + 150000 + 150000 + 150000</t>
  </si>
  <si>
    <t>150000 + 110500 + 150000 + 150000 + 150000 + 120200</t>
  </si>
  <si>
    <t>LAPORAN HASIL PRODUKSI FINE WIRE DRAWING / 伸线成品</t>
  </si>
  <si>
    <t>TEMBAGA ASLI (kg)</t>
  </si>
  <si>
    <t>W01-03000004</t>
  </si>
  <si>
    <t>KURANG (kg)</t>
  </si>
  <si>
    <t>10300 + 143100</t>
  </si>
  <si>
    <t>150000 + 150000 + 51200 + 150000</t>
  </si>
  <si>
    <t>2700 + 10600 + 150000 + 150000</t>
  </si>
  <si>
    <t>59300 + 150000 + 150000</t>
  </si>
  <si>
    <t>12000 + 150000 + 150000 + 24200</t>
  </si>
  <si>
    <t>150000 + 134000 + 150000 + 86800</t>
  </si>
  <si>
    <t>150000 + 1500 + 15000 + 150000 + 31700 + 150000 + 150000</t>
  </si>
  <si>
    <t>141200 + 150000 + 150000</t>
  </si>
  <si>
    <t>63900 + 150000 + 150000 + 136000</t>
  </si>
  <si>
    <t>9300 + 150000 + 150000 + 150000</t>
  </si>
  <si>
    <t>140000 + 150000 + 20600 + 150000 + 80000 + 150000 + 150000</t>
  </si>
  <si>
    <t>150000 + 150000 + 150000 + 122900 + 150000 + 8000 + 150000 + 19500</t>
  </si>
  <si>
    <t>31500 + 150000 + 3000 + 67200 + 150000</t>
  </si>
  <si>
    <t>73000 + 150000 + 150000 + 150000 + 150000 + 150000</t>
  </si>
  <si>
    <t>NO JOB ORDER</t>
  </si>
  <si>
    <t>KODE MATERIAL</t>
  </si>
  <si>
    <t>150000 + 150000 + 150000 + 150000 + 150000 + 150000</t>
  </si>
  <si>
    <t>115800 + 150000 + 31000 + 150000</t>
  </si>
  <si>
    <t>75900 + 150000</t>
  </si>
  <si>
    <t>134200 + 253600</t>
  </si>
  <si>
    <t>112800 + 59500</t>
  </si>
  <si>
    <t>150000 + 150000 + 150000 + 84000 + 150000</t>
  </si>
  <si>
    <t>150000 + 150000 + 23800 + 12200</t>
  </si>
  <si>
    <t>172300 + 21600 + 600000 + 600000</t>
  </si>
  <si>
    <t>47800 + 162300 + 146000 + 591000 + 29000 + 241500</t>
  </si>
  <si>
    <t>8900 + 50200 + 35000 + 28000 + 25000 + 58000</t>
  </si>
  <si>
    <t>150000 + 150000 + 109000</t>
  </si>
  <si>
    <t>150000 + 113700 + 150000</t>
  </si>
  <si>
    <t>150000 + 39800 + 100000 + 150000</t>
  </si>
  <si>
    <t>174600 + 331900 + 600000 + 231000</t>
  </si>
  <si>
    <t>150000 + 85400 + 150000 + 150000 + 104000</t>
  </si>
  <si>
    <t>82000 + 18300 + 150000 + 38600</t>
  </si>
  <si>
    <t>103100 + 150000 + 150000</t>
  </si>
  <si>
    <t>62300 + 22900 + 10000 + 295500 + 97800 + 600000</t>
  </si>
  <si>
    <t>390000 + 243200 + 600000 + 600000</t>
  </si>
  <si>
    <t>150000 + 8000</t>
  </si>
  <si>
    <t>456100 + 600000 + 600000 + 62600 + 28600 + 85000 + 204100 + 264000 + 233200 + 98100 + 98500</t>
  </si>
  <si>
    <t>293400 + 234000 + 152300 + 100000 + 110000 + 230200</t>
  </si>
  <si>
    <t>90600 + 127200 + 600000</t>
  </si>
  <si>
    <t>600000 + 159100 + 73000 + 48000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</si>
</sst>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/d;@"/>
    <numFmt numFmtId="165" formatCode="0.000"/>
    <numFmt numFmtId="166" formatCode="mmmm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52FC24"/>
        <bgColor indexed="64"/>
      </patternFill>
    </fill>
    <fill>
      <patternFill patternType="solid">
        <fgColor rgb="FFC5D9F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2" fontId="0" fillId="0" borderId="1" xfId="0" applyNumberFormat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2" fontId="1" fillId="4" borderId="1" xfId="0" applyNumberFormat="1" applyFont="1" applyFill="1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2" fontId="1" fillId="0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2" fontId="1" fillId="0" borderId="1" xfId="0" applyNumberFormat="1" applyFont="1" applyBorder="1" applyAlignment="1">
      <alignment horizontal="center" vertical="center" wrapText="1"/>
    </xf>
    <xf numFmtId="2" fontId="0" fillId="0" borderId="1" xfId="0" applyNumberFormat="1" applyBorder="1"/>
    <xf numFmtId="165" fontId="1" fillId="0" borderId="1" xfId="0" applyNumberFormat="1" applyFont="1" applyBorder="1" applyAlignment="1">
      <alignment horizontal="center"/>
    </xf>
    <xf numFmtId="0" fontId="1" fillId="2" borderId="7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66" fontId="1" fillId="3" borderId="1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/>
    </xf>
    <xf numFmtId="2" fontId="1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/>
    </xf>
    <xf numFmtId="165" fontId="1" fillId="0" borderId="1" xfId="0" applyNumberFormat="1" applyFont="1" applyBorder="1" applyAlignment="1">
      <alignment horizontal="center" vertical="center" wrapText="1"/>
    </xf>
    <xf numFmtId="165" fontId="1" fillId="0" borderId="1" xfId="0" applyNumberFormat="1" applyFont="1" applyBorder="1" applyAlignment="1">
      <alignment horizontal="center" vertical="center"/>
    </xf>
    <xf numFmtId="3" fontId="1" fillId="2" borderId="1" xfId="0" applyNumberFormat="1" applyFont="1" applyFill="1" applyBorder="1" applyAlignment="1">
      <alignment horizontal="center" vertical="center"/>
    </xf>
    <xf numFmtId="3" fontId="1" fillId="2" borderId="8" xfId="0" applyNumberFormat="1" applyFont="1" applyFill="1" applyBorder="1" applyAlignment="1">
      <alignment horizontal="center" vertical="center"/>
    </xf>
    <xf numFmtId="3" fontId="1" fillId="2" borderId="9" xfId="0" applyNumberFormat="1" applyFont="1" applyFill="1" applyBorder="1" applyAlignment="1">
      <alignment horizontal="center" vertical="center"/>
    </xf>
    <xf numFmtId="3" fontId="1" fillId="2" borderId="10" xfId="0" applyNumberFormat="1" applyFont="1" applyFill="1" applyBorder="1" applyAlignment="1">
      <alignment horizontal="center" vertical="center"/>
    </xf>
    <xf numFmtId="3" fontId="1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165" fontId="1" fillId="3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165" fontId="1" fillId="3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52FC24"/>
      <color rgb="FFC5D9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361949</xdr:colOff>
      <xdr:row>0</xdr:row>
      <xdr:rowOff>76201</xdr:rowOff>
    </xdr:from>
    <xdr:to>
      <xdr:col>13</xdr:col>
      <xdr:colOff>314324</xdr:colOff>
      <xdr:row>5</xdr:row>
      <xdr:rowOff>125125</xdr:rowOff>
    </xdr:to>
    <xdr:pic>
      <xdr:nvPicPr>
        <xdr:cNvPr id="4" name="Picture 3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00924" y="76201"/>
          <a:ext cx="1781175" cy="100142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361949</xdr:colOff>
      <xdr:row>0</xdr:row>
      <xdr:rowOff>76201</xdr:rowOff>
    </xdr:from>
    <xdr:to>
      <xdr:col>12</xdr:col>
      <xdr:colOff>314324</xdr:colOff>
      <xdr:row>5</xdr:row>
      <xdr:rowOff>125125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00924" y="76201"/>
          <a:ext cx="1781175" cy="10014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11"/>
  <sheetViews>
    <sheetView tabSelected="1" zoomScale="85" zoomScaleNormal="85" workbookViewId="0">
      <selection activeCell="D22" sqref="D22"/>
    </sheetView>
  </sheetViews>
  <sheetFormatPr defaultRowHeight="15" x14ac:dyDescent="0.25"/>
  <cols>
    <col min="1" max="1" width="11.28515625" bestFit="1" customWidth="1"/>
    <col min="2" max="2" width="16.28515625" customWidth="1"/>
    <col min="3" max="4" width="15" customWidth="1"/>
    <col min="5" max="8" width="7.42578125" bestFit="1" customWidth="1"/>
    <col min="11" max="11" width="9.140625" customWidth="1"/>
    <col min="38" max="38" width="15.5703125" customWidth="1"/>
    <col min="39" max="39" width="12.140625" customWidth="1"/>
    <col min="40" max="40" width="14.140625" customWidth="1"/>
  </cols>
  <sheetData>
    <row r="1" spans="1:40" ht="15" customHeight="1" x14ac:dyDescent="0.25">
      <c r="A1" s="51" t="s">
        <v>29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  <c r="AA1" s="51"/>
      <c r="AB1" s="51"/>
      <c r="AC1" s="51"/>
      <c r="AD1" s="51"/>
      <c r="AE1" s="51"/>
      <c r="AF1" s="51"/>
      <c r="AG1" s="51"/>
      <c r="AH1" s="51"/>
      <c r="AI1" s="51"/>
      <c r="AJ1" s="51"/>
      <c r="AK1" s="51"/>
      <c r="AL1" s="51"/>
      <c r="AM1" s="51"/>
    </row>
    <row r="2" spans="1:40" ht="15" customHeight="1" x14ac:dyDescent="0.25">
      <c r="A2" s="51"/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 s="51"/>
      <c r="AD2" s="51"/>
      <c r="AE2" s="51"/>
      <c r="AF2" s="51"/>
      <c r="AG2" s="51"/>
      <c r="AH2" s="51"/>
      <c r="AI2" s="51"/>
      <c r="AJ2" s="51"/>
      <c r="AK2" s="51"/>
      <c r="AL2" s="51"/>
      <c r="AM2" s="51"/>
    </row>
    <row r="3" spans="1:40" ht="15" customHeight="1" x14ac:dyDescent="0.25">
      <c r="A3" s="51"/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  <c r="AA3" s="51"/>
      <c r="AB3" s="51"/>
      <c r="AC3" s="51"/>
      <c r="AD3" s="51"/>
      <c r="AE3" s="51"/>
      <c r="AF3" s="51"/>
      <c r="AG3" s="51"/>
      <c r="AH3" s="51"/>
      <c r="AI3" s="51"/>
      <c r="AJ3" s="51"/>
      <c r="AK3" s="51"/>
      <c r="AL3" s="51"/>
      <c r="AM3" s="51"/>
    </row>
    <row r="4" spans="1:40" ht="15" customHeight="1" x14ac:dyDescent="0.25">
      <c r="A4" s="51"/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2"/>
    </row>
    <row r="5" spans="1:40" ht="15" customHeight="1" x14ac:dyDescent="0.25">
      <c r="A5" s="51"/>
      <c r="B5" s="51"/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2"/>
    </row>
    <row r="6" spans="1:40" ht="15" customHeight="1" x14ac:dyDescent="0.25">
      <c r="A6" s="52"/>
      <c r="B6" s="52"/>
      <c r="C6" s="52"/>
      <c r="D6" s="52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  <c r="AA6" s="52"/>
      <c r="AB6" s="52"/>
      <c r="AC6" s="52"/>
      <c r="AD6" s="52"/>
      <c r="AE6" s="52"/>
      <c r="AF6" s="52"/>
      <c r="AG6" s="52"/>
      <c r="AH6" s="52"/>
      <c r="AI6" s="52"/>
      <c r="AJ6" s="52"/>
      <c r="AK6" s="52"/>
      <c r="AL6" s="52"/>
      <c r="AM6" s="52"/>
      <c r="AN6" s="2"/>
    </row>
    <row r="7" spans="1:40" x14ac:dyDescent="0.25">
      <c r="A7" s="53" t="s">
        <v>6</v>
      </c>
      <c r="B7" s="53" t="s">
        <v>48</v>
      </c>
      <c r="C7" s="53" t="s">
        <v>47</v>
      </c>
      <c r="D7" s="53" t="s">
        <v>30</v>
      </c>
      <c r="E7" s="55" t="s">
        <v>0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7"/>
      <c r="AK7" s="20"/>
      <c r="AL7" s="53" t="s">
        <v>1</v>
      </c>
      <c r="AM7" s="50" t="s">
        <v>32</v>
      </c>
    </row>
    <row r="8" spans="1:40" x14ac:dyDescent="0.25">
      <c r="A8" s="54"/>
      <c r="B8" s="54"/>
      <c r="C8" s="54"/>
      <c r="D8" s="54"/>
      <c r="E8" s="3">
        <v>47328</v>
      </c>
      <c r="F8" s="3">
        <v>11535</v>
      </c>
      <c r="G8" s="4">
        <v>45139</v>
      </c>
      <c r="H8" s="4">
        <v>45140</v>
      </c>
      <c r="I8" s="4">
        <v>45141</v>
      </c>
      <c r="J8" s="4">
        <v>45142</v>
      </c>
      <c r="K8" s="4">
        <v>45143</v>
      </c>
      <c r="L8" s="4">
        <v>45144</v>
      </c>
      <c r="M8" s="4">
        <v>45145</v>
      </c>
      <c r="N8" s="4">
        <v>45146</v>
      </c>
      <c r="O8" s="4">
        <v>45147</v>
      </c>
      <c r="P8" s="4">
        <v>45148</v>
      </c>
      <c r="Q8" s="4">
        <v>45149</v>
      </c>
      <c r="R8" s="4">
        <v>45150</v>
      </c>
      <c r="S8" s="4">
        <v>45151</v>
      </c>
      <c r="T8" s="4">
        <v>45152</v>
      </c>
      <c r="U8" s="4">
        <v>45153</v>
      </c>
      <c r="V8" s="4">
        <v>45154</v>
      </c>
      <c r="W8" s="4">
        <v>45155</v>
      </c>
      <c r="X8" s="4">
        <v>45156</v>
      </c>
      <c r="Y8" s="4">
        <v>45157</v>
      </c>
      <c r="Z8" s="4">
        <v>45158</v>
      </c>
      <c r="AA8" s="4">
        <v>45159</v>
      </c>
      <c r="AB8" s="4">
        <v>45160</v>
      </c>
      <c r="AC8" s="4">
        <v>45161</v>
      </c>
      <c r="AD8" s="4">
        <v>45162</v>
      </c>
      <c r="AE8" s="4">
        <v>45163</v>
      </c>
      <c r="AF8" s="4">
        <v>45164</v>
      </c>
      <c r="AG8" s="4">
        <v>45165</v>
      </c>
      <c r="AH8" s="4">
        <v>45166</v>
      </c>
      <c r="AI8" s="4">
        <v>45167</v>
      </c>
      <c r="AJ8" s="4">
        <v>45168</v>
      </c>
      <c r="AK8" s="4">
        <v>45169</v>
      </c>
      <c r="AL8" s="54"/>
      <c r="AM8" s="50"/>
    </row>
    <row r="9" spans="1:40" x14ac:dyDescent="0.25">
      <c r="A9" s="28">
        <v>0.127</v>
      </c>
      <c r="B9" s="14" t="s">
        <v>2</v>
      </c>
      <c r="C9" s="13">
        <v>20230727004</v>
      </c>
      <c r="D9" s="24">
        <f>SUM(696.7 + 106.1)</f>
        <v>802.80000000000007</v>
      </c>
      <c r="E9" s="12">
        <v>70.2</v>
      </c>
      <c r="F9" s="12">
        <v>54.72</v>
      </c>
      <c r="G9" s="9"/>
      <c r="H9" s="9">
        <v>12.64</v>
      </c>
      <c r="I9" s="9">
        <v>41.91</v>
      </c>
      <c r="J9" s="9">
        <v>71.81</v>
      </c>
      <c r="K9" s="9"/>
      <c r="L9" s="9"/>
      <c r="M9" s="9"/>
      <c r="N9" s="9"/>
      <c r="O9" s="9">
        <f>B17*B85/1000</f>
        <v>9.3202899999999982</v>
      </c>
      <c r="P9" s="9">
        <f>B17*B92/1000</f>
        <v>37.889739999999996</v>
      </c>
      <c r="Q9" s="9">
        <f>B17*B99/1000</f>
        <v>73.052139999999994</v>
      </c>
      <c r="R9" s="9">
        <f>B17*B106/1000</f>
        <v>56.338729999999998</v>
      </c>
      <c r="S9" s="9"/>
      <c r="T9" s="9">
        <f>B17*B113/1000</f>
        <v>101.47508000000001</v>
      </c>
      <c r="U9" s="9">
        <f>B17*B120/1000</f>
        <v>45.271589999999996</v>
      </c>
      <c r="V9" s="9"/>
      <c r="W9" s="9"/>
      <c r="X9" s="9">
        <f>B17*B134/1000</f>
        <v>10.019029999999999</v>
      </c>
      <c r="Y9" s="9">
        <f>B17*B141/1000</f>
        <v>19.418209999999998</v>
      </c>
      <c r="Z9" s="9"/>
      <c r="AA9" s="9">
        <f>B17*B148/1000</f>
        <v>77.086799999999997</v>
      </c>
      <c r="AB9" s="9">
        <f>B17*B155/1000</f>
        <v>49.565460000000002</v>
      </c>
      <c r="AC9" s="9">
        <f>B17*B162/1000</f>
        <v>23.11477</v>
      </c>
      <c r="AD9" s="9">
        <f>B17*B169/1000</f>
        <v>32.55903</v>
      </c>
      <c r="AE9" s="9">
        <f>B17*B176/1000</f>
        <v>17.8066</v>
      </c>
      <c r="AF9" s="9"/>
      <c r="AG9" s="9"/>
      <c r="AH9" s="9"/>
      <c r="AI9" s="9"/>
      <c r="AJ9" s="9"/>
      <c r="AK9" s="9"/>
      <c r="AL9" s="15">
        <f>SUM(E9:AK9)</f>
        <v>804.19747000000018</v>
      </c>
      <c r="AM9" s="11">
        <f>AL9-D9</f>
        <v>1.3974700000001121</v>
      </c>
    </row>
    <row r="10" spans="1:40" x14ac:dyDescent="0.25">
      <c r="A10" s="28">
        <v>0.12</v>
      </c>
      <c r="B10" s="14" t="s">
        <v>3</v>
      </c>
      <c r="C10" s="16">
        <v>20230727003</v>
      </c>
      <c r="D10" s="25">
        <v>802.8</v>
      </c>
      <c r="E10" s="9"/>
      <c r="F10" s="9"/>
      <c r="G10" s="9">
        <v>60.14</v>
      </c>
      <c r="H10" s="9">
        <v>7.61</v>
      </c>
      <c r="I10" s="9">
        <v>20.43</v>
      </c>
      <c r="J10" s="9">
        <v>55.57</v>
      </c>
      <c r="K10" s="9"/>
      <c r="L10" s="9"/>
      <c r="M10" s="9"/>
      <c r="N10" s="9"/>
      <c r="O10" s="9">
        <f>B18*E85/1000</f>
        <v>31.517979999999998</v>
      </c>
      <c r="P10" s="9">
        <f>B18*E92/1000</f>
        <v>30.18</v>
      </c>
      <c r="Q10" s="9">
        <f>B18*E99/1000</f>
        <v>44.384720000000002</v>
      </c>
      <c r="R10" s="9">
        <f>B18*E106/1000</f>
        <v>46.205579999999998</v>
      </c>
      <c r="S10" s="9"/>
      <c r="T10" s="9">
        <f>B18*E113/1000</f>
        <v>84.564359999999994</v>
      </c>
      <c r="U10" s="9">
        <f>B18*E120/1000</f>
        <v>82.793800000000005</v>
      </c>
      <c r="V10" s="9">
        <f>B18*E127/1000</f>
        <v>90.54</v>
      </c>
      <c r="W10" s="9"/>
      <c r="X10" s="9">
        <f>B18*E134/1000</f>
        <v>44.948079999999997</v>
      </c>
      <c r="Y10" s="9">
        <f>B18*E141/1000</f>
        <v>30.18</v>
      </c>
      <c r="Z10" s="9"/>
      <c r="AA10" s="9">
        <f>B18*E148/1000</f>
        <v>33.801600000000001</v>
      </c>
      <c r="AB10" s="9">
        <f>B18*E155/1000</f>
        <v>64.323639999999997</v>
      </c>
      <c r="AC10" s="9">
        <f>B18*E162/1000</f>
        <v>41.145400000000002</v>
      </c>
      <c r="AD10" s="9">
        <f>B18*E169/1000</f>
        <v>40.551859999999998</v>
      </c>
      <c r="AE10" s="9">
        <f>B18*E176/1000</f>
        <v>3.9737</v>
      </c>
      <c r="AF10" s="9"/>
      <c r="AG10" s="9"/>
      <c r="AH10" s="9"/>
      <c r="AI10" s="9"/>
      <c r="AJ10" s="9"/>
      <c r="AK10" s="9"/>
      <c r="AL10" s="17">
        <f>SUM(E10:AK10)</f>
        <v>812.8607199999999</v>
      </c>
      <c r="AM10" s="11">
        <f>AL10-D10</f>
        <v>10.060719999999947</v>
      </c>
    </row>
    <row r="11" spans="1:40" x14ac:dyDescent="0.25">
      <c r="A11" s="28">
        <v>0.2</v>
      </c>
      <c r="B11" s="14" t="s">
        <v>4</v>
      </c>
      <c r="C11" s="16">
        <v>20230727005</v>
      </c>
      <c r="D11" s="25">
        <v>902.7</v>
      </c>
      <c r="E11" s="9"/>
      <c r="F11" s="9"/>
      <c r="G11" s="9"/>
      <c r="H11" s="9"/>
      <c r="I11" s="9"/>
      <c r="J11" s="18"/>
      <c r="K11" s="9">
        <f>$B19*$K64/1000</f>
        <v>97.91592</v>
      </c>
      <c r="L11" s="9"/>
      <c r="M11" s="9">
        <f>$B19*$K71/1000</f>
        <v>135.24252000000001</v>
      </c>
      <c r="N11" s="9">
        <f>B19*K78/1000</f>
        <v>293.58</v>
      </c>
      <c r="O11" s="9">
        <f>B19*K85/1000</f>
        <v>140.13552000000001</v>
      </c>
      <c r="P11" s="9">
        <f>B19*K92/1000</f>
        <v>100.46028</v>
      </c>
      <c r="Q11" s="9">
        <f>B19*K99/1000</f>
        <v>145.61568000000003</v>
      </c>
      <c r="R11" s="9"/>
      <c r="S11" s="9"/>
      <c r="T11" s="9"/>
      <c r="U11" s="9"/>
      <c r="V11" s="9"/>
      <c r="W11" s="9"/>
      <c r="X11" s="9">
        <f>B19*K134/1000</f>
        <v>2.7680400000000001</v>
      </c>
      <c r="Y11" s="9"/>
      <c r="Z11" s="9"/>
      <c r="AA11" s="9"/>
      <c r="AB11" s="9"/>
      <c r="AC11" s="9"/>
      <c r="AD11" s="9"/>
      <c r="AE11" s="9">
        <f>B19*K176/1000</f>
        <v>9.1988400000000006</v>
      </c>
      <c r="AF11" s="9"/>
      <c r="AG11" s="9"/>
      <c r="AH11" s="9"/>
      <c r="AI11" s="9"/>
      <c r="AJ11" s="9"/>
      <c r="AK11" s="9"/>
      <c r="AL11" s="15">
        <f>SUM(E11:AK11)</f>
        <v>924.91680000000008</v>
      </c>
      <c r="AM11" s="11">
        <f>AL11-D11</f>
        <v>22.216800000000035</v>
      </c>
    </row>
    <row r="12" spans="1:40" x14ac:dyDescent="0.25">
      <c r="A12" s="28">
        <v>0.16</v>
      </c>
      <c r="B12" s="14" t="s">
        <v>5</v>
      </c>
      <c r="C12" s="16">
        <v>20230727002</v>
      </c>
      <c r="D12" s="25">
        <v>501.5</v>
      </c>
      <c r="E12" s="9"/>
      <c r="F12" s="9"/>
      <c r="G12" s="9"/>
      <c r="H12" s="9">
        <v>14.47</v>
      </c>
      <c r="I12" s="9">
        <v>53.67</v>
      </c>
      <c r="J12" s="9">
        <v>90.93</v>
      </c>
      <c r="K12" s="9">
        <f>$B20*$P64/1000</f>
        <v>75.817820000000012</v>
      </c>
      <c r="L12" s="9"/>
      <c r="M12" s="9">
        <f>$B20*$P71/1000</f>
        <v>161.54670000000002</v>
      </c>
      <c r="N12" s="9">
        <f>B20*P78/1000</f>
        <v>148.61223000000001</v>
      </c>
      <c r="O12" s="9">
        <f>B20*P85/1000</f>
        <v>27.443260000000002</v>
      </c>
      <c r="P12" s="9"/>
      <c r="Q12" s="9"/>
      <c r="R12" s="9"/>
      <c r="S12" s="9"/>
      <c r="T12" s="9"/>
      <c r="U12" s="9"/>
      <c r="V12" s="9"/>
      <c r="W12" s="9"/>
      <c r="X12" s="9">
        <f>B20*P134/1000</f>
        <v>40.413510000000002</v>
      </c>
      <c r="Y12" s="9">
        <f>B20*P141/1000</f>
        <v>26.835000000000001</v>
      </c>
      <c r="Z12" s="9"/>
      <c r="AA12" s="9">
        <f>B20*P148/1000</f>
        <v>4.9555299999999995</v>
      </c>
      <c r="AB12" s="9"/>
      <c r="AC12" s="9">
        <f>B20*P162/1000</f>
        <v>74.010930000000002</v>
      </c>
      <c r="AD12" s="9">
        <f>B20*P169/1000</f>
        <v>23.364339999999999</v>
      </c>
      <c r="AE12" s="9"/>
      <c r="AF12" s="9"/>
      <c r="AG12" s="9"/>
      <c r="AH12" s="9"/>
      <c r="AI12" s="9"/>
      <c r="AJ12" s="9"/>
      <c r="AK12" s="9"/>
      <c r="AL12" s="15">
        <f>SUM(E12:AK12)</f>
        <v>742.06931999999995</v>
      </c>
      <c r="AM12" s="11">
        <f>AL12-D12</f>
        <v>240.56931999999995</v>
      </c>
    </row>
    <row r="13" spans="1:40" x14ac:dyDescent="0.25">
      <c r="A13" s="29">
        <v>0.08</v>
      </c>
      <c r="B13" s="14" t="s">
        <v>31</v>
      </c>
      <c r="C13" s="16">
        <v>20230809001</v>
      </c>
      <c r="D13" s="25">
        <v>502</v>
      </c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>
        <f>B21*U134/1000</f>
        <v>2.9055</v>
      </c>
      <c r="Y13" s="9">
        <f>B21*U141/1000</f>
        <v>17.33466</v>
      </c>
      <c r="Z13" s="9"/>
      <c r="AA13" s="9">
        <f>B21*U148/1000</f>
        <v>62.307329999999993</v>
      </c>
      <c r="AB13" s="9">
        <f>B21*U155/1000</f>
        <v>59.786249999999995</v>
      </c>
      <c r="AC13" s="9">
        <f>B21*U162/1000</f>
        <v>54.426719999999996</v>
      </c>
      <c r="AD13" s="9">
        <f>B21*U169/1000</f>
        <v>48.655949999999997</v>
      </c>
      <c r="AE13" s="9">
        <f>B21*U176/1000</f>
        <v>81.944039999999987</v>
      </c>
      <c r="AF13" s="9">
        <f>B21*U183/1000</f>
        <v>13.959809999999999</v>
      </c>
      <c r="AG13" s="9"/>
      <c r="AH13" s="9">
        <f>B21*U190/1000</f>
        <v>122.03993999999999</v>
      </c>
      <c r="AI13" s="9">
        <f>B21*U197/1000</f>
        <v>50.059530000000002</v>
      </c>
      <c r="AJ13" s="9">
        <f>B21*U204/1000</f>
        <v>36.555659999999996</v>
      </c>
      <c r="AK13" s="9">
        <f>B21*U211/1000</f>
        <v>39.340469999999996</v>
      </c>
      <c r="AL13" s="17">
        <f>SUM(E13:AK13)</f>
        <v>589.31585999999993</v>
      </c>
      <c r="AM13" s="11">
        <f>AL13-D13</f>
        <v>87.31585999999993</v>
      </c>
    </row>
    <row r="16" spans="1:40" x14ac:dyDescent="0.25">
      <c r="A16" s="7" t="s">
        <v>9</v>
      </c>
      <c r="B16" s="7" t="s">
        <v>23</v>
      </c>
    </row>
    <row r="17" spans="1:25" x14ac:dyDescent="0.25">
      <c r="A17" s="19">
        <v>0.127</v>
      </c>
      <c r="B17" s="6">
        <v>0.11269999999999999</v>
      </c>
    </row>
    <row r="18" spans="1:25" x14ac:dyDescent="0.25">
      <c r="A18" s="19">
        <v>0.12</v>
      </c>
      <c r="B18" s="6">
        <v>0.10059999999999999</v>
      </c>
    </row>
    <row r="19" spans="1:25" x14ac:dyDescent="0.25">
      <c r="A19" s="19">
        <v>0.2</v>
      </c>
      <c r="B19" s="6">
        <v>0.27960000000000002</v>
      </c>
    </row>
    <row r="20" spans="1:25" x14ac:dyDescent="0.25">
      <c r="A20" s="19">
        <v>0.16</v>
      </c>
      <c r="B20" s="6">
        <v>0.1789</v>
      </c>
      <c r="J20" s="1"/>
    </row>
    <row r="21" spans="1:25" x14ac:dyDescent="0.25">
      <c r="A21" s="19">
        <v>0.08</v>
      </c>
      <c r="B21" s="6">
        <v>4.4699999999999997E-2</v>
      </c>
      <c r="J21" s="1"/>
    </row>
    <row r="22" spans="1:25" x14ac:dyDescent="0.25">
      <c r="A22" s="8"/>
      <c r="B22" s="8"/>
      <c r="J22" s="1"/>
    </row>
    <row r="23" spans="1:25" x14ac:dyDescent="0.25">
      <c r="A23" s="8"/>
      <c r="B23" s="8"/>
      <c r="J23" s="1"/>
    </row>
    <row r="24" spans="1:25" x14ac:dyDescent="0.25">
      <c r="A24" s="8"/>
      <c r="B24" s="8"/>
      <c r="J24" s="1"/>
    </row>
    <row r="25" spans="1:25" ht="15" customHeight="1" x14ac:dyDescent="0.25">
      <c r="A25" s="58" t="s">
        <v>7</v>
      </c>
      <c r="B25" s="58"/>
      <c r="C25" s="58"/>
      <c r="D25" s="58"/>
      <c r="E25" s="58"/>
      <c r="F25" s="58"/>
      <c r="G25" s="58"/>
      <c r="H25" s="58"/>
      <c r="I25" s="58"/>
      <c r="J25" s="58"/>
      <c r="K25" s="58"/>
      <c r="L25" s="58"/>
      <c r="M25" s="58"/>
      <c r="N25" s="58"/>
      <c r="O25" s="58"/>
      <c r="P25" s="58"/>
      <c r="Q25" s="58"/>
      <c r="R25" s="58"/>
      <c r="S25" s="58"/>
      <c r="T25" s="58"/>
      <c r="U25" s="58"/>
      <c r="V25" s="58"/>
      <c r="W25" s="58"/>
      <c r="X25" s="58"/>
      <c r="Y25" s="58"/>
    </row>
    <row r="26" spans="1:25" ht="15" customHeight="1" x14ac:dyDescent="0.25">
      <c r="A26" s="59"/>
      <c r="B26" s="59"/>
      <c r="C26" s="59"/>
      <c r="D26" s="59"/>
      <c r="E26" s="59"/>
      <c r="F26" s="59"/>
      <c r="G26" s="59"/>
      <c r="H26" s="59"/>
      <c r="I26" s="59"/>
      <c r="J26" s="59"/>
      <c r="K26" s="59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</row>
    <row r="27" spans="1:25" x14ac:dyDescent="0.25">
      <c r="A27" s="48" t="s">
        <v>8</v>
      </c>
      <c r="B27" s="48" t="s">
        <v>11</v>
      </c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</row>
    <row r="28" spans="1:25" x14ac:dyDescent="0.25">
      <c r="A28" s="48"/>
      <c r="B28" s="49">
        <v>0.127</v>
      </c>
      <c r="C28" s="49"/>
      <c r="D28" s="49"/>
      <c r="E28" s="49">
        <v>0.12</v>
      </c>
      <c r="F28" s="49"/>
      <c r="G28" s="49"/>
      <c r="H28" s="49"/>
      <c r="I28" s="49"/>
      <c r="J28" s="49"/>
      <c r="K28" s="49">
        <v>0.2</v>
      </c>
      <c r="L28" s="49"/>
      <c r="M28" s="49"/>
      <c r="N28" s="49"/>
      <c r="O28" s="49"/>
      <c r="P28" s="49">
        <v>0.16</v>
      </c>
      <c r="Q28" s="49"/>
      <c r="R28" s="49"/>
      <c r="S28" s="49"/>
      <c r="T28" s="49"/>
      <c r="U28" s="47">
        <v>0.08</v>
      </c>
      <c r="V28" s="47"/>
      <c r="W28" s="47"/>
      <c r="X28" s="47"/>
      <c r="Y28" s="47"/>
    </row>
    <row r="29" spans="1:25" x14ac:dyDescent="0.25">
      <c r="A29" s="48"/>
      <c r="B29" s="48" t="s">
        <v>12</v>
      </c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</row>
    <row r="30" spans="1:25" ht="15" customHeight="1" x14ac:dyDescent="0.25">
      <c r="A30" s="36">
        <v>45139</v>
      </c>
      <c r="B30" s="35"/>
      <c r="C30" s="35"/>
      <c r="D30" s="35"/>
      <c r="E30" s="38" t="s">
        <v>17</v>
      </c>
      <c r="F30" s="39"/>
      <c r="G30" s="39"/>
      <c r="H30" s="39"/>
      <c r="I30" s="39"/>
      <c r="J30" s="40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</row>
    <row r="31" spans="1:25" x14ac:dyDescent="0.25">
      <c r="A31" s="37"/>
      <c r="B31" s="35"/>
      <c r="C31" s="35"/>
      <c r="D31" s="35"/>
      <c r="E31" s="41"/>
      <c r="F31" s="42"/>
      <c r="G31" s="42"/>
      <c r="H31" s="42"/>
      <c r="I31" s="42"/>
      <c r="J31" s="43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</row>
    <row r="32" spans="1:25" x14ac:dyDescent="0.25">
      <c r="A32" s="37"/>
      <c r="B32" s="35"/>
      <c r="C32" s="35"/>
      <c r="D32" s="35"/>
      <c r="E32" s="41"/>
      <c r="F32" s="42"/>
      <c r="G32" s="42"/>
      <c r="H32" s="42"/>
      <c r="I32" s="42"/>
      <c r="J32" s="43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</row>
    <row r="33" spans="1:25" x14ac:dyDescent="0.25">
      <c r="A33" s="37"/>
      <c r="B33" s="35"/>
      <c r="C33" s="35"/>
      <c r="D33" s="35"/>
      <c r="E33" s="41"/>
      <c r="F33" s="42"/>
      <c r="G33" s="42"/>
      <c r="H33" s="42"/>
      <c r="I33" s="42"/>
      <c r="J33" s="43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</row>
    <row r="34" spans="1:25" x14ac:dyDescent="0.25">
      <c r="A34" s="37"/>
      <c r="B34" s="35"/>
      <c r="C34" s="35"/>
      <c r="D34" s="35"/>
      <c r="E34" s="41"/>
      <c r="F34" s="42"/>
      <c r="G34" s="42"/>
      <c r="H34" s="42"/>
      <c r="I34" s="42"/>
      <c r="J34" s="43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</row>
    <row r="35" spans="1:25" x14ac:dyDescent="0.25">
      <c r="A35" s="37"/>
      <c r="B35" s="35"/>
      <c r="C35" s="35"/>
      <c r="D35" s="35"/>
      <c r="E35" s="44"/>
      <c r="F35" s="45"/>
      <c r="G35" s="45"/>
      <c r="H35" s="45"/>
      <c r="I35" s="45"/>
      <c r="J35" s="46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</row>
    <row r="36" spans="1:25" x14ac:dyDescent="0.25">
      <c r="A36" s="5" t="s">
        <v>10</v>
      </c>
      <c r="B36" s="30"/>
      <c r="C36" s="30"/>
      <c r="D36" s="30"/>
      <c r="E36" s="31">
        <f>SUM(150000 + 61300 + 1900 + 150000 + 150000 + 60700 + 3000 + 5800 + 2500 + 12700)</f>
        <v>597900</v>
      </c>
      <c r="F36" s="32"/>
      <c r="G36" s="32"/>
      <c r="H36" s="32"/>
      <c r="I36" s="32"/>
      <c r="J36" s="33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4"/>
      <c r="V36" s="34"/>
      <c r="W36" s="34"/>
      <c r="X36" s="34"/>
      <c r="Y36" s="34"/>
    </row>
    <row r="37" spans="1:25" ht="15" customHeight="1" x14ac:dyDescent="0.25">
      <c r="A37" s="36">
        <v>45140</v>
      </c>
      <c r="B37" s="35" t="s">
        <v>15</v>
      </c>
      <c r="C37" s="35"/>
      <c r="D37" s="35"/>
      <c r="E37" s="38" t="s">
        <v>13</v>
      </c>
      <c r="F37" s="39"/>
      <c r="G37" s="39"/>
      <c r="H37" s="39"/>
      <c r="I37" s="39"/>
      <c r="J37" s="40"/>
      <c r="K37" s="35"/>
      <c r="L37" s="35"/>
      <c r="M37" s="35"/>
      <c r="N37" s="35"/>
      <c r="O37" s="35"/>
      <c r="P37" s="35">
        <v>80900</v>
      </c>
      <c r="Q37" s="35"/>
      <c r="R37" s="35"/>
      <c r="S37" s="35"/>
      <c r="T37" s="35"/>
      <c r="U37" s="35"/>
      <c r="V37" s="35"/>
      <c r="W37" s="35"/>
      <c r="X37" s="35"/>
      <c r="Y37" s="35"/>
    </row>
    <row r="38" spans="1:25" x14ac:dyDescent="0.25">
      <c r="A38" s="37"/>
      <c r="B38" s="35"/>
      <c r="C38" s="35"/>
      <c r="D38" s="35"/>
      <c r="E38" s="41"/>
      <c r="F38" s="42"/>
      <c r="G38" s="42"/>
      <c r="H38" s="42"/>
      <c r="I38" s="42"/>
      <c r="J38" s="43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</row>
    <row r="39" spans="1:25" x14ac:dyDescent="0.25">
      <c r="A39" s="37"/>
      <c r="B39" s="35"/>
      <c r="C39" s="35"/>
      <c r="D39" s="35"/>
      <c r="E39" s="41"/>
      <c r="F39" s="42"/>
      <c r="G39" s="42"/>
      <c r="H39" s="42"/>
      <c r="I39" s="42"/>
      <c r="J39" s="43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</row>
    <row r="40" spans="1:25" x14ac:dyDescent="0.25">
      <c r="A40" s="37"/>
      <c r="B40" s="35"/>
      <c r="C40" s="35"/>
      <c r="D40" s="35"/>
      <c r="E40" s="41"/>
      <c r="F40" s="42"/>
      <c r="G40" s="42"/>
      <c r="H40" s="42"/>
      <c r="I40" s="42"/>
      <c r="J40" s="43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</row>
    <row r="41" spans="1:25" x14ac:dyDescent="0.25">
      <c r="A41" s="37"/>
      <c r="B41" s="35"/>
      <c r="C41" s="35"/>
      <c r="D41" s="35"/>
      <c r="E41" s="41"/>
      <c r="F41" s="42"/>
      <c r="G41" s="42"/>
      <c r="H41" s="42"/>
      <c r="I41" s="42"/>
      <c r="J41" s="43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</row>
    <row r="42" spans="1:25" x14ac:dyDescent="0.25">
      <c r="A42" s="37"/>
      <c r="B42" s="35"/>
      <c r="C42" s="35"/>
      <c r="D42" s="35"/>
      <c r="E42" s="44"/>
      <c r="F42" s="45"/>
      <c r="G42" s="45"/>
      <c r="H42" s="45"/>
      <c r="I42" s="45"/>
      <c r="J42" s="46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</row>
    <row r="43" spans="1:25" x14ac:dyDescent="0.25">
      <c r="A43" s="5" t="s">
        <v>10</v>
      </c>
      <c r="B43" s="30">
        <f>SUM(43400 + 74200 + 4600)</f>
        <v>122200</v>
      </c>
      <c r="C43" s="30"/>
      <c r="D43" s="30"/>
      <c r="E43" s="31">
        <f>SUM(3400 + 72300)</f>
        <v>75700</v>
      </c>
      <c r="F43" s="32"/>
      <c r="G43" s="32"/>
      <c r="H43" s="32"/>
      <c r="I43" s="32"/>
      <c r="J43" s="33"/>
      <c r="K43" s="30"/>
      <c r="L43" s="30"/>
      <c r="M43" s="30"/>
      <c r="N43" s="30"/>
      <c r="O43" s="30"/>
      <c r="P43" s="30">
        <f>SUM(80900)</f>
        <v>80900</v>
      </c>
      <c r="Q43" s="30"/>
      <c r="R43" s="30"/>
      <c r="S43" s="30"/>
      <c r="T43" s="30"/>
      <c r="U43" s="34"/>
      <c r="V43" s="34"/>
      <c r="W43" s="34"/>
      <c r="X43" s="34"/>
      <c r="Y43" s="34"/>
    </row>
    <row r="44" spans="1:25" ht="15" customHeight="1" x14ac:dyDescent="0.25">
      <c r="A44" s="36">
        <v>45141</v>
      </c>
      <c r="B44" s="35" t="s">
        <v>18</v>
      </c>
      <c r="C44" s="35"/>
      <c r="D44" s="35"/>
      <c r="E44" s="38" t="s">
        <v>14</v>
      </c>
      <c r="F44" s="39"/>
      <c r="G44" s="39"/>
      <c r="H44" s="39"/>
      <c r="I44" s="39"/>
      <c r="J44" s="40"/>
      <c r="K44" s="35"/>
      <c r="L44" s="35"/>
      <c r="M44" s="35"/>
      <c r="N44" s="35"/>
      <c r="O44" s="35"/>
      <c r="P44" s="35" t="s">
        <v>16</v>
      </c>
      <c r="Q44" s="35"/>
      <c r="R44" s="35"/>
      <c r="S44" s="35"/>
      <c r="T44" s="35"/>
      <c r="U44" s="35"/>
      <c r="V44" s="35"/>
      <c r="W44" s="35"/>
      <c r="X44" s="35"/>
      <c r="Y44" s="35"/>
    </row>
    <row r="45" spans="1:25" x14ac:dyDescent="0.25">
      <c r="A45" s="37"/>
      <c r="B45" s="35"/>
      <c r="C45" s="35"/>
      <c r="D45" s="35"/>
      <c r="E45" s="41"/>
      <c r="F45" s="42"/>
      <c r="G45" s="42"/>
      <c r="H45" s="42"/>
      <c r="I45" s="42"/>
      <c r="J45" s="43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</row>
    <row r="46" spans="1:25" x14ac:dyDescent="0.25">
      <c r="A46" s="37"/>
      <c r="B46" s="35"/>
      <c r="C46" s="35"/>
      <c r="D46" s="35"/>
      <c r="E46" s="41"/>
      <c r="F46" s="42"/>
      <c r="G46" s="42"/>
      <c r="H46" s="42"/>
      <c r="I46" s="42"/>
      <c r="J46" s="43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</row>
    <row r="47" spans="1:25" x14ac:dyDescent="0.25">
      <c r="A47" s="37"/>
      <c r="B47" s="35"/>
      <c r="C47" s="35"/>
      <c r="D47" s="35"/>
      <c r="E47" s="41"/>
      <c r="F47" s="42"/>
      <c r="G47" s="42"/>
      <c r="H47" s="42"/>
      <c r="I47" s="42"/>
      <c r="J47" s="43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</row>
    <row r="48" spans="1:25" x14ac:dyDescent="0.25">
      <c r="A48" s="37"/>
      <c r="B48" s="35"/>
      <c r="C48" s="35"/>
      <c r="D48" s="35"/>
      <c r="E48" s="41"/>
      <c r="F48" s="42"/>
      <c r="G48" s="42"/>
      <c r="H48" s="42"/>
      <c r="I48" s="42"/>
      <c r="J48" s="43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</row>
    <row r="49" spans="1:25" x14ac:dyDescent="0.25">
      <c r="A49" s="37"/>
      <c r="B49" s="35"/>
      <c r="C49" s="35"/>
      <c r="D49" s="35"/>
      <c r="E49" s="44"/>
      <c r="F49" s="45"/>
      <c r="G49" s="45"/>
      <c r="H49" s="45"/>
      <c r="I49" s="45"/>
      <c r="J49" s="46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</row>
    <row r="50" spans="1:25" x14ac:dyDescent="0.25">
      <c r="A50" s="5" t="s">
        <v>10</v>
      </c>
      <c r="B50" s="30">
        <f>SUM(46800 + 150200 + 150000 + 24900)</f>
        <v>371900</v>
      </c>
      <c r="C50" s="30"/>
      <c r="D50" s="30"/>
      <c r="E50" s="31">
        <f>SUM(150000 + 51800 + 1390)</f>
        <v>203190</v>
      </c>
      <c r="F50" s="32"/>
      <c r="G50" s="32"/>
      <c r="H50" s="32"/>
      <c r="I50" s="32"/>
      <c r="J50" s="33"/>
      <c r="K50" s="30"/>
      <c r="L50" s="30"/>
      <c r="M50" s="30"/>
      <c r="N50" s="30"/>
      <c r="O50" s="30"/>
      <c r="P50" s="30">
        <f>SUM(150000 + 150000)</f>
        <v>300000</v>
      </c>
      <c r="Q50" s="30"/>
      <c r="R50" s="30"/>
      <c r="S50" s="30"/>
      <c r="T50" s="30"/>
      <c r="U50" s="34"/>
      <c r="V50" s="34"/>
      <c r="W50" s="34"/>
      <c r="X50" s="34"/>
      <c r="Y50" s="34"/>
    </row>
    <row r="51" spans="1:25" ht="15" customHeight="1" x14ac:dyDescent="0.25">
      <c r="A51" s="36">
        <v>45142</v>
      </c>
      <c r="B51" s="35" t="s">
        <v>19</v>
      </c>
      <c r="C51" s="35"/>
      <c r="D51" s="35"/>
      <c r="E51" s="38" t="s">
        <v>24</v>
      </c>
      <c r="F51" s="39"/>
      <c r="G51" s="39"/>
      <c r="H51" s="39"/>
      <c r="I51" s="39"/>
      <c r="J51" s="40"/>
      <c r="K51" s="35"/>
      <c r="L51" s="35"/>
      <c r="M51" s="35"/>
      <c r="N51" s="35"/>
      <c r="O51" s="35"/>
      <c r="P51" s="35" t="s">
        <v>20</v>
      </c>
      <c r="Q51" s="35"/>
      <c r="R51" s="35"/>
      <c r="S51" s="35"/>
      <c r="T51" s="35"/>
      <c r="U51" s="35"/>
      <c r="V51" s="35"/>
      <c r="W51" s="35"/>
      <c r="X51" s="35"/>
      <c r="Y51" s="35"/>
    </row>
    <row r="52" spans="1:25" x14ac:dyDescent="0.25">
      <c r="A52" s="37"/>
      <c r="B52" s="35"/>
      <c r="C52" s="35"/>
      <c r="D52" s="35"/>
      <c r="E52" s="41"/>
      <c r="F52" s="42"/>
      <c r="G52" s="42"/>
      <c r="H52" s="42"/>
      <c r="I52" s="42"/>
      <c r="J52" s="43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</row>
    <row r="53" spans="1:25" x14ac:dyDescent="0.25">
      <c r="A53" s="37"/>
      <c r="B53" s="35"/>
      <c r="C53" s="35"/>
      <c r="D53" s="35"/>
      <c r="E53" s="41"/>
      <c r="F53" s="42"/>
      <c r="G53" s="42"/>
      <c r="H53" s="42"/>
      <c r="I53" s="42"/>
      <c r="J53" s="43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</row>
    <row r="54" spans="1:25" x14ac:dyDescent="0.25">
      <c r="A54" s="37"/>
      <c r="B54" s="35"/>
      <c r="C54" s="35"/>
      <c r="D54" s="35"/>
      <c r="E54" s="41"/>
      <c r="F54" s="42"/>
      <c r="G54" s="42"/>
      <c r="H54" s="42"/>
      <c r="I54" s="42"/>
      <c r="J54" s="43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</row>
    <row r="55" spans="1:25" x14ac:dyDescent="0.25">
      <c r="A55" s="37"/>
      <c r="B55" s="35"/>
      <c r="C55" s="35"/>
      <c r="D55" s="35"/>
      <c r="E55" s="41"/>
      <c r="F55" s="42"/>
      <c r="G55" s="42"/>
      <c r="H55" s="42"/>
      <c r="I55" s="42"/>
      <c r="J55" s="43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</row>
    <row r="56" spans="1:25" x14ac:dyDescent="0.25">
      <c r="A56" s="37"/>
      <c r="B56" s="35"/>
      <c r="C56" s="35"/>
      <c r="D56" s="35"/>
      <c r="E56" s="44"/>
      <c r="F56" s="45"/>
      <c r="G56" s="45"/>
      <c r="H56" s="45"/>
      <c r="I56" s="45"/>
      <c r="J56" s="46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</row>
    <row r="57" spans="1:25" x14ac:dyDescent="0.25">
      <c r="A57" s="5" t="s">
        <v>10</v>
      </c>
      <c r="B57" s="48">
        <f>SUM(9400 + 150000 + 27800 + 150000 + 150000 + 150000)</f>
        <v>637200</v>
      </c>
      <c r="C57" s="48"/>
      <c r="D57" s="48"/>
      <c r="E57" s="31">
        <f>SUM(144500 + 28700 + 4100 + 3300 + 150200 + 3400 + 68200 + 150000)</f>
        <v>552400</v>
      </c>
      <c r="F57" s="32"/>
      <c r="G57" s="32"/>
      <c r="H57" s="32"/>
      <c r="I57" s="32"/>
      <c r="J57" s="33"/>
      <c r="K57" s="30"/>
      <c r="L57" s="30"/>
      <c r="M57" s="30"/>
      <c r="N57" s="30"/>
      <c r="O57" s="30"/>
      <c r="P57" s="30">
        <f>SUM(150000 + 57800 + 150200 + 150300)</f>
        <v>508300</v>
      </c>
      <c r="Q57" s="30"/>
      <c r="R57" s="30"/>
      <c r="S57" s="30"/>
      <c r="T57" s="30"/>
      <c r="U57" s="34"/>
      <c r="V57" s="34"/>
      <c r="W57" s="34"/>
      <c r="X57" s="34"/>
      <c r="Y57" s="34"/>
    </row>
    <row r="58" spans="1:25" x14ac:dyDescent="0.25">
      <c r="A58" s="36">
        <v>45143</v>
      </c>
      <c r="B58" s="35"/>
      <c r="C58" s="35"/>
      <c r="D58" s="35"/>
      <c r="E58" s="38"/>
      <c r="F58" s="39"/>
      <c r="G58" s="39"/>
      <c r="H58" s="39"/>
      <c r="I58" s="39"/>
      <c r="J58" s="40"/>
      <c r="K58" s="35" t="s">
        <v>22</v>
      </c>
      <c r="L58" s="35"/>
      <c r="M58" s="35"/>
      <c r="N58" s="35"/>
      <c r="O58" s="35"/>
      <c r="P58" s="35" t="s">
        <v>21</v>
      </c>
      <c r="Q58" s="35"/>
      <c r="R58" s="35"/>
      <c r="S58" s="35"/>
      <c r="T58" s="35"/>
      <c r="U58" s="35"/>
      <c r="V58" s="35"/>
      <c r="W58" s="35"/>
      <c r="X58" s="35"/>
      <c r="Y58" s="35"/>
    </row>
    <row r="59" spans="1:25" x14ac:dyDescent="0.25">
      <c r="A59" s="37"/>
      <c r="B59" s="35"/>
      <c r="C59" s="35"/>
      <c r="D59" s="35"/>
      <c r="E59" s="41"/>
      <c r="F59" s="42"/>
      <c r="G59" s="42"/>
      <c r="H59" s="42"/>
      <c r="I59" s="42"/>
      <c r="J59" s="43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</row>
    <row r="60" spans="1:25" x14ac:dyDescent="0.25">
      <c r="A60" s="37"/>
      <c r="B60" s="35"/>
      <c r="C60" s="35"/>
      <c r="D60" s="35"/>
      <c r="E60" s="41"/>
      <c r="F60" s="42"/>
      <c r="G60" s="42"/>
      <c r="H60" s="42"/>
      <c r="I60" s="42"/>
      <c r="J60" s="43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</row>
    <row r="61" spans="1:25" x14ac:dyDescent="0.25">
      <c r="A61" s="37"/>
      <c r="B61" s="35"/>
      <c r="C61" s="35"/>
      <c r="D61" s="35"/>
      <c r="E61" s="41"/>
      <c r="F61" s="42"/>
      <c r="G61" s="42"/>
      <c r="H61" s="42"/>
      <c r="I61" s="42"/>
      <c r="J61" s="43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</row>
    <row r="62" spans="1:25" x14ac:dyDescent="0.25">
      <c r="A62" s="37"/>
      <c r="B62" s="35"/>
      <c r="C62" s="35"/>
      <c r="D62" s="35"/>
      <c r="E62" s="41"/>
      <c r="F62" s="42"/>
      <c r="G62" s="42"/>
      <c r="H62" s="42"/>
      <c r="I62" s="42"/>
      <c r="J62" s="43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</row>
    <row r="63" spans="1:25" x14ac:dyDescent="0.25">
      <c r="A63" s="37"/>
      <c r="B63" s="35"/>
      <c r="C63" s="35"/>
      <c r="D63" s="35"/>
      <c r="E63" s="44"/>
      <c r="F63" s="45"/>
      <c r="G63" s="45"/>
      <c r="H63" s="45"/>
      <c r="I63" s="45"/>
      <c r="J63" s="46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</row>
    <row r="64" spans="1:25" x14ac:dyDescent="0.25">
      <c r="A64" s="5" t="s">
        <v>10</v>
      </c>
      <c r="B64" s="30"/>
      <c r="C64" s="30"/>
      <c r="D64" s="30"/>
      <c r="E64" s="31"/>
      <c r="F64" s="32"/>
      <c r="G64" s="32"/>
      <c r="H64" s="32"/>
      <c r="I64" s="32"/>
      <c r="J64" s="33"/>
      <c r="K64" s="30">
        <f>SUM(6900 + 150000 + 43300 + 150000)</f>
        <v>350200</v>
      </c>
      <c r="L64" s="30"/>
      <c r="M64" s="30"/>
      <c r="N64" s="30"/>
      <c r="O64" s="30"/>
      <c r="P64" s="30">
        <f>SUM(150000 + 150000 + 123800)</f>
        <v>423800</v>
      </c>
      <c r="Q64" s="30"/>
      <c r="R64" s="30"/>
      <c r="S64" s="30"/>
      <c r="T64" s="30"/>
      <c r="U64" s="34"/>
      <c r="V64" s="34"/>
      <c r="W64" s="34"/>
      <c r="X64" s="34"/>
      <c r="Y64" s="34"/>
    </row>
    <row r="65" spans="1:25" x14ac:dyDescent="0.25">
      <c r="A65" s="36">
        <v>45145</v>
      </c>
      <c r="B65" s="35"/>
      <c r="C65" s="35"/>
      <c r="D65" s="35"/>
      <c r="E65" s="38"/>
      <c r="F65" s="39"/>
      <c r="G65" s="39"/>
      <c r="H65" s="39"/>
      <c r="I65" s="39"/>
      <c r="J65" s="40"/>
      <c r="K65" s="35" t="s">
        <v>26</v>
      </c>
      <c r="L65" s="35"/>
      <c r="M65" s="35"/>
      <c r="N65" s="35"/>
      <c r="O65" s="35"/>
      <c r="P65" s="35" t="s">
        <v>25</v>
      </c>
      <c r="Q65" s="35"/>
      <c r="R65" s="35"/>
      <c r="S65" s="35"/>
      <c r="T65" s="35"/>
      <c r="U65" s="35"/>
      <c r="V65" s="35"/>
      <c r="W65" s="35"/>
      <c r="X65" s="35"/>
      <c r="Y65" s="35"/>
    </row>
    <row r="66" spans="1:25" x14ac:dyDescent="0.25">
      <c r="A66" s="37"/>
      <c r="B66" s="35"/>
      <c r="C66" s="35"/>
      <c r="D66" s="35"/>
      <c r="E66" s="41"/>
      <c r="F66" s="42"/>
      <c r="G66" s="42"/>
      <c r="H66" s="42"/>
      <c r="I66" s="42"/>
      <c r="J66" s="43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</row>
    <row r="67" spans="1:25" x14ac:dyDescent="0.25">
      <c r="A67" s="37"/>
      <c r="B67" s="35"/>
      <c r="C67" s="35"/>
      <c r="D67" s="35"/>
      <c r="E67" s="41"/>
      <c r="F67" s="42"/>
      <c r="G67" s="42"/>
      <c r="H67" s="42"/>
      <c r="I67" s="42"/>
      <c r="J67" s="43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</row>
    <row r="68" spans="1:25" x14ac:dyDescent="0.25">
      <c r="A68" s="37"/>
      <c r="B68" s="35"/>
      <c r="C68" s="35"/>
      <c r="D68" s="35"/>
      <c r="E68" s="41"/>
      <c r="F68" s="42"/>
      <c r="G68" s="42"/>
      <c r="H68" s="42"/>
      <c r="I68" s="42"/>
      <c r="J68" s="43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</row>
    <row r="69" spans="1:25" x14ac:dyDescent="0.25">
      <c r="A69" s="37"/>
      <c r="B69" s="35"/>
      <c r="C69" s="35"/>
      <c r="D69" s="35"/>
      <c r="E69" s="41"/>
      <c r="F69" s="42"/>
      <c r="G69" s="42"/>
      <c r="H69" s="42"/>
      <c r="I69" s="42"/>
      <c r="J69" s="43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</row>
    <row r="70" spans="1:25" x14ac:dyDescent="0.25">
      <c r="A70" s="37"/>
      <c r="B70" s="35"/>
      <c r="C70" s="35"/>
      <c r="D70" s="35"/>
      <c r="E70" s="44"/>
      <c r="F70" s="45"/>
      <c r="G70" s="45"/>
      <c r="H70" s="45"/>
      <c r="I70" s="45"/>
      <c r="J70" s="46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</row>
    <row r="71" spans="1:25" x14ac:dyDescent="0.25">
      <c r="A71" s="5" t="s">
        <v>10</v>
      </c>
      <c r="B71" s="30"/>
      <c r="C71" s="30"/>
      <c r="D71" s="30"/>
      <c r="E71" s="31"/>
      <c r="F71" s="32"/>
      <c r="G71" s="32"/>
      <c r="H71" s="32"/>
      <c r="I71" s="32"/>
      <c r="J71" s="33"/>
      <c r="K71" s="30">
        <f>SUM(25000 + 150000 + 3000 + 150000 + 5700 + 150000)</f>
        <v>483700</v>
      </c>
      <c r="L71" s="30"/>
      <c r="M71" s="30"/>
      <c r="N71" s="30"/>
      <c r="O71" s="30"/>
      <c r="P71" s="30">
        <f>SUM(150000 + 150000 + 150000 + 3000 + 150000 + 150000 + 150000)</f>
        <v>903000</v>
      </c>
      <c r="Q71" s="30"/>
      <c r="R71" s="30"/>
      <c r="S71" s="30"/>
      <c r="T71" s="30"/>
      <c r="U71" s="34"/>
      <c r="V71" s="34"/>
      <c r="W71" s="34"/>
      <c r="X71" s="34"/>
      <c r="Y71" s="34"/>
    </row>
    <row r="72" spans="1:25" x14ac:dyDescent="0.25">
      <c r="A72" s="36">
        <v>45146</v>
      </c>
      <c r="B72" s="35"/>
      <c r="C72" s="35"/>
      <c r="D72" s="35"/>
      <c r="E72" s="38"/>
      <c r="F72" s="39"/>
      <c r="G72" s="39"/>
      <c r="H72" s="39"/>
      <c r="I72" s="39"/>
      <c r="J72" s="40"/>
      <c r="K72" s="35" t="s">
        <v>27</v>
      </c>
      <c r="L72" s="35"/>
      <c r="M72" s="35"/>
      <c r="N72" s="35"/>
      <c r="O72" s="35"/>
      <c r="P72" s="35" t="s">
        <v>28</v>
      </c>
      <c r="Q72" s="35"/>
      <c r="R72" s="35"/>
      <c r="S72" s="35"/>
      <c r="T72" s="35"/>
      <c r="U72" s="35"/>
      <c r="V72" s="35"/>
      <c r="W72" s="35"/>
      <c r="X72" s="35"/>
      <c r="Y72" s="35"/>
    </row>
    <row r="73" spans="1:25" x14ac:dyDescent="0.25">
      <c r="A73" s="37"/>
      <c r="B73" s="35"/>
      <c r="C73" s="35"/>
      <c r="D73" s="35"/>
      <c r="E73" s="41"/>
      <c r="F73" s="42"/>
      <c r="G73" s="42"/>
      <c r="H73" s="42"/>
      <c r="I73" s="42"/>
      <c r="J73" s="43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</row>
    <row r="74" spans="1:25" x14ac:dyDescent="0.25">
      <c r="A74" s="37"/>
      <c r="B74" s="35"/>
      <c r="C74" s="35"/>
      <c r="D74" s="35"/>
      <c r="E74" s="41"/>
      <c r="F74" s="42"/>
      <c r="G74" s="42"/>
      <c r="H74" s="42"/>
      <c r="I74" s="42"/>
      <c r="J74" s="43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</row>
    <row r="75" spans="1:25" x14ac:dyDescent="0.25">
      <c r="A75" s="37"/>
      <c r="B75" s="35"/>
      <c r="C75" s="35"/>
      <c r="D75" s="35"/>
      <c r="E75" s="41"/>
      <c r="F75" s="42"/>
      <c r="G75" s="42"/>
      <c r="H75" s="42"/>
      <c r="I75" s="42"/>
      <c r="J75" s="43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</row>
    <row r="76" spans="1:25" x14ac:dyDescent="0.25">
      <c r="A76" s="37"/>
      <c r="B76" s="35"/>
      <c r="C76" s="35"/>
      <c r="D76" s="35"/>
      <c r="E76" s="41"/>
      <c r="F76" s="42"/>
      <c r="G76" s="42"/>
      <c r="H76" s="42"/>
      <c r="I76" s="42"/>
      <c r="J76" s="43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</row>
    <row r="77" spans="1:25" x14ac:dyDescent="0.25">
      <c r="A77" s="37"/>
      <c r="B77" s="35"/>
      <c r="C77" s="35"/>
      <c r="D77" s="35"/>
      <c r="E77" s="44"/>
      <c r="F77" s="45"/>
      <c r="G77" s="45"/>
      <c r="H77" s="45"/>
      <c r="I77" s="45"/>
      <c r="J77" s="46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</row>
    <row r="78" spans="1:25" x14ac:dyDescent="0.25">
      <c r="A78" s="5" t="s">
        <v>10</v>
      </c>
      <c r="B78" s="30"/>
      <c r="C78" s="30"/>
      <c r="D78" s="30"/>
      <c r="E78" s="31"/>
      <c r="F78" s="32"/>
      <c r="G78" s="32"/>
      <c r="H78" s="32"/>
      <c r="I78" s="32"/>
      <c r="J78" s="33"/>
      <c r="K78" s="30">
        <f>SUM(150000 + 150000 + 150000 + 150000 + 150000 + 150000 + 150000)</f>
        <v>1050000</v>
      </c>
      <c r="L78" s="30"/>
      <c r="M78" s="30"/>
      <c r="N78" s="30"/>
      <c r="O78" s="30"/>
      <c r="P78" s="30">
        <f>SUM(150000 + 110500 + 150000 + 150000 + 150000 + 120200)</f>
        <v>830700</v>
      </c>
      <c r="Q78" s="30"/>
      <c r="R78" s="30"/>
      <c r="S78" s="30"/>
      <c r="T78" s="30"/>
      <c r="U78" s="34"/>
      <c r="V78" s="34"/>
      <c r="W78" s="34"/>
      <c r="X78" s="34"/>
      <c r="Y78" s="34"/>
    </row>
    <row r="79" spans="1:25" ht="15" customHeight="1" x14ac:dyDescent="0.25">
      <c r="A79" s="36">
        <v>45147</v>
      </c>
      <c r="B79" s="35">
        <v>82700</v>
      </c>
      <c r="C79" s="35"/>
      <c r="D79" s="35"/>
      <c r="E79" s="38" t="s">
        <v>35</v>
      </c>
      <c r="F79" s="39"/>
      <c r="G79" s="39"/>
      <c r="H79" s="39"/>
      <c r="I79" s="39"/>
      <c r="J79" s="40"/>
      <c r="K79" s="35" t="s">
        <v>34</v>
      </c>
      <c r="L79" s="35"/>
      <c r="M79" s="35"/>
      <c r="N79" s="35"/>
      <c r="O79" s="35"/>
      <c r="P79" s="35" t="s">
        <v>33</v>
      </c>
      <c r="Q79" s="35"/>
      <c r="R79" s="35"/>
      <c r="S79" s="35"/>
      <c r="T79" s="35"/>
      <c r="U79" s="35"/>
      <c r="V79" s="35"/>
      <c r="W79" s="35"/>
      <c r="X79" s="35"/>
      <c r="Y79" s="35"/>
    </row>
    <row r="80" spans="1:25" x14ac:dyDescent="0.25">
      <c r="A80" s="37"/>
      <c r="B80" s="35"/>
      <c r="C80" s="35"/>
      <c r="D80" s="35"/>
      <c r="E80" s="41"/>
      <c r="F80" s="42"/>
      <c r="G80" s="42"/>
      <c r="H80" s="42"/>
      <c r="I80" s="42"/>
      <c r="J80" s="43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</row>
    <row r="81" spans="1:25" x14ac:dyDescent="0.25">
      <c r="A81" s="37"/>
      <c r="B81" s="35"/>
      <c r="C81" s="35"/>
      <c r="D81" s="35"/>
      <c r="E81" s="41"/>
      <c r="F81" s="42"/>
      <c r="G81" s="42"/>
      <c r="H81" s="42"/>
      <c r="I81" s="42"/>
      <c r="J81" s="43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</row>
    <row r="82" spans="1:25" x14ac:dyDescent="0.25">
      <c r="A82" s="37"/>
      <c r="B82" s="35"/>
      <c r="C82" s="35"/>
      <c r="D82" s="35"/>
      <c r="E82" s="41"/>
      <c r="F82" s="42"/>
      <c r="G82" s="42"/>
      <c r="H82" s="42"/>
      <c r="I82" s="42"/>
      <c r="J82" s="43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</row>
    <row r="83" spans="1:25" x14ac:dyDescent="0.25">
      <c r="A83" s="37"/>
      <c r="B83" s="35"/>
      <c r="C83" s="35"/>
      <c r="D83" s="35"/>
      <c r="E83" s="41"/>
      <c r="F83" s="42"/>
      <c r="G83" s="42"/>
      <c r="H83" s="42"/>
      <c r="I83" s="42"/>
      <c r="J83" s="43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</row>
    <row r="84" spans="1:25" x14ac:dyDescent="0.25">
      <c r="A84" s="37"/>
      <c r="B84" s="35"/>
      <c r="C84" s="35"/>
      <c r="D84" s="35"/>
      <c r="E84" s="44"/>
      <c r="F84" s="45"/>
      <c r="G84" s="45"/>
      <c r="H84" s="45"/>
      <c r="I84" s="45"/>
      <c r="J84" s="46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</row>
    <row r="85" spans="1:25" x14ac:dyDescent="0.25">
      <c r="A85" s="5" t="s">
        <v>10</v>
      </c>
      <c r="B85" s="30">
        <f>SUM(82700)</f>
        <v>82700</v>
      </c>
      <c r="C85" s="30"/>
      <c r="D85" s="30"/>
      <c r="E85" s="31">
        <f>SUM(2700 + 10600 + 150000 + 150000)</f>
        <v>313300</v>
      </c>
      <c r="F85" s="32"/>
      <c r="G85" s="32"/>
      <c r="H85" s="32"/>
      <c r="I85" s="32"/>
      <c r="J85" s="33"/>
      <c r="K85" s="30">
        <f>SUM(150000 + 150000 + 51200 + 150000)</f>
        <v>501200</v>
      </c>
      <c r="L85" s="30"/>
      <c r="M85" s="30"/>
      <c r="N85" s="30"/>
      <c r="O85" s="30"/>
      <c r="P85" s="30">
        <f>SUM(10300 + 143100)</f>
        <v>153400</v>
      </c>
      <c r="Q85" s="30"/>
      <c r="R85" s="30"/>
      <c r="S85" s="30"/>
      <c r="T85" s="30"/>
      <c r="U85" s="34"/>
      <c r="V85" s="34"/>
      <c r="W85" s="34"/>
      <c r="X85" s="34"/>
      <c r="Y85" s="34"/>
    </row>
    <row r="86" spans="1:25" ht="15" customHeight="1" x14ac:dyDescent="0.25">
      <c r="A86" s="36">
        <v>45148</v>
      </c>
      <c r="B86" s="35" t="s">
        <v>37</v>
      </c>
      <c r="C86" s="35"/>
      <c r="D86" s="35"/>
      <c r="E86" s="38" t="s">
        <v>16</v>
      </c>
      <c r="F86" s="39"/>
      <c r="G86" s="39"/>
      <c r="H86" s="39"/>
      <c r="I86" s="39"/>
      <c r="J86" s="40"/>
      <c r="K86" s="35" t="s">
        <v>36</v>
      </c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</row>
    <row r="87" spans="1:25" x14ac:dyDescent="0.25">
      <c r="A87" s="37"/>
      <c r="B87" s="35"/>
      <c r="C87" s="35"/>
      <c r="D87" s="35"/>
      <c r="E87" s="41"/>
      <c r="F87" s="42"/>
      <c r="G87" s="42"/>
      <c r="H87" s="42"/>
      <c r="I87" s="42"/>
      <c r="J87" s="43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</row>
    <row r="88" spans="1:25" x14ac:dyDescent="0.25">
      <c r="A88" s="37"/>
      <c r="B88" s="35"/>
      <c r="C88" s="35"/>
      <c r="D88" s="35"/>
      <c r="E88" s="41"/>
      <c r="F88" s="42"/>
      <c r="G88" s="42"/>
      <c r="H88" s="42"/>
      <c r="I88" s="42"/>
      <c r="J88" s="43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</row>
    <row r="89" spans="1:25" x14ac:dyDescent="0.25">
      <c r="A89" s="37"/>
      <c r="B89" s="35"/>
      <c r="C89" s="35"/>
      <c r="D89" s="35"/>
      <c r="E89" s="41"/>
      <c r="F89" s="42"/>
      <c r="G89" s="42"/>
      <c r="H89" s="42"/>
      <c r="I89" s="42"/>
      <c r="J89" s="43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</row>
    <row r="90" spans="1:25" x14ac:dyDescent="0.25">
      <c r="A90" s="37"/>
      <c r="B90" s="35"/>
      <c r="C90" s="35"/>
      <c r="D90" s="35"/>
      <c r="E90" s="41"/>
      <c r="F90" s="42"/>
      <c r="G90" s="42"/>
      <c r="H90" s="42"/>
      <c r="I90" s="42"/>
      <c r="J90" s="43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</row>
    <row r="91" spans="1:25" x14ac:dyDescent="0.25">
      <c r="A91" s="37"/>
      <c r="B91" s="35"/>
      <c r="C91" s="35"/>
      <c r="D91" s="35"/>
      <c r="E91" s="44"/>
      <c r="F91" s="45"/>
      <c r="G91" s="45"/>
      <c r="H91" s="45"/>
      <c r="I91" s="45"/>
      <c r="J91" s="46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</row>
    <row r="92" spans="1:25" x14ac:dyDescent="0.25">
      <c r="A92" s="5" t="s">
        <v>10</v>
      </c>
      <c r="B92" s="30">
        <f>SUM(12000 + 150000 + 150000 + 24200)</f>
        <v>336200</v>
      </c>
      <c r="C92" s="30"/>
      <c r="D92" s="30"/>
      <c r="E92" s="31">
        <f>SUM(150000 + 150000)</f>
        <v>300000</v>
      </c>
      <c r="F92" s="32"/>
      <c r="G92" s="32"/>
      <c r="H92" s="32"/>
      <c r="I92" s="32"/>
      <c r="J92" s="33"/>
      <c r="K92" s="30">
        <f>SUM(59300 + 150000 + 150000)</f>
        <v>359300</v>
      </c>
      <c r="L92" s="30"/>
      <c r="M92" s="30"/>
      <c r="N92" s="30"/>
      <c r="O92" s="30"/>
      <c r="P92" s="30"/>
      <c r="Q92" s="30"/>
      <c r="R92" s="30"/>
      <c r="S92" s="30"/>
      <c r="T92" s="30"/>
      <c r="U92" s="34"/>
      <c r="V92" s="34"/>
      <c r="W92" s="34"/>
      <c r="X92" s="34"/>
      <c r="Y92" s="34"/>
    </row>
    <row r="93" spans="1:25" ht="15" customHeight="1" x14ac:dyDescent="0.25">
      <c r="A93" s="36">
        <v>45149</v>
      </c>
      <c r="B93" s="35" t="s">
        <v>39</v>
      </c>
      <c r="C93" s="35"/>
      <c r="D93" s="35"/>
      <c r="E93" s="38" t="s">
        <v>40</v>
      </c>
      <c r="F93" s="39"/>
      <c r="G93" s="39"/>
      <c r="H93" s="39"/>
      <c r="I93" s="39"/>
      <c r="J93" s="40"/>
      <c r="K93" s="35" t="s">
        <v>38</v>
      </c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</row>
    <row r="94" spans="1:25" x14ac:dyDescent="0.25">
      <c r="A94" s="37"/>
      <c r="B94" s="35"/>
      <c r="C94" s="35"/>
      <c r="D94" s="35"/>
      <c r="E94" s="41"/>
      <c r="F94" s="42"/>
      <c r="G94" s="42"/>
      <c r="H94" s="42"/>
      <c r="I94" s="42"/>
      <c r="J94" s="43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</row>
    <row r="95" spans="1:25" x14ac:dyDescent="0.25">
      <c r="A95" s="37"/>
      <c r="B95" s="35"/>
      <c r="C95" s="35"/>
      <c r="D95" s="35"/>
      <c r="E95" s="41"/>
      <c r="F95" s="42"/>
      <c r="G95" s="42"/>
      <c r="H95" s="42"/>
      <c r="I95" s="42"/>
      <c r="J95" s="43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</row>
    <row r="96" spans="1:25" x14ac:dyDescent="0.25">
      <c r="A96" s="37"/>
      <c r="B96" s="35"/>
      <c r="C96" s="35"/>
      <c r="D96" s="35"/>
      <c r="E96" s="41"/>
      <c r="F96" s="42"/>
      <c r="G96" s="42"/>
      <c r="H96" s="42"/>
      <c r="I96" s="42"/>
      <c r="J96" s="43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</row>
    <row r="97" spans="1:25" x14ac:dyDescent="0.25">
      <c r="A97" s="37"/>
      <c r="B97" s="35"/>
      <c r="C97" s="35"/>
      <c r="D97" s="35"/>
      <c r="E97" s="41"/>
      <c r="F97" s="42"/>
      <c r="G97" s="42"/>
      <c r="H97" s="42"/>
      <c r="I97" s="42"/>
      <c r="J97" s="43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</row>
    <row r="98" spans="1:25" x14ac:dyDescent="0.25">
      <c r="A98" s="37"/>
      <c r="B98" s="35"/>
      <c r="C98" s="35"/>
      <c r="D98" s="35"/>
      <c r="E98" s="44"/>
      <c r="F98" s="45"/>
      <c r="G98" s="45"/>
      <c r="H98" s="45"/>
      <c r="I98" s="45"/>
      <c r="J98" s="46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</row>
    <row r="99" spans="1:25" x14ac:dyDescent="0.25">
      <c r="A99" s="5" t="s">
        <v>10</v>
      </c>
      <c r="B99" s="30">
        <f>SUM(150000 + 1500 + 15000 + 150000 + 31700 + 150000 + 150000)</f>
        <v>648200</v>
      </c>
      <c r="C99" s="30"/>
      <c r="D99" s="30"/>
      <c r="E99" s="31">
        <f>SUM(141200 + 150000 + 150000)</f>
        <v>441200</v>
      </c>
      <c r="F99" s="32"/>
      <c r="G99" s="32"/>
      <c r="H99" s="32"/>
      <c r="I99" s="32"/>
      <c r="J99" s="33"/>
      <c r="K99" s="30">
        <f>SUM(150000 + 134000 + 150000 + 86800)</f>
        <v>520800</v>
      </c>
      <c r="L99" s="30"/>
      <c r="M99" s="30"/>
      <c r="N99" s="30"/>
      <c r="O99" s="30"/>
      <c r="P99" s="30"/>
      <c r="Q99" s="30"/>
      <c r="R99" s="30"/>
      <c r="S99" s="30"/>
      <c r="T99" s="30"/>
      <c r="U99" s="34"/>
      <c r="V99" s="34"/>
      <c r="W99" s="34"/>
      <c r="X99" s="34"/>
      <c r="Y99" s="34"/>
    </row>
    <row r="100" spans="1:25" ht="15" customHeight="1" x14ac:dyDescent="0.25">
      <c r="A100" s="36">
        <v>45150</v>
      </c>
      <c r="B100" s="35" t="s">
        <v>41</v>
      </c>
      <c r="C100" s="35"/>
      <c r="D100" s="35"/>
      <c r="E100" s="38" t="s">
        <v>42</v>
      </c>
      <c r="F100" s="39"/>
      <c r="G100" s="39"/>
      <c r="H100" s="39"/>
      <c r="I100" s="39"/>
      <c r="J100" s="40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</row>
    <row r="101" spans="1:25" x14ac:dyDescent="0.25">
      <c r="A101" s="37"/>
      <c r="B101" s="35"/>
      <c r="C101" s="35"/>
      <c r="D101" s="35"/>
      <c r="E101" s="41"/>
      <c r="F101" s="42"/>
      <c r="G101" s="42"/>
      <c r="H101" s="42"/>
      <c r="I101" s="42"/>
      <c r="J101" s="43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</row>
    <row r="102" spans="1:25" x14ac:dyDescent="0.25">
      <c r="A102" s="37"/>
      <c r="B102" s="35"/>
      <c r="C102" s="35"/>
      <c r="D102" s="35"/>
      <c r="E102" s="41"/>
      <c r="F102" s="42"/>
      <c r="G102" s="42"/>
      <c r="H102" s="42"/>
      <c r="I102" s="42"/>
      <c r="J102" s="43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</row>
    <row r="103" spans="1:25" x14ac:dyDescent="0.25">
      <c r="A103" s="37"/>
      <c r="B103" s="35"/>
      <c r="C103" s="35"/>
      <c r="D103" s="35"/>
      <c r="E103" s="41"/>
      <c r="F103" s="42"/>
      <c r="G103" s="42"/>
      <c r="H103" s="42"/>
      <c r="I103" s="42"/>
      <c r="J103" s="43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</row>
    <row r="104" spans="1:25" x14ac:dyDescent="0.25">
      <c r="A104" s="37"/>
      <c r="B104" s="35"/>
      <c r="C104" s="35"/>
      <c r="D104" s="35"/>
      <c r="E104" s="41"/>
      <c r="F104" s="42"/>
      <c r="G104" s="42"/>
      <c r="H104" s="42"/>
      <c r="I104" s="42"/>
      <c r="J104" s="43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</row>
    <row r="105" spans="1:25" x14ac:dyDescent="0.25">
      <c r="A105" s="37"/>
      <c r="B105" s="35"/>
      <c r="C105" s="35"/>
      <c r="D105" s="35"/>
      <c r="E105" s="44"/>
      <c r="F105" s="45"/>
      <c r="G105" s="45"/>
      <c r="H105" s="45"/>
      <c r="I105" s="45"/>
      <c r="J105" s="46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</row>
    <row r="106" spans="1:25" x14ac:dyDescent="0.25">
      <c r="A106" s="5" t="s">
        <v>10</v>
      </c>
      <c r="B106" s="30">
        <f>SUM(63900 + 150000 + 150000 + 136000)</f>
        <v>499900</v>
      </c>
      <c r="C106" s="30"/>
      <c r="D106" s="30"/>
      <c r="E106" s="31">
        <f>SUM(9300 + 150000 + 150000 + 150000)</f>
        <v>459300</v>
      </c>
      <c r="F106" s="32"/>
      <c r="G106" s="32"/>
      <c r="H106" s="32"/>
      <c r="I106" s="32"/>
      <c r="J106" s="33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4"/>
      <c r="V106" s="34"/>
      <c r="W106" s="34"/>
      <c r="X106" s="34"/>
      <c r="Y106" s="34"/>
    </row>
    <row r="107" spans="1:25" ht="15" customHeight="1" x14ac:dyDescent="0.25">
      <c r="A107" s="36">
        <v>45152</v>
      </c>
      <c r="B107" s="35" t="s">
        <v>44</v>
      </c>
      <c r="C107" s="35"/>
      <c r="D107" s="35"/>
      <c r="E107" s="38" t="s">
        <v>43</v>
      </c>
      <c r="F107" s="39"/>
      <c r="G107" s="39"/>
      <c r="H107" s="39"/>
      <c r="I107" s="39"/>
      <c r="J107" s="40"/>
      <c r="K107" s="35"/>
      <c r="L107" s="35"/>
      <c r="M107" s="35"/>
      <c r="N107" s="35"/>
      <c r="O107" s="35"/>
      <c r="P107" s="35"/>
      <c r="Q107" s="35"/>
      <c r="R107" s="35"/>
      <c r="S107" s="35"/>
      <c r="T107" s="35"/>
      <c r="U107" s="35"/>
      <c r="V107" s="35"/>
      <c r="W107" s="35"/>
      <c r="X107" s="35"/>
      <c r="Y107" s="35"/>
    </row>
    <row r="108" spans="1:25" x14ac:dyDescent="0.25">
      <c r="A108" s="37"/>
      <c r="B108" s="35"/>
      <c r="C108" s="35"/>
      <c r="D108" s="35"/>
      <c r="E108" s="41"/>
      <c r="F108" s="42"/>
      <c r="G108" s="42"/>
      <c r="H108" s="42"/>
      <c r="I108" s="42"/>
      <c r="J108" s="43"/>
      <c r="K108" s="35"/>
      <c r="L108" s="35"/>
      <c r="M108" s="35"/>
      <c r="N108" s="35"/>
      <c r="O108" s="35"/>
      <c r="P108" s="35"/>
      <c r="Q108" s="35"/>
      <c r="R108" s="35"/>
      <c r="S108" s="35"/>
      <c r="T108" s="35"/>
      <c r="U108" s="35"/>
      <c r="V108" s="35"/>
      <c r="W108" s="35"/>
      <c r="X108" s="35"/>
      <c r="Y108" s="35"/>
    </row>
    <row r="109" spans="1:25" x14ac:dyDescent="0.25">
      <c r="A109" s="37"/>
      <c r="B109" s="35"/>
      <c r="C109" s="35"/>
      <c r="D109" s="35"/>
      <c r="E109" s="41"/>
      <c r="F109" s="42"/>
      <c r="G109" s="42"/>
      <c r="H109" s="42"/>
      <c r="I109" s="42"/>
      <c r="J109" s="43"/>
      <c r="K109" s="35"/>
      <c r="L109" s="35"/>
      <c r="M109" s="35"/>
      <c r="N109" s="35"/>
      <c r="O109" s="35"/>
      <c r="P109" s="35"/>
      <c r="Q109" s="35"/>
      <c r="R109" s="35"/>
      <c r="S109" s="35"/>
      <c r="T109" s="35"/>
      <c r="U109" s="35"/>
      <c r="V109" s="35"/>
      <c r="W109" s="35"/>
      <c r="X109" s="35"/>
      <c r="Y109" s="35"/>
    </row>
    <row r="110" spans="1:25" x14ac:dyDescent="0.25">
      <c r="A110" s="37"/>
      <c r="B110" s="35"/>
      <c r="C110" s="35"/>
      <c r="D110" s="35"/>
      <c r="E110" s="41"/>
      <c r="F110" s="42"/>
      <c r="G110" s="42"/>
      <c r="H110" s="42"/>
      <c r="I110" s="42"/>
      <c r="J110" s="43"/>
      <c r="K110" s="35"/>
      <c r="L110" s="35"/>
      <c r="M110" s="35"/>
      <c r="N110" s="35"/>
      <c r="O110" s="35"/>
      <c r="P110" s="35"/>
      <c r="Q110" s="35"/>
      <c r="R110" s="35"/>
      <c r="S110" s="35"/>
      <c r="T110" s="35"/>
      <c r="U110" s="35"/>
      <c r="V110" s="35"/>
      <c r="W110" s="35"/>
      <c r="X110" s="35"/>
      <c r="Y110" s="35"/>
    </row>
    <row r="111" spans="1:25" x14ac:dyDescent="0.25">
      <c r="A111" s="37"/>
      <c r="B111" s="35"/>
      <c r="C111" s="35"/>
      <c r="D111" s="35"/>
      <c r="E111" s="41"/>
      <c r="F111" s="42"/>
      <c r="G111" s="42"/>
      <c r="H111" s="42"/>
      <c r="I111" s="42"/>
      <c r="J111" s="43"/>
      <c r="K111" s="35"/>
      <c r="L111" s="35"/>
      <c r="M111" s="35"/>
      <c r="N111" s="35"/>
      <c r="O111" s="35"/>
      <c r="P111" s="35"/>
      <c r="Q111" s="35"/>
      <c r="R111" s="35"/>
      <c r="S111" s="35"/>
      <c r="T111" s="35"/>
      <c r="U111" s="35"/>
      <c r="V111" s="35"/>
      <c r="W111" s="35"/>
      <c r="X111" s="35"/>
      <c r="Y111" s="35"/>
    </row>
    <row r="112" spans="1:25" x14ac:dyDescent="0.25">
      <c r="A112" s="37"/>
      <c r="B112" s="35"/>
      <c r="C112" s="35"/>
      <c r="D112" s="35"/>
      <c r="E112" s="44"/>
      <c r="F112" s="45"/>
      <c r="G112" s="45"/>
      <c r="H112" s="45"/>
      <c r="I112" s="45"/>
      <c r="J112" s="46"/>
      <c r="K112" s="35"/>
      <c r="L112" s="35"/>
      <c r="M112" s="35"/>
      <c r="N112" s="35"/>
      <c r="O112" s="35"/>
      <c r="P112" s="35"/>
      <c r="Q112" s="35"/>
      <c r="R112" s="35"/>
      <c r="S112" s="35"/>
      <c r="T112" s="35"/>
      <c r="U112" s="35"/>
      <c r="V112" s="35"/>
      <c r="W112" s="35"/>
      <c r="X112" s="35"/>
      <c r="Y112" s="35"/>
    </row>
    <row r="113" spans="1:25" x14ac:dyDescent="0.25">
      <c r="A113" s="10" t="s">
        <v>10</v>
      </c>
      <c r="B113" s="30">
        <f>SUM(150000 + 150000 + 150000 + 122900 + 150000 + 8000 + 150000 + 19500)</f>
        <v>900400</v>
      </c>
      <c r="C113" s="30"/>
      <c r="D113" s="30"/>
      <c r="E113" s="31">
        <f>SUM(140000 + 150000 + 20600 + 150000 + 80000 + 150000 + 150000)</f>
        <v>840600</v>
      </c>
      <c r="F113" s="32"/>
      <c r="G113" s="32"/>
      <c r="H113" s="32"/>
      <c r="I113" s="32"/>
      <c r="J113" s="33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4"/>
      <c r="V113" s="34"/>
      <c r="W113" s="34"/>
      <c r="X113" s="34"/>
      <c r="Y113" s="34"/>
    </row>
    <row r="114" spans="1:25" ht="15" customHeight="1" x14ac:dyDescent="0.25">
      <c r="A114" s="36">
        <v>45153</v>
      </c>
      <c r="B114" s="35" t="s">
        <v>45</v>
      </c>
      <c r="C114" s="35"/>
      <c r="D114" s="35"/>
      <c r="E114" s="38" t="s">
        <v>46</v>
      </c>
      <c r="F114" s="39"/>
      <c r="G114" s="39"/>
      <c r="H114" s="39"/>
      <c r="I114" s="39"/>
      <c r="J114" s="40"/>
      <c r="K114" s="35"/>
      <c r="L114" s="35"/>
      <c r="M114" s="35"/>
      <c r="N114" s="35"/>
      <c r="O114" s="35"/>
      <c r="P114" s="35"/>
      <c r="Q114" s="35"/>
      <c r="R114" s="35"/>
      <c r="S114" s="35"/>
      <c r="T114" s="35"/>
      <c r="U114" s="35"/>
      <c r="V114" s="35"/>
      <c r="W114" s="35"/>
      <c r="X114" s="35"/>
      <c r="Y114" s="35"/>
    </row>
    <row r="115" spans="1:25" x14ac:dyDescent="0.25">
      <c r="A115" s="37"/>
      <c r="B115" s="35"/>
      <c r="C115" s="35"/>
      <c r="D115" s="35"/>
      <c r="E115" s="41"/>
      <c r="F115" s="42"/>
      <c r="G115" s="42"/>
      <c r="H115" s="42"/>
      <c r="I115" s="42"/>
      <c r="J115" s="43"/>
      <c r="K115" s="35"/>
      <c r="L115" s="35"/>
      <c r="M115" s="35"/>
      <c r="N115" s="35"/>
      <c r="O115" s="35"/>
      <c r="P115" s="35"/>
      <c r="Q115" s="35"/>
      <c r="R115" s="35"/>
      <c r="S115" s="35"/>
      <c r="T115" s="35"/>
      <c r="U115" s="35"/>
      <c r="V115" s="35"/>
      <c r="W115" s="35"/>
      <c r="X115" s="35"/>
      <c r="Y115" s="35"/>
    </row>
    <row r="116" spans="1:25" x14ac:dyDescent="0.25">
      <c r="A116" s="37"/>
      <c r="B116" s="35"/>
      <c r="C116" s="35"/>
      <c r="D116" s="35"/>
      <c r="E116" s="41"/>
      <c r="F116" s="42"/>
      <c r="G116" s="42"/>
      <c r="H116" s="42"/>
      <c r="I116" s="42"/>
      <c r="J116" s="43"/>
      <c r="K116" s="35"/>
      <c r="L116" s="35"/>
      <c r="M116" s="35"/>
      <c r="N116" s="35"/>
      <c r="O116" s="35"/>
      <c r="P116" s="35"/>
      <c r="Q116" s="35"/>
      <c r="R116" s="35"/>
      <c r="S116" s="35"/>
      <c r="T116" s="35"/>
      <c r="U116" s="35"/>
      <c r="V116" s="35"/>
      <c r="W116" s="35"/>
      <c r="X116" s="35"/>
      <c r="Y116" s="35"/>
    </row>
    <row r="117" spans="1:25" x14ac:dyDescent="0.25">
      <c r="A117" s="37"/>
      <c r="B117" s="35"/>
      <c r="C117" s="35"/>
      <c r="D117" s="35"/>
      <c r="E117" s="41"/>
      <c r="F117" s="42"/>
      <c r="G117" s="42"/>
      <c r="H117" s="42"/>
      <c r="I117" s="42"/>
      <c r="J117" s="43"/>
      <c r="K117" s="35"/>
      <c r="L117" s="35"/>
      <c r="M117" s="35"/>
      <c r="N117" s="35"/>
      <c r="O117" s="35"/>
      <c r="P117" s="35"/>
      <c r="Q117" s="35"/>
      <c r="R117" s="35"/>
      <c r="S117" s="35"/>
      <c r="T117" s="35"/>
      <c r="U117" s="35"/>
      <c r="V117" s="35"/>
      <c r="W117" s="35"/>
      <c r="X117" s="35"/>
      <c r="Y117" s="35"/>
    </row>
    <row r="118" spans="1:25" x14ac:dyDescent="0.25">
      <c r="A118" s="37"/>
      <c r="B118" s="35"/>
      <c r="C118" s="35"/>
      <c r="D118" s="35"/>
      <c r="E118" s="41"/>
      <c r="F118" s="42"/>
      <c r="G118" s="42"/>
      <c r="H118" s="42"/>
      <c r="I118" s="42"/>
      <c r="J118" s="43"/>
      <c r="K118" s="35"/>
      <c r="L118" s="35"/>
      <c r="M118" s="35"/>
      <c r="N118" s="35"/>
      <c r="O118" s="35"/>
      <c r="P118" s="35"/>
      <c r="Q118" s="35"/>
      <c r="R118" s="35"/>
      <c r="S118" s="35"/>
      <c r="T118" s="35"/>
      <c r="U118" s="35"/>
      <c r="V118" s="35"/>
      <c r="W118" s="35"/>
      <c r="X118" s="35"/>
      <c r="Y118" s="35"/>
    </row>
    <row r="119" spans="1:25" x14ac:dyDescent="0.25">
      <c r="A119" s="37"/>
      <c r="B119" s="35"/>
      <c r="C119" s="35"/>
      <c r="D119" s="35"/>
      <c r="E119" s="44"/>
      <c r="F119" s="45"/>
      <c r="G119" s="45"/>
      <c r="H119" s="45"/>
      <c r="I119" s="45"/>
      <c r="J119" s="46"/>
      <c r="K119" s="35"/>
      <c r="L119" s="35"/>
      <c r="M119" s="35"/>
      <c r="N119" s="35"/>
      <c r="O119" s="35"/>
      <c r="P119" s="35"/>
      <c r="Q119" s="35"/>
      <c r="R119" s="35"/>
      <c r="S119" s="35"/>
      <c r="T119" s="35"/>
      <c r="U119" s="35"/>
      <c r="V119" s="35"/>
      <c r="W119" s="35"/>
      <c r="X119" s="35"/>
      <c r="Y119" s="35"/>
    </row>
    <row r="120" spans="1:25" x14ac:dyDescent="0.25">
      <c r="A120" s="10" t="s">
        <v>10</v>
      </c>
      <c r="B120" s="30">
        <f>SUM(31500 + 150000 + 3000 + 67200 + 150000)</f>
        <v>401700</v>
      </c>
      <c r="C120" s="30"/>
      <c r="D120" s="30"/>
      <c r="E120" s="31">
        <f>SUM(73000 + 150000 + 150000 + 150000 + 150000 + 150000)</f>
        <v>823000</v>
      </c>
      <c r="F120" s="32"/>
      <c r="G120" s="32"/>
      <c r="H120" s="32"/>
      <c r="I120" s="32"/>
      <c r="J120" s="33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4"/>
      <c r="V120" s="34"/>
      <c r="W120" s="34"/>
      <c r="X120" s="34"/>
      <c r="Y120" s="34"/>
    </row>
    <row r="121" spans="1:25" ht="15" customHeight="1" x14ac:dyDescent="0.25">
      <c r="A121" s="36">
        <v>45154</v>
      </c>
      <c r="B121" s="35"/>
      <c r="C121" s="35"/>
      <c r="D121" s="35"/>
      <c r="E121" s="38" t="s">
        <v>49</v>
      </c>
      <c r="F121" s="39"/>
      <c r="G121" s="39"/>
      <c r="H121" s="39"/>
      <c r="I121" s="39"/>
      <c r="J121" s="40"/>
      <c r="K121" s="35"/>
      <c r="L121" s="35"/>
      <c r="M121" s="35"/>
      <c r="N121" s="35"/>
      <c r="O121" s="35"/>
      <c r="P121" s="35"/>
      <c r="Q121" s="35"/>
      <c r="R121" s="35"/>
      <c r="S121" s="35"/>
      <c r="T121" s="35"/>
      <c r="U121" s="35"/>
      <c r="V121" s="35"/>
      <c r="W121" s="35"/>
      <c r="X121" s="35"/>
      <c r="Y121" s="35"/>
    </row>
    <row r="122" spans="1:25" x14ac:dyDescent="0.25">
      <c r="A122" s="37"/>
      <c r="B122" s="35"/>
      <c r="C122" s="35"/>
      <c r="D122" s="35"/>
      <c r="E122" s="41"/>
      <c r="F122" s="42"/>
      <c r="G122" s="42"/>
      <c r="H122" s="42"/>
      <c r="I122" s="42"/>
      <c r="J122" s="43"/>
      <c r="K122" s="35"/>
      <c r="L122" s="35"/>
      <c r="M122" s="35"/>
      <c r="N122" s="35"/>
      <c r="O122" s="35"/>
      <c r="P122" s="35"/>
      <c r="Q122" s="35"/>
      <c r="R122" s="35"/>
      <c r="S122" s="35"/>
      <c r="T122" s="35"/>
      <c r="U122" s="35"/>
      <c r="V122" s="35"/>
      <c r="W122" s="35"/>
      <c r="X122" s="35"/>
      <c r="Y122" s="35"/>
    </row>
    <row r="123" spans="1:25" x14ac:dyDescent="0.25">
      <c r="A123" s="37"/>
      <c r="B123" s="35"/>
      <c r="C123" s="35"/>
      <c r="D123" s="35"/>
      <c r="E123" s="41"/>
      <c r="F123" s="42"/>
      <c r="G123" s="42"/>
      <c r="H123" s="42"/>
      <c r="I123" s="42"/>
      <c r="J123" s="43"/>
      <c r="K123" s="35"/>
      <c r="L123" s="35"/>
      <c r="M123" s="35"/>
      <c r="N123" s="35"/>
      <c r="O123" s="35"/>
      <c r="P123" s="35"/>
      <c r="Q123" s="35"/>
      <c r="R123" s="35"/>
      <c r="S123" s="35"/>
      <c r="T123" s="35"/>
      <c r="U123" s="35"/>
      <c r="V123" s="35"/>
      <c r="W123" s="35"/>
      <c r="X123" s="35"/>
      <c r="Y123" s="35"/>
    </row>
    <row r="124" spans="1:25" x14ac:dyDescent="0.25">
      <c r="A124" s="37"/>
      <c r="B124" s="35"/>
      <c r="C124" s="35"/>
      <c r="D124" s="35"/>
      <c r="E124" s="41"/>
      <c r="F124" s="42"/>
      <c r="G124" s="42"/>
      <c r="H124" s="42"/>
      <c r="I124" s="42"/>
      <c r="J124" s="43"/>
      <c r="K124" s="35"/>
      <c r="L124" s="35"/>
      <c r="M124" s="35"/>
      <c r="N124" s="35"/>
      <c r="O124" s="35"/>
      <c r="P124" s="35"/>
      <c r="Q124" s="35"/>
      <c r="R124" s="35"/>
      <c r="S124" s="35"/>
      <c r="T124" s="35"/>
      <c r="U124" s="35"/>
      <c r="V124" s="35"/>
      <c r="W124" s="35"/>
      <c r="X124" s="35"/>
      <c r="Y124" s="35"/>
    </row>
    <row r="125" spans="1:25" x14ac:dyDescent="0.25">
      <c r="A125" s="37"/>
      <c r="B125" s="35"/>
      <c r="C125" s="35"/>
      <c r="D125" s="35"/>
      <c r="E125" s="41"/>
      <c r="F125" s="42"/>
      <c r="G125" s="42"/>
      <c r="H125" s="42"/>
      <c r="I125" s="42"/>
      <c r="J125" s="43"/>
      <c r="K125" s="35"/>
      <c r="L125" s="35"/>
      <c r="M125" s="35"/>
      <c r="N125" s="35"/>
      <c r="O125" s="35"/>
      <c r="P125" s="35"/>
      <c r="Q125" s="35"/>
      <c r="R125" s="35"/>
      <c r="S125" s="35"/>
      <c r="T125" s="35"/>
      <c r="U125" s="35"/>
      <c r="V125" s="35"/>
      <c r="W125" s="35"/>
      <c r="X125" s="35"/>
      <c r="Y125" s="35"/>
    </row>
    <row r="126" spans="1:25" x14ac:dyDescent="0.25">
      <c r="A126" s="37"/>
      <c r="B126" s="35"/>
      <c r="C126" s="35"/>
      <c r="D126" s="35"/>
      <c r="E126" s="44"/>
      <c r="F126" s="45"/>
      <c r="G126" s="45"/>
      <c r="H126" s="45"/>
      <c r="I126" s="45"/>
      <c r="J126" s="46"/>
      <c r="K126" s="35"/>
      <c r="L126" s="35"/>
      <c r="M126" s="35"/>
      <c r="N126" s="35"/>
      <c r="O126" s="35"/>
      <c r="P126" s="35"/>
      <c r="Q126" s="35"/>
      <c r="R126" s="35"/>
      <c r="S126" s="35"/>
      <c r="T126" s="35"/>
      <c r="U126" s="35"/>
      <c r="V126" s="35"/>
      <c r="W126" s="35"/>
      <c r="X126" s="35"/>
      <c r="Y126" s="35"/>
    </row>
    <row r="127" spans="1:25" x14ac:dyDescent="0.25">
      <c r="A127" s="10" t="s">
        <v>10</v>
      </c>
      <c r="B127" s="30"/>
      <c r="C127" s="30"/>
      <c r="D127" s="30"/>
      <c r="E127" s="31">
        <f>SUM(150000 + 150000 + 150000 + 150000 + 150000 + 150000)</f>
        <v>900000</v>
      </c>
      <c r="F127" s="32"/>
      <c r="G127" s="32"/>
      <c r="H127" s="32"/>
      <c r="I127" s="32"/>
      <c r="J127" s="33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4"/>
      <c r="V127" s="34"/>
      <c r="W127" s="34"/>
      <c r="X127" s="34"/>
      <c r="Y127" s="34"/>
    </row>
    <row r="128" spans="1:25" ht="15" customHeight="1" x14ac:dyDescent="0.25">
      <c r="A128" s="36">
        <v>45156</v>
      </c>
      <c r="B128" s="35">
        <v>88900</v>
      </c>
      <c r="C128" s="35"/>
      <c r="D128" s="35"/>
      <c r="E128" s="38" t="s">
        <v>50</v>
      </c>
      <c r="F128" s="39"/>
      <c r="G128" s="39"/>
      <c r="H128" s="39"/>
      <c r="I128" s="39"/>
      <c r="J128" s="40"/>
      <c r="K128" s="35">
        <v>9900</v>
      </c>
      <c r="L128" s="35"/>
      <c r="M128" s="35"/>
      <c r="N128" s="35"/>
      <c r="O128" s="35"/>
      <c r="P128" s="35" t="s">
        <v>51</v>
      </c>
      <c r="Q128" s="35"/>
      <c r="R128" s="35"/>
      <c r="S128" s="35"/>
      <c r="T128" s="35"/>
      <c r="U128" s="35">
        <v>65000</v>
      </c>
      <c r="V128" s="35"/>
      <c r="W128" s="35"/>
      <c r="X128" s="35"/>
      <c r="Y128" s="35"/>
    </row>
    <row r="129" spans="1:25" x14ac:dyDescent="0.25">
      <c r="A129" s="37"/>
      <c r="B129" s="35"/>
      <c r="C129" s="35"/>
      <c r="D129" s="35"/>
      <c r="E129" s="41"/>
      <c r="F129" s="42"/>
      <c r="G129" s="42"/>
      <c r="H129" s="42"/>
      <c r="I129" s="42"/>
      <c r="J129" s="43"/>
      <c r="K129" s="35"/>
      <c r="L129" s="35"/>
      <c r="M129" s="35"/>
      <c r="N129" s="35"/>
      <c r="O129" s="35"/>
      <c r="P129" s="35"/>
      <c r="Q129" s="35"/>
      <c r="R129" s="35"/>
      <c r="S129" s="35"/>
      <c r="T129" s="35"/>
      <c r="U129" s="35"/>
      <c r="V129" s="35"/>
      <c r="W129" s="35"/>
      <c r="X129" s="35"/>
      <c r="Y129" s="35"/>
    </row>
    <row r="130" spans="1:25" x14ac:dyDescent="0.25">
      <c r="A130" s="37"/>
      <c r="B130" s="35"/>
      <c r="C130" s="35"/>
      <c r="D130" s="35"/>
      <c r="E130" s="41"/>
      <c r="F130" s="42"/>
      <c r="G130" s="42"/>
      <c r="H130" s="42"/>
      <c r="I130" s="42"/>
      <c r="J130" s="43"/>
      <c r="K130" s="35"/>
      <c r="L130" s="35"/>
      <c r="M130" s="35"/>
      <c r="N130" s="35"/>
      <c r="O130" s="35"/>
      <c r="P130" s="35"/>
      <c r="Q130" s="35"/>
      <c r="R130" s="35"/>
      <c r="S130" s="35"/>
      <c r="T130" s="35"/>
      <c r="U130" s="35"/>
      <c r="V130" s="35"/>
      <c r="W130" s="35"/>
      <c r="X130" s="35"/>
      <c r="Y130" s="35"/>
    </row>
    <row r="131" spans="1:25" x14ac:dyDescent="0.25">
      <c r="A131" s="37"/>
      <c r="B131" s="35"/>
      <c r="C131" s="35"/>
      <c r="D131" s="35"/>
      <c r="E131" s="41"/>
      <c r="F131" s="42"/>
      <c r="G131" s="42"/>
      <c r="H131" s="42"/>
      <c r="I131" s="42"/>
      <c r="J131" s="43"/>
      <c r="K131" s="35"/>
      <c r="L131" s="35"/>
      <c r="M131" s="35"/>
      <c r="N131" s="35"/>
      <c r="O131" s="35"/>
      <c r="P131" s="35"/>
      <c r="Q131" s="35"/>
      <c r="R131" s="35"/>
      <c r="S131" s="35"/>
      <c r="T131" s="35"/>
      <c r="U131" s="35"/>
      <c r="V131" s="35"/>
      <c r="W131" s="35"/>
      <c r="X131" s="35"/>
      <c r="Y131" s="35"/>
    </row>
    <row r="132" spans="1:25" x14ac:dyDescent="0.25">
      <c r="A132" s="37"/>
      <c r="B132" s="35"/>
      <c r="C132" s="35"/>
      <c r="D132" s="35"/>
      <c r="E132" s="41"/>
      <c r="F132" s="42"/>
      <c r="G132" s="42"/>
      <c r="H132" s="42"/>
      <c r="I132" s="42"/>
      <c r="J132" s="43"/>
      <c r="K132" s="35"/>
      <c r="L132" s="35"/>
      <c r="M132" s="35"/>
      <c r="N132" s="35"/>
      <c r="O132" s="35"/>
      <c r="P132" s="35"/>
      <c r="Q132" s="35"/>
      <c r="R132" s="35"/>
      <c r="S132" s="35"/>
      <c r="T132" s="35"/>
      <c r="U132" s="35"/>
      <c r="V132" s="35"/>
      <c r="W132" s="35"/>
      <c r="X132" s="35"/>
      <c r="Y132" s="35"/>
    </row>
    <row r="133" spans="1:25" x14ac:dyDescent="0.25">
      <c r="A133" s="37"/>
      <c r="B133" s="35"/>
      <c r="C133" s="35"/>
      <c r="D133" s="35"/>
      <c r="E133" s="44"/>
      <c r="F133" s="45"/>
      <c r="G133" s="45"/>
      <c r="H133" s="45"/>
      <c r="I133" s="45"/>
      <c r="J133" s="46"/>
      <c r="K133" s="35"/>
      <c r="L133" s="35"/>
      <c r="M133" s="35"/>
      <c r="N133" s="35"/>
      <c r="O133" s="35"/>
      <c r="P133" s="35"/>
      <c r="Q133" s="35"/>
      <c r="R133" s="35"/>
      <c r="S133" s="35"/>
      <c r="T133" s="35"/>
      <c r="U133" s="35"/>
      <c r="V133" s="35"/>
      <c r="W133" s="35"/>
      <c r="X133" s="35"/>
      <c r="Y133" s="35"/>
    </row>
    <row r="134" spans="1:25" x14ac:dyDescent="0.25">
      <c r="A134" s="10" t="s">
        <v>10</v>
      </c>
      <c r="B134" s="30">
        <f>SUM(88900)</f>
        <v>88900</v>
      </c>
      <c r="C134" s="30"/>
      <c r="D134" s="30"/>
      <c r="E134" s="31">
        <f>SUM(115800 + 150000 + 31000 + 150000)</f>
        <v>446800</v>
      </c>
      <c r="F134" s="32"/>
      <c r="G134" s="32"/>
      <c r="H134" s="32"/>
      <c r="I134" s="32"/>
      <c r="J134" s="33"/>
      <c r="K134" s="30">
        <f>SUM(9900)</f>
        <v>9900</v>
      </c>
      <c r="L134" s="30"/>
      <c r="M134" s="30"/>
      <c r="N134" s="30"/>
      <c r="O134" s="30"/>
      <c r="P134" s="30">
        <f>SUM(75900 + 150000)</f>
        <v>225900</v>
      </c>
      <c r="Q134" s="30"/>
      <c r="R134" s="30"/>
      <c r="S134" s="30"/>
      <c r="T134" s="30"/>
      <c r="U134" s="34">
        <v>65000</v>
      </c>
      <c r="V134" s="34"/>
      <c r="W134" s="34"/>
      <c r="X134" s="34"/>
      <c r="Y134" s="34"/>
    </row>
    <row r="135" spans="1:25" ht="15" customHeight="1" x14ac:dyDescent="0.25">
      <c r="A135" s="36">
        <v>45157</v>
      </c>
      <c r="B135" s="35" t="s">
        <v>53</v>
      </c>
      <c r="C135" s="35"/>
      <c r="D135" s="35"/>
      <c r="E135" s="38" t="s">
        <v>16</v>
      </c>
      <c r="F135" s="39"/>
      <c r="G135" s="39"/>
      <c r="H135" s="39"/>
      <c r="I135" s="39"/>
      <c r="J135" s="40"/>
      <c r="K135" s="35"/>
      <c r="L135" s="35"/>
      <c r="M135" s="35"/>
      <c r="N135" s="35"/>
      <c r="O135" s="35"/>
      <c r="P135" s="35">
        <v>150000</v>
      </c>
      <c r="Q135" s="35"/>
      <c r="R135" s="35"/>
      <c r="S135" s="35"/>
      <c r="T135" s="35"/>
      <c r="U135" s="35" t="s">
        <v>52</v>
      </c>
      <c r="V135" s="35"/>
      <c r="W135" s="35"/>
      <c r="X135" s="35"/>
      <c r="Y135" s="35"/>
    </row>
    <row r="136" spans="1:25" x14ac:dyDescent="0.25">
      <c r="A136" s="37"/>
      <c r="B136" s="35"/>
      <c r="C136" s="35"/>
      <c r="D136" s="35"/>
      <c r="E136" s="41"/>
      <c r="F136" s="42"/>
      <c r="G136" s="42"/>
      <c r="H136" s="42"/>
      <c r="I136" s="42"/>
      <c r="J136" s="43"/>
      <c r="K136" s="35"/>
      <c r="L136" s="35"/>
      <c r="M136" s="35"/>
      <c r="N136" s="35"/>
      <c r="O136" s="35"/>
      <c r="P136" s="35"/>
      <c r="Q136" s="35"/>
      <c r="R136" s="35"/>
      <c r="S136" s="35"/>
      <c r="T136" s="35"/>
      <c r="U136" s="35"/>
      <c r="V136" s="35"/>
      <c r="W136" s="35"/>
      <c r="X136" s="35"/>
      <c r="Y136" s="35"/>
    </row>
    <row r="137" spans="1:25" x14ac:dyDescent="0.25">
      <c r="A137" s="37"/>
      <c r="B137" s="35"/>
      <c r="C137" s="35"/>
      <c r="D137" s="35"/>
      <c r="E137" s="41"/>
      <c r="F137" s="42"/>
      <c r="G137" s="42"/>
      <c r="H137" s="42"/>
      <c r="I137" s="42"/>
      <c r="J137" s="43"/>
      <c r="K137" s="35"/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5"/>
      <c r="X137" s="35"/>
      <c r="Y137" s="35"/>
    </row>
    <row r="138" spans="1:25" x14ac:dyDescent="0.25">
      <c r="A138" s="37"/>
      <c r="B138" s="35"/>
      <c r="C138" s="35"/>
      <c r="D138" s="35"/>
      <c r="E138" s="41"/>
      <c r="F138" s="42"/>
      <c r="G138" s="42"/>
      <c r="H138" s="42"/>
      <c r="I138" s="42"/>
      <c r="J138" s="43"/>
      <c r="K138" s="35"/>
      <c r="L138" s="35"/>
      <c r="M138" s="35"/>
      <c r="N138" s="35"/>
      <c r="O138" s="35"/>
      <c r="P138" s="35"/>
      <c r="Q138" s="35"/>
      <c r="R138" s="35"/>
      <c r="S138" s="35"/>
      <c r="T138" s="35"/>
      <c r="U138" s="35"/>
      <c r="V138" s="35"/>
      <c r="W138" s="35"/>
      <c r="X138" s="35"/>
      <c r="Y138" s="35"/>
    </row>
    <row r="139" spans="1:25" x14ac:dyDescent="0.25">
      <c r="A139" s="37"/>
      <c r="B139" s="35"/>
      <c r="C139" s="35"/>
      <c r="D139" s="35"/>
      <c r="E139" s="41"/>
      <c r="F139" s="42"/>
      <c r="G139" s="42"/>
      <c r="H139" s="42"/>
      <c r="I139" s="42"/>
      <c r="J139" s="43"/>
      <c r="K139" s="35"/>
      <c r="L139" s="35"/>
      <c r="M139" s="35"/>
      <c r="N139" s="35"/>
      <c r="O139" s="35"/>
      <c r="P139" s="35"/>
      <c r="Q139" s="35"/>
      <c r="R139" s="35"/>
      <c r="S139" s="35"/>
      <c r="T139" s="35"/>
      <c r="U139" s="35"/>
      <c r="V139" s="35"/>
      <c r="W139" s="35"/>
      <c r="X139" s="35"/>
      <c r="Y139" s="35"/>
    </row>
    <row r="140" spans="1:25" x14ac:dyDescent="0.25">
      <c r="A140" s="37"/>
      <c r="B140" s="35"/>
      <c r="C140" s="35"/>
      <c r="D140" s="35"/>
      <c r="E140" s="44"/>
      <c r="F140" s="45"/>
      <c r="G140" s="45"/>
      <c r="H140" s="45"/>
      <c r="I140" s="45"/>
      <c r="J140" s="46"/>
      <c r="K140" s="35"/>
      <c r="L140" s="35"/>
      <c r="M140" s="35"/>
      <c r="N140" s="35"/>
      <c r="O140" s="35"/>
      <c r="P140" s="35"/>
      <c r="Q140" s="35"/>
      <c r="R140" s="35"/>
      <c r="S140" s="35"/>
      <c r="T140" s="35"/>
      <c r="U140" s="35"/>
      <c r="V140" s="35"/>
      <c r="W140" s="35"/>
      <c r="X140" s="35"/>
      <c r="Y140" s="35"/>
    </row>
    <row r="141" spans="1:25" x14ac:dyDescent="0.25">
      <c r="A141" s="10" t="s">
        <v>10</v>
      </c>
      <c r="B141" s="30">
        <f>112800 + 59500</f>
        <v>172300</v>
      </c>
      <c r="C141" s="30"/>
      <c r="D141" s="30"/>
      <c r="E141" s="31">
        <f>150000 + 150000</f>
        <v>300000</v>
      </c>
      <c r="F141" s="32"/>
      <c r="G141" s="32"/>
      <c r="H141" s="32"/>
      <c r="I141" s="32"/>
      <c r="J141" s="33"/>
      <c r="K141" s="30"/>
      <c r="L141" s="30"/>
      <c r="M141" s="30"/>
      <c r="N141" s="30"/>
      <c r="O141" s="30"/>
      <c r="P141" s="30">
        <f>150000</f>
        <v>150000</v>
      </c>
      <c r="Q141" s="30"/>
      <c r="R141" s="30"/>
      <c r="S141" s="30"/>
      <c r="T141" s="30"/>
      <c r="U141" s="34">
        <f>134200 + 253600</f>
        <v>387800</v>
      </c>
      <c r="V141" s="34"/>
      <c r="W141" s="34"/>
      <c r="X141" s="34"/>
      <c r="Y141" s="34"/>
    </row>
    <row r="142" spans="1:25" ht="15" customHeight="1" x14ac:dyDescent="0.25">
      <c r="A142" s="36">
        <v>45159</v>
      </c>
      <c r="B142" s="35" t="s">
        <v>54</v>
      </c>
      <c r="C142" s="35"/>
      <c r="D142" s="35"/>
      <c r="E142" s="38" t="s">
        <v>55</v>
      </c>
      <c r="F142" s="39"/>
      <c r="G142" s="39"/>
      <c r="H142" s="39"/>
      <c r="I142" s="39"/>
      <c r="J142" s="40"/>
      <c r="K142" s="35"/>
      <c r="L142" s="35"/>
      <c r="M142" s="35"/>
      <c r="N142" s="35"/>
      <c r="O142" s="35"/>
      <c r="P142" s="35">
        <v>27700</v>
      </c>
      <c r="Q142" s="35"/>
      <c r="R142" s="35"/>
      <c r="S142" s="35"/>
      <c r="T142" s="35"/>
      <c r="U142" s="35" t="s">
        <v>56</v>
      </c>
      <c r="V142" s="35"/>
      <c r="W142" s="35"/>
      <c r="X142" s="35"/>
      <c r="Y142" s="35"/>
    </row>
    <row r="143" spans="1:25" x14ac:dyDescent="0.25">
      <c r="A143" s="37"/>
      <c r="B143" s="35"/>
      <c r="C143" s="35"/>
      <c r="D143" s="35"/>
      <c r="E143" s="41"/>
      <c r="F143" s="42"/>
      <c r="G143" s="42"/>
      <c r="H143" s="42"/>
      <c r="I143" s="42"/>
      <c r="J143" s="43"/>
      <c r="K143" s="35"/>
      <c r="L143" s="35"/>
      <c r="M143" s="35"/>
      <c r="N143" s="35"/>
      <c r="O143" s="35"/>
      <c r="P143" s="35"/>
      <c r="Q143" s="35"/>
      <c r="R143" s="35"/>
      <c r="S143" s="35"/>
      <c r="T143" s="35"/>
      <c r="U143" s="35"/>
      <c r="V143" s="35"/>
      <c r="W143" s="35"/>
      <c r="X143" s="35"/>
      <c r="Y143" s="35"/>
    </row>
    <row r="144" spans="1:25" x14ac:dyDescent="0.25">
      <c r="A144" s="37"/>
      <c r="B144" s="35"/>
      <c r="C144" s="35"/>
      <c r="D144" s="35"/>
      <c r="E144" s="41"/>
      <c r="F144" s="42"/>
      <c r="G144" s="42"/>
      <c r="H144" s="42"/>
      <c r="I144" s="42"/>
      <c r="J144" s="43"/>
      <c r="K144" s="35"/>
      <c r="L144" s="35"/>
      <c r="M144" s="35"/>
      <c r="N144" s="35"/>
      <c r="O144" s="35"/>
      <c r="P144" s="35"/>
      <c r="Q144" s="35"/>
      <c r="R144" s="35"/>
      <c r="S144" s="35"/>
      <c r="T144" s="35"/>
      <c r="U144" s="35"/>
      <c r="V144" s="35"/>
      <c r="W144" s="35"/>
      <c r="X144" s="35"/>
      <c r="Y144" s="35"/>
    </row>
    <row r="145" spans="1:25" x14ac:dyDescent="0.25">
      <c r="A145" s="37"/>
      <c r="B145" s="35"/>
      <c r="C145" s="35"/>
      <c r="D145" s="35"/>
      <c r="E145" s="41"/>
      <c r="F145" s="42"/>
      <c r="G145" s="42"/>
      <c r="H145" s="42"/>
      <c r="I145" s="42"/>
      <c r="J145" s="43"/>
      <c r="K145" s="35"/>
      <c r="L145" s="35"/>
      <c r="M145" s="35"/>
      <c r="N145" s="35"/>
      <c r="O145" s="35"/>
      <c r="P145" s="35"/>
      <c r="Q145" s="35"/>
      <c r="R145" s="35"/>
      <c r="S145" s="35"/>
      <c r="T145" s="35"/>
      <c r="U145" s="35"/>
      <c r="V145" s="35"/>
      <c r="W145" s="35"/>
      <c r="X145" s="35"/>
      <c r="Y145" s="35"/>
    </row>
    <row r="146" spans="1:25" x14ac:dyDescent="0.25">
      <c r="A146" s="37"/>
      <c r="B146" s="35"/>
      <c r="C146" s="35"/>
      <c r="D146" s="35"/>
      <c r="E146" s="41"/>
      <c r="F146" s="42"/>
      <c r="G146" s="42"/>
      <c r="H146" s="42"/>
      <c r="I146" s="42"/>
      <c r="J146" s="43"/>
      <c r="K146" s="35"/>
      <c r="L146" s="35"/>
      <c r="M146" s="35"/>
      <c r="N146" s="35"/>
      <c r="O146" s="35"/>
      <c r="P146" s="35"/>
      <c r="Q146" s="35"/>
      <c r="R146" s="35"/>
      <c r="S146" s="35"/>
      <c r="T146" s="35"/>
      <c r="U146" s="35"/>
      <c r="V146" s="35"/>
      <c r="W146" s="35"/>
      <c r="X146" s="35"/>
      <c r="Y146" s="35"/>
    </row>
    <row r="147" spans="1:25" x14ac:dyDescent="0.25">
      <c r="A147" s="37"/>
      <c r="B147" s="35"/>
      <c r="C147" s="35"/>
      <c r="D147" s="35"/>
      <c r="E147" s="44"/>
      <c r="F147" s="45"/>
      <c r="G147" s="45"/>
      <c r="H147" s="45"/>
      <c r="I147" s="45"/>
      <c r="J147" s="46"/>
      <c r="K147" s="35"/>
      <c r="L147" s="35"/>
      <c r="M147" s="35"/>
      <c r="N147" s="35"/>
      <c r="O147" s="35"/>
      <c r="P147" s="35"/>
      <c r="Q147" s="35"/>
      <c r="R147" s="35"/>
      <c r="S147" s="35"/>
      <c r="T147" s="35"/>
      <c r="U147" s="35"/>
      <c r="V147" s="35"/>
      <c r="W147" s="35"/>
      <c r="X147" s="35"/>
      <c r="Y147" s="35"/>
    </row>
    <row r="148" spans="1:25" x14ac:dyDescent="0.25">
      <c r="A148" s="10" t="s">
        <v>10</v>
      </c>
      <c r="B148" s="30">
        <f>150000 + 150000 + 150000 + 84000 + 150000</f>
        <v>684000</v>
      </c>
      <c r="C148" s="30"/>
      <c r="D148" s="30"/>
      <c r="E148" s="31">
        <f>150000 + 150000 + 23800 + 12200</f>
        <v>336000</v>
      </c>
      <c r="F148" s="32"/>
      <c r="G148" s="32"/>
      <c r="H148" s="32"/>
      <c r="I148" s="32"/>
      <c r="J148" s="33"/>
      <c r="K148" s="30"/>
      <c r="L148" s="30"/>
      <c r="M148" s="30"/>
      <c r="N148" s="30"/>
      <c r="O148" s="30"/>
      <c r="P148" s="30">
        <f>27700</f>
        <v>27700</v>
      </c>
      <c r="Q148" s="30"/>
      <c r="R148" s="30"/>
      <c r="S148" s="30"/>
      <c r="T148" s="30"/>
      <c r="U148" s="34">
        <f>172300 + 21600 + 600000 + 600000</f>
        <v>1393900</v>
      </c>
      <c r="V148" s="34"/>
      <c r="W148" s="34"/>
      <c r="X148" s="34"/>
      <c r="Y148" s="34"/>
    </row>
    <row r="149" spans="1:25" ht="15" customHeight="1" x14ac:dyDescent="0.25">
      <c r="A149" s="36">
        <v>45160</v>
      </c>
      <c r="B149" s="35" t="s">
        <v>61</v>
      </c>
      <c r="C149" s="35"/>
      <c r="D149" s="35"/>
      <c r="E149" s="38" t="s">
        <v>63</v>
      </c>
      <c r="F149" s="39"/>
      <c r="G149" s="39"/>
      <c r="H149" s="39"/>
      <c r="I149" s="39"/>
      <c r="J149" s="40"/>
      <c r="K149" s="35"/>
      <c r="L149" s="35"/>
      <c r="M149" s="35"/>
      <c r="N149" s="35"/>
      <c r="O149" s="35"/>
      <c r="P149" s="35"/>
      <c r="Q149" s="35"/>
      <c r="R149" s="35"/>
      <c r="S149" s="35"/>
      <c r="T149" s="35"/>
      <c r="U149" s="35" t="s">
        <v>62</v>
      </c>
      <c r="V149" s="35"/>
      <c r="W149" s="35"/>
      <c r="X149" s="35"/>
      <c r="Y149" s="35"/>
    </row>
    <row r="150" spans="1:25" x14ac:dyDescent="0.25">
      <c r="A150" s="37"/>
      <c r="B150" s="35"/>
      <c r="C150" s="35"/>
      <c r="D150" s="35"/>
      <c r="E150" s="41"/>
      <c r="F150" s="42"/>
      <c r="G150" s="42"/>
      <c r="H150" s="42"/>
      <c r="I150" s="42"/>
      <c r="J150" s="43"/>
      <c r="K150" s="35"/>
      <c r="L150" s="35"/>
      <c r="M150" s="35"/>
      <c r="N150" s="35"/>
      <c r="O150" s="35"/>
      <c r="P150" s="35"/>
      <c r="Q150" s="35"/>
      <c r="R150" s="35"/>
      <c r="S150" s="35"/>
      <c r="T150" s="35"/>
      <c r="U150" s="35"/>
      <c r="V150" s="35"/>
      <c r="W150" s="35"/>
      <c r="X150" s="35"/>
      <c r="Y150" s="35"/>
    </row>
    <row r="151" spans="1:25" x14ac:dyDescent="0.25">
      <c r="A151" s="37"/>
      <c r="B151" s="35"/>
      <c r="C151" s="35"/>
      <c r="D151" s="35"/>
      <c r="E151" s="41"/>
      <c r="F151" s="42"/>
      <c r="G151" s="42"/>
      <c r="H151" s="42"/>
      <c r="I151" s="42"/>
      <c r="J151" s="43"/>
      <c r="K151" s="35"/>
      <c r="L151" s="35"/>
      <c r="M151" s="35"/>
      <c r="N151" s="35"/>
      <c r="O151" s="35"/>
      <c r="P151" s="35"/>
      <c r="Q151" s="35"/>
      <c r="R151" s="35"/>
      <c r="S151" s="35"/>
      <c r="T151" s="35"/>
      <c r="U151" s="35"/>
      <c r="V151" s="35"/>
      <c r="W151" s="35"/>
      <c r="X151" s="35"/>
      <c r="Y151" s="35"/>
    </row>
    <row r="152" spans="1:25" x14ac:dyDescent="0.25">
      <c r="A152" s="37"/>
      <c r="B152" s="35"/>
      <c r="C152" s="35"/>
      <c r="D152" s="35"/>
      <c r="E152" s="41"/>
      <c r="F152" s="42"/>
      <c r="G152" s="42"/>
      <c r="H152" s="42"/>
      <c r="I152" s="42"/>
      <c r="J152" s="43"/>
      <c r="K152" s="35"/>
      <c r="L152" s="35"/>
      <c r="M152" s="35"/>
      <c r="N152" s="35"/>
      <c r="O152" s="35"/>
      <c r="P152" s="35"/>
      <c r="Q152" s="35"/>
      <c r="R152" s="35"/>
      <c r="S152" s="35"/>
      <c r="T152" s="35"/>
      <c r="U152" s="35"/>
      <c r="V152" s="35"/>
      <c r="W152" s="35"/>
      <c r="X152" s="35"/>
      <c r="Y152" s="35"/>
    </row>
    <row r="153" spans="1:25" x14ac:dyDescent="0.25">
      <c r="A153" s="37"/>
      <c r="B153" s="35"/>
      <c r="C153" s="35"/>
      <c r="D153" s="35"/>
      <c r="E153" s="41"/>
      <c r="F153" s="42"/>
      <c r="G153" s="42"/>
      <c r="H153" s="42"/>
      <c r="I153" s="42"/>
      <c r="J153" s="43"/>
      <c r="K153" s="35"/>
      <c r="L153" s="35"/>
      <c r="M153" s="35"/>
      <c r="N153" s="35"/>
      <c r="O153" s="35"/>
      <c r="P153" s="35"/>
      <c r="Q153" s="35"/>
      <c r="R153" s="35"/>
      <c r="S153" s="35"/>
      <c r="T153" s="35"/>
      <c r="U153" s="35"/>
      <c r="V153" s="35"/>
      <c r="W153" s="35"/>
      <c r="X153" s="35"/>
      <c r="Y153" s="35"/>
    </row>
    <row r="154" spans="1:25" x14ac:dyDescent="0.25">
      <c r="A154" s="37"/>
      <c r="B154" s="35"/>
      <c r="C154" s="35"/>
      <c r="D154" s="35"/>
      <c r="E154" s="44"/>
      <c r="F154" s="45"/>
      <c r="G154" s="45"/>
      <c r="H154" s="45"/>
      <c r="I154" s="45"/>
      <c r="J154" s="46"/>
      <c r="K154" s="35"/>
      <c r="L154" s="35"/>
      <c r="M154" s="35"/>
      <c r="N154" s="35"/>
      <c r="O154" s="35"/>
      <c r="P154" s="35"/>
      <c r="Q154" s="35"/>
      <c r="R154" s="35"/>
      <c r="S154" s="35"/>
      <c r="T154" s="35"/>
      <c r="U154" s="35"/>
      <c r="V154" s="35"/>
      <c r="W154" s="35"/>
      <c r="X154" s="35"/>
      <c r="Y154" s="35"/>
    </row>
    <row r="155" spans="1:25" x14ac:dyDescent="0.25">
      <c r="A155" s="10" t="s">
        <v>10</v>
      </c>
      <c r="B155" s="30">
        <f>150000 + 39800 + 100000 + 150000</f>
        <v>439800</v>
      </c>
      <c r="C155" s="30"/>
      <c r="D155" s="30"/>
      <c r="E155" s="31">
        <f>150000 + 85400 + 150000 + 150000 + 104000</f>
        <v>639400</v>
      </c>
      <c r="F155" s="32"/>
      <c r="G155" s="32"/>
      <c r="H155" s="32"/>
      <c r="I155" s="32"/>
      <c r="J155" s="33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4">
        <f>174600 + 331900 + 600000 + 231000</f>
        <v>1337500</v>
      </c>
      <c r="V155" s="34"/>
      <c r="W155" s="34"/>
      <c r="X155" s="34"/>
      <c r="Y155" s="34"/>
    </row>
    <row r="156" spans="1:25" ht="15" customHeight="1" x14ac:dyDescent="0.25">
      <c r="A156" s="36">
        <v>45161</v>
      </c>
      <c r="B156" s="35" t="s">
        <v>58</v>
      </c>
      <c r="C156" s="35"/>
      <c r="D156" s="35"/>
      <c r="E156" s="38" t="s">
        <v>59</v>
      </c>
      <c r="F156" s="39"/>
      <c r="G156" s="39"/>
      <c r="H156" s="39"/>
      <c r="I156" s="39"/>
      <c r="J156" s="40"/>
      <c r="K156" s="35"/>
      <c r="L156" s="35"/>
      <c r="M156" s="35"/>
      <c r="N156" s="35"/>
      <c r="O156" s="35"/>
      <c r="P156" s="35" t="s">
        <v>60</v>
      </c>
      <c r="Q156" s="35"/>
      <c r="R156" s="35"/>
      <c r="S156" s="35"/>
      <c r="T156" s="35"/>
      <c r="U156" s="35" t="s">
        <v>57</v>
      </c>
      <c r="V156" s="35"/>
      <c r="W156" s="35"/>
      <c r="X156" s="35"/>
      <c r="Y156" s="35"/>
    </row>
    <row r="157" spans="1:25" x14ac:dyDescent="0.25">
      <c r="A157" s="37"/>
      <c r="B157" s="35"/>
      <c r="C157" s="35"/>
      <c r="D157" s="35"/>
      <c r="E157" s="41"/>
      <c r="F157" s="42"/>
      <c r="G157" s="42"/>
      <c r="H157" s="42"/>
      <c r="I157" s="42"/>
      <c r="J157" s="43"/>
      <c r="K157" s="35"/>
      <c r="L157" s="35"/>
      <c r="M157" s="35"/>
      <c r="N157" s="35"/>
      <c r="O157" s="35"/>
      <c r="P157" s="35"/>
      <c r="Q157" s="35"/>
      <c r="R157" s="35"/>
      <c r="S157" s="35"/>
      <c r="T157" s="35"/>
      <c r="U157" s="35"/>
      <c r="V157" s="35"/>
      <c r="W157" s="35"/>
      <c r="X157" s="35"/>
      <c r="Y157" s="35"/>
    </row>
    <row r="158" spans="1:25" x14ac:dyDescent="0.25">
      <c r="A158" s="37"/>
      <c r="B158" s="35"/>
      <c r="C158" s="35"/>
      <c r="D158" s="35"/>
      <c r="E158" s="41"/>
      <c r="F158" s="42"/>
      <c r="G158" s="42"/>
      <c r="H158" s="42"/>
      <c r="I158" s="42"/>
      <c r="J158" s="43"/>
      <c r="K158" s="35"/>
      <c r="L158" s="35"/>
      <c r="M158" s="35"/>
      <c r="N158" s="35"/>
      <c r="O158" s="35"/>
      <c r="P158" s="35"/>
      <c r="Q158" s="35"/>
      <c r="R158" s="35"/>
      <c r="S158" s="35"/>
      <c r="T158" s="35"/>
      <c r="U158" s="35"/>
      <c r="V158" s="35"/>
      <c r="W158" s="35"/>
      <c r="X158" s="35"/>
      <c r="Y158" s="35"/>
    </row>
    <row r="159" spans="1:25" x14ac:dyDescent="0.25">
      <c r="A159" s="37"/>
      <c r="B159" s="35"/>
      <c r="C159" s="35"/>
      <c r="D159" s="35"/>
      <c r="E159" s="41"/>
      <c r="F159" s="42"/>
      <c r="G159" s="42"/>
      <c r="H159" s="42"/>
      <c r="I159" s="42"/>
      <c r="J159" s="43"/>
      <c r="K159" s="35"/>
      <c r="L159" s="35"/>
      <c r="M159" s="35"/>
      <c r="N159" s="35"/>
      <c r="O159" s="35"/>
      <c r="P159" s="35"/>
      <c r="Q159" s="35"/>
      <c r="R159" s="35"/>
      <c r="S159" s="35"/>
      <c r="T159" s="35"/>
      <c r="U159" s="35"/>
      <c r="V159" s="35"/>
      <c r="W159" s="35"/>
      <c r="X159" s="35"/>
      <c r="Y159" s="35"/>
    </row>
    <row r="160" spans="1:25" x14ac:dyDescent="0.25">
      <c r="A160" s="37"/>
      <c r="B160" s="35"/>
      <c r="C160" s="35"/>
      <c r="D160" s="35"/>
      <c r="E160" s="41"/>
      <c r="F160" s="42"/>
      <c r="G160" s="42"/>
      <c r="H160" s="42"/>
      <c r="I160" s="42"/>
      <c r="J160" s="43"/>
      <c r="K160" s="35"/>
      <c r="L160" s="35"/>
      <c r="M160" s="35"/>
      <c r="N160" s="35"/>
      <c r="O160" s="35"/>
      <c r="P160" s="35"/>
      <c r="Q160" s="35"/>
      <c r="R160" s="35"/>
      <c r="S160" s="35"/>
      <c r="T160" s="35"/>
      <c r="U160" s="35"/>
      <c r="V160" s="35"/>
      <c r="W160" s="35"/>
      <c r="X160" s="35"/>
      <c r="Y160" s="35"/>
    </row>
    <row r="161" spans="1:25" x14ac:dyDescent="0.25">
      <c r="A161" s="37"/>
      <c r="B161" s="35"/>
      <c r="C161" s="35"/>
      <c r="D161" s="35"/>
      <c r="E161" s="44"/>
      <c r="F161" s="45"/>
      <c r="G161" s="45"/>
      <c r="H161" s="45"/>
      <c r="I161" s="45"/>
      <c r="J161" s="46"/>
      <c r="K161" s="35"/>
      <c r="L161" s="35"/>
      <c r="M161" s="35"/>
      <c r="N161" s="35"/>
      <c r="O161" s="35"/>
      <c r="P161" s="35"/>
      <c r="Q161" s="35"/>
      <c r="R161" s="35"/>
      <c r="S161" s="35"/>
      <c r="T161" s="35"/>
      <c r="U161" s="35"/>
      <c r="V161" s="35"/>
      <c r="W161" s="35"/>
      <c r="X161" s="35"/>
      <c r="Y161" s="35"/>
    </row>
    <row r="162" spans="1:25" x14ac:dyDescent="0.25">
      <c r="A162" s="10" t="s">
        <v>10</v>
      </c>
      <c r="B162" s="30">
        <f>8900 + 50200 + 35000 + 28000 + 25000 + 58000</f>
        <v>205100</v>
      </c>
      <c r="C162" s="30"/>
      <c r="D162" s="30"/>
      <c r="E162" s="31">
        <f>150000 + 150000 + 109000</f>
        <v>409000</v>
      </c>
      <c r="F162" s="32"/>
      <c r="G162" s="32"/>
      <c r="H162" s="32"/>
      <c r="I162" s="32"/>
      <c r="J162" s="33"/>
      <c r="K162" s="30"/>
      <c r="L162" s="30"/>
      <c r="M162" s="30"/>
      <c r="N162" s="30"/>
      <c r="O162" s="30"/>
      <c r="P162" s="30">
        <f>150000 + 113700 + 150000</f>
        <v>413700</v>
      </c>
      <c r="Q162" s="30"/>
      <c r="R162" s="30"/>
      <c r="S162" s="30"/>
      <c r="T162" s="30"/>
      <c r="U162" s="34">
        <f>47800 + 162300 + 146000 + 591000 + 29000 + 241500</f>
        <v>1217600</v>
      </c>
      <c r="V162" s="34"/>
      <c r="W162" s="34"/>
      <c r="X162" s="34"/>
      <c r="Y162" s="34"/>
    </row>
    <row r="163" spans="1:25" ht="15" customHeight="1" x14ac:dyDescent="0.25">
      <c r="A163" s="36">
        <v>45162</v>
      </c>
      <c r="B163" s="35" t="s">
        <v>64</v>
      </c>
      <c r="C163" s="35"/>
      <c r="D163" s="35"/>
      <c r="E163" s="38" t="s">
        <v>65</v>
      </c>
      <c r="F163" s="39"/>
      <c r="G163" s="39"/>
      <c r="H163" s="39"/>
      <c r="I163" s="39"/>
      <c r="J163" s="40"/>
      <c r="K163" s="35"/>
      <c r="L163" s="35"/>
      <c r="M163" s="35"/>
      <c r="N163" s="35"/>
      <c r="O163" s="35"/>
      <c r="P163" s="35">
        <v>130600</v>
      </c>
      <c r="Q163" s="35"/>
      <c r="R163" s="35"/>
      <c r="S163" s="35"/>
      <c r="T163" s="35"/>
      <c r="U163" s="35" t="s">
        <v>66</v>
      </c>
      <c r="V163" s="35"/>
      <c r="W163" s="35"/>
      <c r="X163" s="35"/>
      <c r="Y163" s="35"/>
    </row>
    <row r="164" spans="1:25" x14ac:dyDescent="0.25">
      <c r="A164" s="37"/>
      <c r="B164" s="35"/>
      <c r="C164" s="35"/>
      <c r="D164" s="35"/>
      <c r="E164" s="41"/>
      <c r="F164" s="42"/>
      <c r="G164" s="42"/>
      <c r="H164" s="42"/>
      <c r="I164" s="42"/>
      <c r="J164" s="43"/>
      <c r="K164" s="35"/>
      <c r="L164" s="35"/>
      <c r="M164" s="35"/>
      <c r="N164" s="35"/>
      <c r="O164" s="35"/>
      <c r="P164" s="35"/>
      <c r="Q164" s="35"/>
      <c r="R164" s="35"/>
      <c r="S164" s="35"/>
      <c r="T164" s="35"/>
      <c r="U164" s="35"/>
      <c r="V164" s="35"/>
      <c r="W164" s="35"/>
      <c r="X164" s="35"/>
      <c r="Y164" s="35"/>
    </row>
    <row r="165" spans="1:25" x14ac:dyDescent="0.25">
      <c r="A165" s="37"/>
      <c r="B165" s="35"/>
      <c r="C165" s="35"/>
      <c r="D165" s="35"/>
      <c r="E165" s="41"/>
      <c r="F165" s="42"/>
      <c r="G165" s="42"/>
      <c r="H165" s="42"/>
      <c r="I165" s="42"/>
      <c r="J165" s="43"/>
      <c r="K165" s="35"/>
      <c r="L165" s="35"/>
      <c r="M165" s="35"/>
      <c r="N165" s="35"/>
      <c r="O165" s="35"/>
      <c r="P165" s="35"/>
      <c r="Q165" s="35"/>
      <c r="R165" s="35"/>
      <c r="S165" s="35"/>
      <c r="T165" s="35"/>
      <c r="U165" s="35"/>
      <c r="V165" s="35"/>
      <c r="W165" s="35"/>
      <c r="X165" s="35"/>
      <c r="Y165" s="35"/>
    </row>
    <row r="166" spans="1:25" x14ac:dyDescent="0.25">
      <c r="A166" s="37"/>
      <c r="B166" s="35"/>
      <c r="C166" s="35"/>
      <c r="D166" s="35"/>
      <c r="E166" s="41"/>
      <c r="F166" s="42"/>
      <c r="G166" s="42"/>
      <c r="H166" s="42"/>
      <c r="I166" s="42"/>
      <c r="J166" s="43"/>
      <c r="K166" s="35"/>
      <c r="L166" s="35"/>
      <c r="M166" s="35"/>
      <c r="N166" s="35"/>
      <c r="O166" s="35"/>
      <c r="P166" s="35"/>
      <c r="Q166" s="35"/>
      <c r="R166" s="35"/>
      <c r="S166" s="35"/>
      <c r="T166" s="35"/>
      <c r="U166" s="35"/>
      <c r="V166" s="35"/>
      <c r="W166" s="35"/>
      <c r="X166" s="35"/>
      <c r="Y166" s="35"/>
    </row>
    <row r="167" spans="1:25" x14ac:dyDescent="0.25">
      <c r="A167" s="37"/>
      <c r="B167" s="35"/>
      <c r="C167" s="35"/>
      <c r="D167" s="35"/>
      <c r="E167" s="41"/>
      <c r="F167" s="42"/>
      <c r="G167" s="42"/>
      <c r="H167" s="42"/>
      <c r="I167" s="42"/>
      <c r="J167" s="43"/>
      <c r="K167" s="35"/>
      <c r="L167" s="35"/>
      <c r="M167" s="35"/>
      <c r="N167" s="35"/>
      <c r="O167" s="35"/>
      <c r="P167" s="35"/>
      <c r="Q167" s="35"/>
      <c r="R167" s="35"/>
      <c r="S167" s="35"/>
      <c r="T167" s="35"/>
      <c r="U167" s="35"/>
      <c r="V167" s="35"/>
      <c r="W167" s="35"/>
      <c r="X167" s="35"/>
      <c r="Y167" s="35"/>
    </row>
    <row r="168" spans="1:25" x14ac:dyDescent="0.25">
      <c r="A168" s="37"/>
      <c r="B168" s="35"/>
      <c r="C168" s="35"/>
      <c r="D168" s="35"/>
      <c r="E168" s="44"/>
      <c r="F168" s="45"/>
      <c r="G168" s="45"/>
      <c r="H168" s="45"/>
      <c r="I168" s="45"/>
      <c r="J168" s="46"/>
      <c r="K168" s="35"/>
      <c r="L168" s="35"/>
      <c r="M168" s="35"/>
      <c r="N168" s="35"/>
      <c r="O168" s="35"/>
      <c r="P168" s="35"/>
      <c r="Q168" s="35"/>
      <c r="R168" s="35"/>
      <c r="S168" s="35"/>
      <c r="T168" s="35"/>
      <c r="U168" s="35"/>
      <c r="V168" s="35"/>
      <c r="W168" s="35"/>
      <c r="X168" s="35"/>
      <c r="Y168" s="35"/>
    </row>
    <row r="169" spans="1:25" x14ac:dyDescent="0.25">
      <c r="A169" s="10" t="s">
        <v>10</v>
      </c>
      <c r="B169" s="30">
        <f>82000 + 18300 + 150000 + 38600</f>
        <v>288900</v>
      </c>
      <c r="C169" s="30"/>
      <c r="D169" s="30"/>
      <c r="E169" s="31">
        <f>103100 + 150000 + 150000</f>
        <v>403100</v>
      </c>
      <c r="F169" s="32"/>
      <c r="G169" s="32"/>
      <c r="H169" s="32"/>
      <c r="I169" s="32"/>
      <c r="J169" s="33"/>
      <c r="K169" s="30"/>
      <c r="L169" s="30"/>
      <c r="M169" s="30"/>
      <c r="N169" s="30"/>
      <c r="O169" s="30"/>
      <c r="P169" s="30">
        <f>130600</f>
        <v>130600</v>
      </c>
      <c r="Q169" s="30"/>
      <c r="R169" s="30"/>
      <c r="S169" s="30"/>
      <c r="T169" s="30"/>
      <c r="U169" s="34">
        <f>62300 + 22900 + 10000 + 295500 + 97800 + 600000</f>
        <v>1088500</v>
      </c>
      <c r="V169" s="34"/>
      <c r="W169" s="34"/>
      <c r="X169" s="34"/>
      <c r="Y169" s="34"/>
    </row>
    <row r="170" spans="1:25" ht="15" customHeight="1" x14ac:dyDescent="0.25">
      <c r="A170" s="36">
        <v>45163</v>
      </c>
      <c r="B170" s="35" t="s">
        <v>68</v>
      </c>
      <c r="C170" s="35"/>
      <c r="D170" s="35"/>
      <c r="E170" s="38">
        <v>39500</v>
      </c>
      <c r="F170" s="39"/>
      <c r="G170" s="39"/>
      <c r="H170" s="39"/>
      <c r="I170" s="39"/>
      <c r="J170" s="40"/>
      <c r="K170" s="35">
        <v>32900</v>
      </c>
      <c r="L170" s="35"/>
      <c r="M170" s="35"/>
      <c r="N170" s="35"/>
      <c r="O170" s="35"/>
      <c r="P170" s="35"/>
      <c r="Q170" s="35"/>
      <c r="R170" s="35"/>
      <c r="S170" s="35"/>
      <c r="T170" s="35"/>
      <c r="U170" s="35" t="s">
        <v>67</v>
      </c>
      <c r="V170" s="35"/>
      <c r="W170" s="35"/>
      <c r="X170" s="35"/>
      <c r="Y170" s="35"/>
    </row>
    <row r="171" spans="1:25" x14ac:dyDescent="0.25">
      <c r="A171" s="37"/>
      <c r="B171" s="35"/>
      <c r="C171" s="35"/>
      <c r="D171" s="35"/>
      <c r="E171" s="41"/>
      <c r="F171" s="42"/>
      <c r="G171" s="42"/>
      <c r="H171" s="42"/>
      <c r="I171" s="42"/>
      <c r="J171" s="43"/>
      <c r="K171" s="35"/>
      <c r="L171" s="35"/>
      <c r="M171" s="35"/>
      <c r="N171" s="35"/>
      <c r="O171" s="35"/>
      <c r="P171" s="35"/>
      <c r="Q171" s="35"/>
      <c r="R171" s="35"/>
      <c r="S171" s="35"/>
      <c r="T171" s="35"/>
      <c r="U171" s="35"/>
      <c r="V171" s="35"/>
      <c r="W171" s="35"/>
      <c r="X171" s="35"/>
      <c r="Y171" s="35"/>
    </row>
    <row r="172" spans="1:25" x14ac:dyDescent="0.25">
      <c r="A172" s="37"/>
      <c r="B172" s="35"/>
      <c r="C172" s="35"/>
      <c r="D172" s="35"/>
      <c r="E172" s="41"/>
      <c r="F172" s="42"/>
      <c r="G172" s="42"/>
      <c r="H172" s="42"/>
      <c r="I172" s="42"/>
      <c r="J172" s="43"/>
      <c r="K172" s="35"/>
      <c r="L172" s="35"/>
      <c r="M172" s="35"/>
      <c r="N172" s="35"/>
      <c r="O172" s="35"/>
      <c r="P172" s="35"/>
      <c r="Q172" s="35"/>
      <c r="R172" s="35"/>
      <c r="S172" s="35"/>
      <c r="T172" s="35"/>
      <c r="U172" s="35"/>
      <c r="V172" s="35"/>
      <c r="W172" s="35"/>
      <c r="X172" s="35"/>
      <c r="Y172" s="35"/>
    </row>
    <row r="173" spans="1:25" x14ac:dyDescent="0.25">
      <c r="A173" s="37"/>
      <c r="B173" s="35"/>
      <c r="C173" s="35"/>
      <c r="D173" s="35"/>
      <c r="E173" s="41"/>
      <c r="F173" s="42"/>
      <c r="G173" s="42"/>
      <c r="H173" s="42"/>
      <c r="I173" s="42"/>
      <c r="J173" s="43"/>
      <c r="K173" s="35"/>
      <c r="L173" s="35"/>
      <c r="M173" s="35"/>
      <c r="N173" s="35"/>
      <c r="O173" s="35"/>
      <c r="P173" s="35"/>
      <c r="Q173" s="35"/>
      <c r="R173" s="35"/>
      <c r="S173" s="35"/>
      <c r="T173" s="35"/>
      <c r="U173" s="35"/>
      <c r="V173" s="35"/>
      <c r="W173" s="35"/>
      <c r="X173" s="35"/>
      <c r="Y173" s="35"/>
    </row>
    <row r="174" spans="1:25" x14ac:dyDescent="0.25">
      <c r="A174" s="37"/>
      <c r="B174" s="35"/>
      <c r="C174" s="35"/>
      <c r="D174" s="35"/>
      <c r="E174" s="41"/>
      <c r="F174" s="42"/>
      <c r="G174" s="42"/>
      <c r="H174" s="42"/>
      <c r="I174" s="42"/>
      <c r="J174" s="43"/>
      <c r="K174" s="35"/>
      <c r="L174" s="35"/>
      <c r="M174" s="35"/>
      <c r="N174" s="35"/>
      <c r="O174" s="35"/>
      <c r="P174" s="35"/>
      <c r="Q174" s="35"/>
      <c r="R174" s="35"/>
      <c r="S174" s="35"/>
      <c r="T174" s="35"/>
      <c r="U174" s="35"/>
      <c r="V174" s="35"/>
      <c r="W174" s="35"/>
      <c r="X174" s="35"/>
      <c r="Y174" s="35"/>
    </row>
    <row r="175" spans="1:25" x14ac:dyDescent="0.25">
      <c r="A175" s="37"/>
      <c r="B175" s="35"/>
      <c r="C175" s="35"/>
      <c r="D175" s="35"/>
      <c r="E175" s="44"/>
      <c r="F175" s="45"/>
      <c r="G175" s="45"/>
      <c r="H175" s="45"/>
      <c r="I175" s="45"/>
      <c r="J175" s="46"/>
      <c r="K175" s="35"/>
      <c r="L175" s="35"/>
      <c r="M175" s="35"/>
      <c r="N175" s="35"/>
      <c r="O175" s="35"/>
      <c r="P175" s="35"/>
      <c r="Q175" s="35"/>
      <c r="R175" s="35"/>
      <c r="S175" s="35"/>
      <c r="T175" s="35"/>
      <c r="U175" s="35"/>
      <c r="V175" s="35"/>
      <c r="W175" s="35"/>
      <c r="X175" s="35"/>
      <c r="Y175" s="35"/>
    </row>
    <row r="176" spans="1:25" x14ac:dyDescent="0.25">
      <c r="A176" s="10" t="s">
        <v>10</v>
      </c>
      <c r="B176" s="30">
        <f>150000 + 8000</f>
        <v>158000</v>
      </c>
      <c r="C176" s="30"/>
      <c r="D176" s="30"/>
      <c r="E176" s="31">
        <f>39500</f>
        <v>39500</v>
      </c>
      <c r="F176" s="32"/>
      <c r="G176" s="32"/>
      <c r="H176" s="32"/>
      <c r="I176" s="32"/>
      <c r="J176" s="33"/>
      <c r="K176" s="30">
        <f>32900</f>
        <v>32900</v>
      </c>
      <c r="L176" s="30"/>
      <c r="M176" s="30"/>
      <c r="N176" s="30"/>
      <c r="O176" s="30"/>
      <c r="P176" s="30"/>
      <c r="Q176" s="30"/>
      <c r="R176" s="30"/>
      <c r="S176" s="30"/>
      <c r="T176" s="30"/>
      <c r="U176" s="34">
        <f>390000 + 243200 + 600000 + 600000</f>
        <v>1833200</v>
      </c>
      <c r="V176" s="34"/>
      <c r="W176" s="34"/>
      <c r="X176" s="34"/>
      <c r="Y176" s="34"/>
    </row>
    <row r="177" spans="1:25" ht="15" customHeight="1" x14ac:dyDescent="0.25">
      <c r="A177" s="36">
        <v>45164</v>
      </c>
      <c r="B177" s="35"/>
      <c r="C177" s="35"/>
      <c r="D177" s="35"/>
      <c r="E177" s="38"/>
      <c r="F177" s="39"/>
      <c r="G177" s="39"/>
      <c r="H177" s="39"/>
      <c r="I177" s="39"/>
      <c r="J177" s="40"/>
      <c r="K177" s="35"/>
      <c r="L177" s="35"/>
      <c r="M177" s="35"/>
      <c r="N177" s="35"/>
      <c r="O177" s="35"/>
      <c r="P177" s="35"/>
      <c r="Q177" s="35"/>
      <c r="R177" s="35"/>
      <c r="S177" s="35"/>
      <c r="T177" s="35"/>
      <c r="U177" s="35">
        <v>312300</v>
      </c>
      <c r="V177" s="35"/>
      <c r="W177" s="35"/>
      <c r="X177" s="35"/>
      <c r="Y177" s="35"/>
    </row>
    <row r="178" spans="1:25" x14ac:dyDescent="0.25">
      <c r="A178" s="37"/>
      <c r="B178" s="35"/>
      <c r="C178" s="35"/>
      <c r="D178" s="35"/>
      <c r="E178" s="41"/>
      <c r="F178" s="42"/>
      <c r="G178" s="42"/>
      <c r="H178" s="42"/>
      <c r="I178" s="42"/>
      <c r="J178" s="43"/>
      <c r="K178" s="35"/>
      <c r="L178" s="35"/>
      <c r="M178" s="35"/>
      <c r="N178" s="35"/>
      <c r="O178" s="35"/>
      <c r="P178" s="35"/>
      <c r="Q178" s="35"/>
      <c r="R178" s="35"/>
      <c r="S178" s="35"/>
      <c r="T178" s="35"/>
      <c r="U178" s="35"/>
      <c r="V178" s="35"/>
      <c r="W178" s="35"/>
      <c r="X178" s="35"/>
      <c r="Y178" s="35"/>
    </row>
    <row r="179" spans="1:25" x14ac:dyDescent="0.25">
      <c r="A179" s="37"/>
      <c r="B179" s="35"/>
      <c r="C179" s="35"/>
      <c r="D179" s="35"/>
      <c r="E179" s="41"/>
      <c r="F179" s="42"/>
      <c r="G179" s="42"/>
      <c r="H179" s="42"/>
      <c r="I179" s="42"/>
      <c r="J179" s="43"/>
      <c r="K179" s="35"/>
      <c r="L179" s="35"/>
      <c r="M179" s="35"/>
      <c r="N179" s="35"/>
      <c r="O179" s="35"/>
      <c r="P179" s="35"/>
      <c r="Q179" s="35"/>
      <c r="R179" s="35"/>
      <c r="S179" s="35"/>
      <c r="T179" s="35"/>
      <c r="U179" s="35"/>
      <c r="V179" s="35"/>
      <c r="W179" s="35"/>
      <c r="X179" s="35"/>
      <c r="Y179" s="35"/>
    </row>
    <row r="180" spans="1:25" x14ac:dyDescent="0.25">
      <c r="A180" s="37"/>
      <c r="B180" s="35"/>
      <c r="C180" s="35"/>
      <c r="D180" s="35"/>
      <c r="E180" s="41"/>
      <c r="F180" s="42"/>
      <c r="G180" s="42"/>
      <c r="H180" s="42"/>
      <c r="I180" s="42"/>
      <c r="J180" s="43"/>
      <c r="K180" s="35"/>
      <c r="L180" s="35"/>
      <c r="M180" s="35"/>
      <c r="N180" s="35"/>
      <c r="O180" s="35"/>
      <c r="P180" s="35"/>
      <c r="Q180" s="35"/>
      <c r="R180" s="35"/>
      <c r="S180" s="35"/>
      <c r="T180" s="35"/>
      <c r="U180" s="35"/>
      <c r="V180" s="35"/>
      <c r="W180" s="35"/>
      <c r="X180" s="35"/>
      <c r="Y180" s="35"/>
    </row>
    <row r="181" spans="1:25" x14ac:dyDescent="0.25">
      <c r="A181" s="37"/>
      <c r="B181" s="35"/>
      <c r="C181" s="35"/>
      <c r="D181" s="35"/>
      <c r="E181" s="41"/>
      <c r="F181" s="42"/>
      <c r="G181" s="42"/>
      <c r="H181" s="42"/>
      <c r="I181" s="42"/>
      <c r="J181" s="43"/>
      <c r="K181" s="35"/>
      <c r="L181" s="35"/>
      <c r="M181" s="35"/>
      <c r="N181" s="35"/>
      <c r="O181" s="35"/>
      <c r="P181" s="35"/>
      <c r="Q181" s="35"/>
      <c r="R181" s="35"/>
      <c r="S181" s="35"/>
      <c r="T181" s="35"/>
      <c r="U181" s="35"/>
      <c r="V181" s="35"/>
      <c r="W181" s="35"/>
      <c r="X181" s="35"/>
      <c r="Y181" s="35"/>
    </row>
    <row r="182" spans="1:25" x14ac:dyDescent="0.25">
      <c r="A182" s="37"/>
      <c r="B182" s="35"/>
      <c r="C182" s="35"/>
      <c r="D182" s="35"/>
      <c r="E182" s="44"/>
      <c r="F182" s="45"/>
      <c r="G182" s="45"/>
      <c r="H182" s="45"/>
      <c r="I182" s="45"/>
      <c r="J182" s="46"/>
      <c r="K182" s="35"/>
      <c r="L182" s="35"/>
      <c r="M182" s="35"/>
      <c r="N182" s="35"/>
      <c r="O182" s="35"/>
      <c r="P182" s="35"/>
      <c r="Q182" s="35"/>
      <c r="R182" s="35"/>
      <c r="S182" s="35"/>
      <c r="T182" s="35"/>
      <c r="U182" s="35"/>
      <c r="V182" s="35"/>
      <c r="W182" s="35"/>
      <c r="X182" s="35"/>
      <c r="Y182" s="35"/>
    </row>
    <row r="183" spans="1:25" x14ac:dyDescent="0.25">
      <c r="A183" s="10" t="s">
        <v>10</v>
      </c>
      <c r="B183" s="30"/>
      <c r="C183" s="30"/>
      <c r="D183" s="30"/>
      <c r="E183" s="31"/>
      <c r="F183" s="32"/>
      <c r="G183" s="32"/>
      <c r="H183" s="32"/>
      <c r="I183" s="32"/>
      <c r="J183" s="33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4">
        <f>312300</f>
        <v>312300</v>
      </c>
      <c r="V183" s="34"/>
      <c r="W183" s="34"/>
      <c r="X183" s="34"/>
      <c r="Y183" s="34"/>
    </row>
    <row r="184" spans="1:25" ht="15" customHeight="1" x14ac:dyDescent="0.25">
      <c r="A184" s="36">
        <v>45166</v>
      </c>
      <c r="B184" s="35"/>
      <c r="C184" s="35"/>
      <c r="D184" s="35"/>
      <c r="E184" s="38"/>
      <c r="F184" s="39"/>
      <c r="G184" s="39"/>
      <c r="H184" s="39"/>
      <c r="I184" s="39"/>
      <c r="J184" s="40"/>
      <c r="K184" s="35"/>
      <c r="L184" s="35"/>
      <c r="M184" s="35"/>
      <c r="N184" s="35"/>
      <c r="O184" s="35"/>
      <c r="P184" s="35"/>
      <c r="Q184" s="35"/>
      <c r="R184" s="35"/>
      <c r="S184" s="35"/>
      <c r="T184" s="35"/>
      <c r="U184" s="35" t="s">
        <v>69</v>
      </c>
      <c r="V184" s="35"/>
      <c r="W184" s="35"/>
      <c r="X184" s="35"/>
      <c r="Y184" s="35"/>
    </row>
    <row r="185" spans="1:25" x14ac:dyDescent="0.25">
      <c r="A185" s="37"/>
      <c r="B185" s="35"/>
      <c r="C185" s="35"/>
      <c r="D185" s="35"/>
      <c r="E185" s="41"/>
      <c r="F185" s="42"/>
      <c r="G185" s="42"/>
      <c r="H185" s="42"/>
      <c r="I185" s="42"/>
      <c r="J185" s="43"/>
      <c r="K185" s="35"/>
      <c r="L185" s="35"/>
      <c r="M185" s="35"/>
      <c r="N185" s="35"/>
      <c r="O185" s="35"/>
      <c r="P185" s="35"/>
      <c r="Q185" s="35"/>
      <c r="R185" s="35"/>
      <c r="S185" s="35"/>
      <c r="T185" s="35"/>
      <c r="U185" s="35"/>
      <c r="V185" s="35"/>
      <c r="W185" s="35"/>
      <c r="X185" s="35"/>
      <c r="Y185" s="35"/>
    </row>
    <row r="186" spans="1:25" x14ac:dyDescent="0.25">
      <c r="A186" s="37"/>
      <c r="B186" s="35"/>
      <c r="C186" s="35"/>
      <c r="D186" s="35"/>
      <c r="E186" s="41"/>
      <c r="F186" s="42"/>
      <c r="G186" s="42"/>
      <c r="H186" s="42"/>
      <c r="I186" s="42"/>
      <c r="J186" s="43"/>
      <c r="K186" s="35"/>
      <c r="L186" s="35"/>
      <c r="M186" s="35"/>
      <c r="N186" s="35"/>
      <c r="O186" s="35"/>
      <c r="P186" s="35"/>
      <c r="Q186" s="35"/>
      <c r="R186" s="35"/>
      <c r="S186" s="35"/>
      <c r="T186" s="35"/>
      <c r="U186" s="35"/>
      <c r="V186" s="35"/>
      <c r="W186" s="35"/>
      <c r="X186" s="35"/>
      <c r="Y186" s="35"/>
    </row>
    <row r="187" spans="1:25" x14ac:dyDescent="0.25">
      <c r="A187" s="37"/>
      <c r="B187" s="35"/>
      <c r="C187" s="35"/>
      <c r="D187" s="35"/>
      <c r="E187" s="41"/>
      <c r="F187" s="42"/>
      <c r="G187" s="42"/>
      <c r="H187" s="42"/>
      <c r="I187" s="42"/>
      <c r="J187" s="43"/>
      <c r="K187" s="35"/>
      <c r="L187" s="35"/>
      <c r="M187" s="35"/>
      <c r="N187" s="35"/>
      <c r="O187" s="35"/>
      <c r="P187" s="35"/>
      <c r="Q187" s="35"/>
      <c r="R187" s="35"/>
      <c r="S187" s="35"/>
      <c r="T187" s="35"/>
      <c r="U187" s="35"/>
      <c r="V187" s="35"/>
      <c r="W187" s="35"/>
      <c r="X187" s="35"/>
      <c r="Y187" s="35"/>
    </row>
    <row r="188" spans="1:25" x14ac:dyDescent="0.25">
      <c r="A188" s="37"/>
      <c r="B188" s="35"/>
      <c r="C188" s="35"/>
      <c r="D188" s="35"/>
      <c r="E188" s="41"/>
      <c r="F188" s="42"/>
      <c r="G188" s="42"/>
      <c r="H188" s="42"/>
      <c r="I188" s="42"/>
      <c r="J188" s="43"/>
      <c r="K188" s="35"/>
      <c r="L188" s="35"/>
      <c r="M188" s="35"/>
      <c r="N188" s="35"/>
      <c r="O188" s="35"/>
      <c r="P188" s="35"/>
      <c r="Q188" s="35"/>
      <c r="R188" s="35"/>
      <c r="S188" s="35"/>
      <c r="T188" s="35"/>
      <c r="U188" s="35"/>
      <c r="V188" s="35"/>
      <c r="W188" s="35"/>
      <c r="X188" s="35"/>
      <c r="Y188" s="35"/>
    </row>
    <row r="189" spans="1:25" x14ac:dyDescent="0.25">
      <c r="A189" s="37"/>
      <c r="B189" s="35"/>
      <c r="C189" s="35"/>
      <c r="D189" s="35"/>
      <c r="E189" s="44"/>
      <c r="F189" s="45"/>
      <c r="G189" s="45"/>
      <c r="H189" s="45"/>
      <c r="I189" s="45"/>
      <c r="J189" s="46"/>
      <c r="K189" s="35"/>
      <c r="L189" s="35"/>
      <c r="M189" s="35"/>
      <c r="N189" s="35"/>
      <c r="O189" s="35"/>
      <c r="P189" s="35"/>
      <c r="Q189" s="35"/>
      <c r="R189" s="35"/>
      <c r="S189" s="35"/>
      <c r="T189" s="35"/>
      <c r="U189" s="35"/>
      <c r="V189" s="35"/>
      <c r="W189" s="35"/>
      <c r="X189" s="35"/>
      <c r="Y189" s="35"/>
    </row>
    <row r="190" spans="1:25" x14ac:dyDescent="0.25">
      <c r="A190" s="10" t="s">
        <v>10</v>
      </c>
      <c r="B190" s="30"/>
      <c r="C190" s="30"/>
      <c r="D190" s="30"/>
      <c r="E190" s="31"/>
      <c r="F190" s="32"/>
      <c r="G190" s="32"/>
      <c r="H190" s="32"/>
      <c r="I190" s="32"/>
      <c r="J190" s="33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4">
        <f>456100 + 600000 + 600000 + 62600 + 28600 + 85000 + 204100 + 264000 + 233200 + 98100 + 98500</f>
        <v>2730200</v>
      </c>
      <c r="V190" s="34"/>
      <c r="W190" s="34"/>
      <c r="X190" s="34"/>
      <c r="Y190" s="34"/>
    </row>
    <row r="191" spans="1:25" ht="15" customHeight="1" x14ac:dyDescent="0.25">
      <c r="A191" s="36">
        <v>45167</v>
      </c>
      <c r="B191" s="35"/>
      <c r="C191" s="35"/>
      <c r="D191" s="35"/>
      <c r="E191" s="38"/>
      <c r="F191" s="39"/>
      <c r="G191" s="39"/>
      <c r="H191" s="39"/>
      <c r="I191" s="39"/>
      <c r="J191" s="40"/>
      <c r="K191" s="35"/>
      <c r="L191" s="35"/>
      <c r="M191" s="35"/>
      <c r="N191" s="35"/>
      <c r="O191" s="35"/>
      <c r="P191" s="35"/>
      <c r="Q191" s="35"/>
      <c r="R191" s="35"/>
      <c r="S191" s="35"/>
      <c r="T191" s="35"/>
      <c r="U191" s="35" t="s">
        <v>70</v>
      </c>
      <c r="V191" s="35"/>
      <c r="W191" s="35"/>
      <c r="X191" s="35"/>
      <c r="Y191" s="35"/>
    </row>
    <row r="192" spans="1:25" x14ac:dyDescent="0.25">
      <c r="A192" s="37"/>
      <c r="B192" s="35"/>
      <c r="C192" s="35"/>
      <c r="D192" s="35"/>
      <c r="E192" s="41"/>
      <c r="F192" s="42"/>
      <c r="G192" s="42"/>
      <c r="H192" s="42"/>
      <c r="I192" s="42"/>
      <c r="J192" s="43"/>
      <c r="K192" s="35"/>
      <c r="L192" s="35"/>
      <c r="M192" s="35"/>
      <c r="N192" s="35"/>
      <c r="O192" s="35"/>
      <c r="P192" s="35"/>
      <c r="Q192" s="35"/>
      <c r="R192" s="35"/>
      <c r="S192" s="35"/>
      <c r="T192" s="35"/>
      <c r="U192" s="35"/>
      <c r="V192" s="35"/>
      <c r="W192" s="35"/>
      <c r="X192" s="35"/>
      <c r="Y192" s="35"/>
    </row>
    <row r="193" spans="1:25" x14ac:dyDescent="0.25">
      <c r="A193" s="37"/>
      <c r="B193" s="35"/>
      <c r="C193" s="35"/>
      <c r="D193" s="35"/>
      <c r="E193" s="41"/>
      <c r="F193" s="42"/>
      <c r="G193" s="42"/>
      <c r="H193" s="42"/>
      <c r="I193" s="42"/>
      <c r="J193" s="43"/>
      <c r="K193" s="35"/>
      <c r="L193" s="35"/>
      <c r="M193" s="35"/>
      <c r="N193" s="35"/>
      <c r="O193" s="35"/>
      <c r="P193" s="35"/>
      <c r="Q193" s="35"/>
      <c r="R193" s="35"/>
      <c r="S193" s="35"/>
      <c r="T193" s="35"/>
      <c r="U193" s="35"/>
      <c r="V193" s="35"/>
      <c r="W193" s="35"/>
      <c r="X193" s="35"/>
      <c r="Y193" s="35"/>
    </row>
    <row r="194" spans="1:25" x14ac:dyDescent="0.25">
      <c r="A194" s="37"/>
      <c r="B194" s="35"/>
      <c r="C194" s="35"/>
      <c r="D194" s="35"/>
      <c r="E194" s="41"/>
      <c r="F194" s="42"/>
      <c r="G194" s="42"/>
      <c r="H194" s="42"/>
      <c r="I194" s="42"/>
      <c r="J194" s="43"/>
      <c r="K194" s="35"/>
      <c r="L194" s="35"/>
      <c r="M194" s="35"/>
      <c r="N194" s="35"/>
      <c r="O194" s="35"/>
      <c r="P194" s="35"/>
      <c r="Q194" s="35"/>
      <c r="R194" s="35"/>
      <c r="S194" s="35"/>
      <c r="T194" s="35"/>
      <c r="U194" s="35"/>
      <c r="V194" s="35"/>
      <c r="W194" s="35"/>
      <c r="X194" s="35"/>
      <c r="Y194" s="35"/>
    </row>
    <row r="195" spans="1:25" x14ac:dyDescent="0.25">
      <c r="A195" s="37"/>
      <c r="B195" s="35"/>
      <c r="C195" s="35"/>
      <c r="D195" s="35"/>
      <c r="E195" s="41"/>
      <c r="F195" s="42"/>
      <c r="G195" s="42"/>
      <c r="H195" s="42"/>
      <c r="I195" s="42"/>
      <c r="J195" s="43"/>
      <c r="K195" s="35"/>
      <c r="L195" s="35"/>
      <c r="M195" s="35"/>
      <c r="N195" s="35"/>
      <c r="O195" s="35"/>
      <c r="P195" s="35"/>
      <c r="Q195" s="35"/>
      <c r="R195" s="35"/>
      <c r="S195" s="35"/>
      <c r="T195" s="35"/>
      <c r="U195" s="35"/>
      <c r="V195" s="35"/>
      <c r="W195" s="35"/>
      <c r="X195" s="35"/>
      <c r="Y195" s="35"/>
    </row>
    <row r="196" spans="1:25" x14ac:dyDescent="0.25">
      <c r="A196" s="37"/>
      <c r="B196" s="35"/>
      <c r="C196" s="35"/>
      <c r="D196" s="35"/>
      <c r="E196" s="44"/>
      <c r="F196" s="45"/>
      <c r="G196" s="45"/>
      <c r="H196" s="45"/>
      <c r="I196" s="45"/>
      <c r="J196" s="46"/>
      <c r="K196" s="35"/>
      <c r="L196" s="35"/>
      <c r="M196" s="35"/>
      <c r="N196" s="35"/>
      <c r="O196" s="35"/>
      <c r="P196" s="35"/>
      <c r="Q196" s="35"/>
      <c r="R196" s="35"/>
      <c r="S196" s="35"/>
      <c r="T196" s="35"/>
      <c r="U196" s="35"/>
      <c r="V196" s="35"/>
      <c r="W196" s="35"/>
      <c r="X196" s="35"/>
      <c r="Y196" s="35"/>
    </row>
    <row r="197" spans="1:25" x14ac:dyDescent="0.25">
      <c r="A197" s="10" t="s">
        <v>10</v>
      </c>
      <c r="B197" s="30"/>
      <c r="C197" s="30"/>
      <c r="D197" s="30"/>
      <c r="E197" s="31"/>
      <c r="F197" s="32"/>
      <c r="G197" s="32"/>
      <c r="H197" s="32"/>
      <c r="I197" s="32"/>
      <c r="J197" s="33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4">
        <f>293400 + 234000 + 152300 + 100000 + 110000 + 230200</f>
        <v>1119900</v>
      </c>
      <c r="V197" s="34"/>
      <c r="W197" s="34"/>
      <c r="X197" s="34"/>
      <c r="Y197" s="34"/>
    </row>
    <row r="198" spans="1:25" ht="15" customHeight="1" x14ac:dyDescent="0.25">
      <c r="A198" s="36">
        <v>45168</v>
      </c>
      <c r="B198" s="35"/>
      <c r="C198" s="35"/>
      <c r="D198" s="35"/>
      <c r="E198" s="38"/>
      <c r="F198" s="39"/>
      <c r="G198" s="39"/>
      <c r="H198" s="39"/>
      <c r="I198" s="39"/>
      <c r="J198" s="40"/>
      <c r="K198" s="35"/>
      <c r="L198" s="35"/>
      <c r="M198" s="35"/>
      <c r="N198" s="35"/>
      <c r="O198" s="35"/>
      <c r="P198" s="35"/>
      <c r="Q198" s="35"/>
      <c r="R198" s="35"/>
      <c r="S198" s="35"/>
      <c r="T198" s="35"/>
      <c r="U198" s="35" t="s">
        <v>71</v>
      </c>
      <c r="V198" s="35"/>
      <c r="W198" s="35"/>
      <c r="X198" s="35"/>
      <c r="Y198" s="35"/>
    </row>
    <row r="199" spans="1:25" x14ac:dyDescent="0.25">
      <c r="A199" s="37"/>
      <c r="B199" s="35"/>
      <c r="C199" s="35"/>
      <c r="D199" s="35"/>
      <c r="E199" s="41"/>
      <c r="F199" s="42"/>
      <c r="G199" s="42"/>
      <c r="H199" s="42"/>
      <c r="I199" s="42"/>
      <c r="J199" s="43"/>
      <c r="K199" s="35"/>
      <c r="L199" s="35"/>
      <c r="M199" s="35"/>
      <c r="N199" s="35"/>
      <c r="O199" s="35"/>
      <c r="P199" s="35"/>
      <c r="Q199" s="35"/>
      <c r="R199" s="35"/>
      <c r="S199" s="35"/>
      <c r="T199" s="35"/>
      <c r="U199" s="35"/>
      <c r="V199" s="35"/>
      <c r="W199" s="35"/>
      <c r="X199" s="35"/>
      <c r="Y199" s="35"/>
    </row>
    <row r="200" spans="1:25" x14ac:dyDescent="0.25">
      <c r="A200" s="37"/>
      <c r="B200" s="35"/>
      <c r="C200" s="35"/>
      <c r="D200" s="35"/>
      <c r="E200" s="41"/>
      <c r="F200" s="42"/>
      <c r="G200" s="42"/>
      <c r="H200" s="42"/>
      <c r="I200" s="42"/>
      <c r="J200" s="43"/>
      <c r="K200" s="35"/>
      <c r="L200" s="35"/>
      <c r="M200" s="35"/>
      <c r="N200" s="35"/>
      <c r="O200" s="35"/>
      <c r="P200" s="35"/>
      <c r="Q200" s="35"/>
      <c r="R200" s="35"/>
      <c r="S200" s="35"/>
      <c r="T200" s="35"/>
      <c r="U200" s="35"/>
      <c r="V200" s="35"/>
      <c r="W200" s="35"/>
      <c r="X200" s="35"/>
      <c r="Y200" s="35"/>
    </row>
    <row r="201" spans="1:25" x14ac:dyDescent="0.25">
      <c r="A201" s="37"/>
      <c r="B201" s="35"/>
      <c r="C201" s="35"/>
      <c r="D201" s="35"/>
      <c r="E201" s="41"/>
      <c r="F201" s="42"/>
      <c r="G201" s="42"/>
      <c r="H201" s="42"/>
      <c r="I201" s="42"/>
      <c r="J201" s="43"/>
      <c r="K201" s="35"/>
      <c r="L201" s="35"/>
      <c r="M201" s="35"/>
      <c r="N201" s="35"/>
      <c r="O201" s="35"/>
      <c r="P201" s="35"/>
      <c r="Q201" s="35"/>
      <c r="R201" s="35"/>
      <c r="S201" s="35"/>
      <c r="T201" s="35"/>
      <c r="U201" s="35"/>
      <c r="V201" s="35"/>
      <c r="W201" s="35"/>
      <c r="X201" s="35"/>
      <c r="Y201" s="35"/>
    </row>
    <row r="202" spans="1:25" x14ac:dyDescent="0.25">
      <c r="A202" s="37"/>
      <c r="B202" s="35"/>
      <c r="C202" s="35"/>
      <c r="D202" s="35"/>
      <c r="E202" s="41"/>
      <c r="F202" s="42"/>
      <c r="G202" s="42"/>
      <c r="H202" s="42"/>
      <c r="I202" s="42"/>
      <c r="J202" s="43"/>
      <c r="K202" s="35"/>
      <c r="L202" s="35"/>
      <c r="M202" s="35"/>
      <c r="N202" s="35"/>
      <c r="O202" s="35"/>
      <c r="P202" s="35"/>
      <c r="Q202" s="35"/>
      <c r="R202" s="35"/>
      <c r="S202" s="35"/>
      <c r="T202" s="35"/>
      <c r="U202" s="35"/>
      <c r="V202" s="35"/>
      <c r="W202" s="35"/>
      <c r="X202" s="35"/>
      <c r="Y202" s="35"/>
    </row>
    <row r="203" spans="1:25" x14ac:dyDescent="0.25">
      <c r="A203" s="37"/>
      <c r="B203" s="35"/>
      <c r="C203" s="35"/>
      <c r="D203" s="35"/>
      <c r="E203" s="44"/>
      <c r="F203" s="45"/>
      <c r="G203" s="45"/>
      <c r="H203" s="45"/>
      <c r="I203" s="45"/>
      <c r="J203" s="46"/>
      <c r="K203" s="35"/>
      <c r="L203" s="35"/>
      <c r="M203" s="35"/>
      <c r="N203" s="35"/>
      <c r="O203" s="35"/>
      <c r="P203" s="35"/>
      <c r="Q203" s="35"/>
      <c r="R203" s="35"/>
      <c r="S203" s="35"/>
      <c r="T203" s="35"/>
      <c r="U203" s="35"/>
      <c r="V203" s="35"/>
      <c r="W203" s="35"/>
      <c r="X203" s="35"/>
      <c r="Y203" s="35"/>
    </row>
    <row r="204" spans="1:25" x14ac:dyDescent="0.25">
      <c r="A204" s="10" t="s">
        <v>10</v>
      </c>
      <c r="B204" s="30"/>
      <c r="C204" s="30"/>
      <c r="D204" s="30"/>
      <c r="E204" s="31"/>
      <c r="F204" s="32"/>
      <c r="G204" s="32"/>
      <c r="H204" s="32"/>
      <c r="I204" s="32"/>
      <c r="J204" s="33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4">
        <f>90600 + 127200 + 600000</f>
        <v>817800</v>
      </c>
      <c r="V204" s="34"/>
      <c r="W204" s="34"/>
      <c r="X204" s="34"/>
      <c r="Y204" s="34"/>
    </row>
    <row r="205" spans="1:25" ht="15" customHeight="1" x14ac:dyDescent="0.25">
      <c r="A205" s="36">
        <v>45169</v>
      </c>
      <c r="B205" s="35"/>
      <c r="C205" s="35"/>
      <c r="D205" s="35"/>
      <c r="E205" s="38"/>
      <c r="F205" s="39"/>
      <c r="G205" s="39"/>
      <c r="H205" s="39"/>
      <c r="I205" s="39"/>
      <c r="J205" s="40"/>
      <c r="K205" s="35"/>
      <c r="L205" s="35"/>
      <c r="M205" s="35"/>
      <c r="N205" s="35"/>
      <c r="O205" s="35"/>
      <c r="P205" s="35"/>
      <c r="Q205" s="35"/>
      <c r="R205" s="35"/>
      <c r="S205" s="35"/>
      <c r="T205" s="35"/>
      <c r="U205" s="35" t="s">
        <v>72</v>
      </c>
      <c r="V205" s="35"/>
      <c r="W205" s="35"/>
      <c r="X205" s="35"/>
      <c r="Y205" s="35"/>
    </row>
    <row r="206" spans="1:25" x14ac:dyDescent="0.25">
      <c r="A206" s="37"/>
      <c r="B206" s="35"/>
      <c r="C206" s="35"/>
      <c r="D206" s="35"/>
      <c r="E206" s="41"/>
      <c r="F206" s="42"/>
      <c r="G206" s="42"/>
      <c r="H206" s="42"/>
      <c r="I206" s="42"/>
      <c r="J206" s="43"/>
      <c r="K206" s="35"/>
      <c r="L206" s="35"/>
      <c r="M206" s="35"/>
      <c r="N206" s="35"/>
      <c r="O206" s="35"/>
      <c r="P206" s="35"/>
      <c r="Q206" s="35"/>
      <c r="R206" s="35"/>
      <c r="S206" s="35"/>
      <c r="T206" s="35"/>
      <c r="U206" s="35"/>
      <c r="V206" s="35"/>
      <c r="W206" s="35"/>
      <c r="X206" s="35"/>
      <c r="Y206" s="35"/>
    </row>
    <row r="207" spans="1:25" x14ac:dyDescent="0.25">
      <c r="A207" s="37"/>
      <c r="B207" s="35"/>
      <c r="C207" s="35"/>
      <c r="D207" s="35"/>
      <c r="E207" s="41"/>
      <c r="F207" s="42"/>
      <c r="G207" s="42"/>
      <c r="H207" s="42"/>
      <c r="I207" s="42"/>
      <c r="J207" s="43"/>
      <c r="K207" s="35"/>
      <c r="L207" s="35"/>
      <c r="M207" s="35"/>
      <c r="N207" s="35"/>
      <c r="O207" s="35"/>
      <c r="P207" s="35"/>
      <c r="Q207" s="35"/>
      <c r="R207" s="35"/>
      <c r="S207" s="35"/>
      <c r="T207" s="35"/>
      <c r="U207" s="35"/>
      <c r="V207" s="35"/>
      <c r="W207" s="35"/>
      <c r="X207" s="35"/>
      <c r="Y207" s="35"/>
    </row>
    <row r="208" spans="1:25" x14ac:dyDescent="0.25">
      <c r="A208" s="37"/>
      <c r="B208" s="35"/>
      <c r="C208" s="35"/>
      <c r="D208" s="35"/>
      <c r="E208" s="41"/>
      <c r="F208" s="42"/>
      <c r="G208" s="42"/>
      <c r="H208" s="42"/>
      <c r="I208" s="42"/>
      <c r="J208" s="43"/>
      <c r="K208" s="35"/>
      <c r="L208" s="35"/>
      <c r="M208" s="35"/>
      <c r="N208" s="35"/>
      <c r="O208" s="35"/>
      <c r="P208" s="35"/>
      <c r="Q208" s="35"/>
      <c r="R208" s="35"/>
      <c r="S208" s="35"/>
      <c r="T208" s="35"/>
      <c r="U208" s="35"/>
      <c r="V208" s="35"/>
      <c r="W208" s="35"/>
      <c r="X208" s="35"/>
      <c r="Y208" s="35"/>
    </row>
    <row r="209" spans="1:25" x14ac:dyDescent="0.25">
      <c r="A209" s="37"/>
      <c r="B209" s="35"/>
      <c r="C209" s="35"/>
      <c r="D209" s="35"/>
      <c r="E209" s="41"/>
      <c r="F209" s="42"/>
      <c r="G209" s="42"/>
      <c r="H209" s="42"/>
      <c r="I209" s="42"/>
      <c r="J209" s="43"/>
      <c r="K209" s="35"/>
      <c r="L209" s="35"/>
      <c r="M209" s="35"/>
      <c r="N209" s="35"/>
      <c r="O209" s="35"/>
      <c r="P209" s="35"/>
      <c r="Q209" s="35"/>
      <c r="R209" s="35"/>
      <c r="S209" s="35"/>
      <c r="T209" s="35"/>
      <c r="U209" s="35"/>
      <c r="V209" s="35"/>
      <c r="W209" s="35"/>
      <c r="X209" s="35"/>
      <c r="Y209" s="35"/>
    </row>
    <row r="210" spans="1:25" x14ac:dyDescent="0.25">
      <c r="A210" s="37"/>
      <c r="B210" s="35"/>
      <c r="C210" s="35"/>
      <c r="D210" s="35"/>
      <c r="E210" s="44"/>
      <c r="F210" s="45"/>
      <c r="G210" s="45"/>
      <c r="H210" s="45"/>
      <c r="I210" s="45"/>
      <c r="J210" s="46"/>
      <c r="K210" s="35"/>
      <c r="L210" s="35"/>
      <c r="M210" s="35"/>
      <c r="N210" s="35"/>
      <c r="O210" s="35"/>
      <c r="P210" s="35"/>
      <c r="Q210" s="35"/>
      <c r="R210" s="35"/>
      <c r="S210" s="35"/>
      <c r="T210" s="35"/>
      <c r="U210" s="35"/>
      <c r="V210" s="35"/>
      <c r="W210" s="35"/>
      <c r="X210" s="35"/>
      <c r="Y210" s="35"/>
    </row>
    <row r="211" spans="1:25" x14ac:dyDescent="0.25">
      <c r="A211" s="10" t="s">
        <v>10</v>
      </c>
      <c r="B211" s="30"/>
      <c r="C211" s="30"/>
      <c r="D211" s="30"/>
      <c r="E211" s="31"/>
      <c r="F211" s="32"/>
      <c r="G211" s="32"/>
      <c r="H211" s="32"/>
      <c r="I211" s="32"/>
      <c r="J211" s="33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4">
        <f>600000 + 159100 + 73000 + 48000</f>
        <v>880100</v>
      </c>
      <c r="V211" s="34"/>
      <c r="W211" s="34"/>
      <c r="X211" s="34"/>
      <c r="Y211" s="34"/>
    </row>
  </sheetData>
  <mergeCells count="303">
    <mergeCell ref="A205:A210"/>
    <mergeCell ref="B205:D210"/>
    <mergeCell ref="E205:J210"/>
    <mergeCell ref="K205:O210"/>
    <mergeCell ref="P205:T210"/>
    <mergeCell ref="U205:Y210"/>
    <mergeCell ref="B211:D211"/>
    <mergeCell ref="E211:J211"/>
    <mergeCell ref="K211:O211"/>
    <mergeCell ref="P211:T211"/>
    <mergeCell ref="U211:Y211"/>
    <mergeCell ref="A198:A203"/>
    <mergeCell ref="B198:D203"/>
    <mergeCell ref="E198:J203"/>
    <mergeCell ref="K198:O203"/>
    <mergeCell ref="P198:T203"/>
    <mergeCell ref="U198:Y203"/>
    <mergeCell ref="B204:D204"/>
    <mergeCell ref="E204:J204"/>
    <mergeCell ref="K204:O204"/>
    <mergeCell ref="P204:T204"/>
    <mergeCell ref="U204:Y204"/>
    <mergeCell ref="A191:A196"/>
    <mergeCell ref="B191:D196"/>
    <mergeCell ref="E191:J196"/>
    <mergeCell ref="K191:O196"/>
    <mergeCell ref="P191:T196"/>
    <mergeCell ref="U191:Y196"/>
    <mergeCell ref="B197:D197"/>
    <mergeCell ref="E197:J197"/>
    <mergeCell ref="K197:O197"/>
    <mergeCell ref="P197:T197"/>
    <mergeCell ref="U197:Y197"/>
    <mergeCell ref="B176:D176"/>
    <mergeCell ref="E176:J176"/>
    <mergeCell ref="K176:O176"/>
    <mergeCell ref="P176:T176"/>
    <mergeCell ref="U176:Y176"/>
    <mergeCell ref="B148:D148"/>
    <mergeCell ref="E148:J148"/>
    <mergeCell ref="K148:O148"/>
    <mergeCell ref="P148:T148"/>
    <mergeCell ref="U148:Y148"/>
    <mergeCell ref="E163:J168"/>
    <mergeCell ref="K163:O168"/>
    <mergeCell ref="P163:T168"/>
    <mergeCell ref="U163:Y168"/>
    <mergeCell ref="P155:T155"/>
    <mergeCell ref="U155:Y155"/>
    <mergeCell ref="A170:A175"/>
    <mergeCell ref="B170:D175"/>
    <mergeCell ref="E170:J175"/>
    <mergeCell ref="K170:O175"/>
    <mergeCell ref="P170:T175"/>
    <mergeCell ref="U170:Y175"/>
    <mergeCell ref="B134:D134"/>
    <mergeCell ref="E134:J134"/>
    <mergeCell ref="K134:O134"/>
    <mergeCell ref="P134:T134"/>
    <mergeCell ref="U134:Y134"/>
    <mergeCell ref="A142:A147"/>
    <mergeCell ref="B142:D147"/>
    <mergeCell ref="E142:J147"/>
    <mergeCell ref="K142:O147"/>
    <mergeCell ref="P142:T147"/>
    <mergeCell ref="U142:Y147"/>
    <mergeCell ref="P135:T140"/>
    <mergeCell ref="U135:Y140"/>
    <mergeCell ref="B141:D141"/>
    <mergeCell ref="E141:J141"/>
    <mergeCell ref="K141:O141"/>
    <mergeCell ref="P141:T141"/>
    <mergeCell ref="U141:Y141"/>
    <mergeCell ref="A107:A112"/>
    <mergeCell ref="B107:D112"/>
    <mergeCell ref="E107:J112"/>
    <mergeCell ref="K107:O112"/>
    <mergeCell ref="P107:T112"/>
    <mergeCell ref="U107:Y112"/>
    <mergeCell ref="B113:D113"/>
    <mergeCell ref="E113:J113"/>
    <mergeCell ref="K113:O113"/>
    <mergeCell ref="P113:T113"/>
    <mergeCell ref="U113:Y113"/>
    <mergeCell ref="U93:Y98"/>
    <mergeCell ref="B99:D99"/>
    <mergeCell ref="E99:J99"/>
    <mergeCell ref="K99:O99"/>
    <mergeCell ref="P99:T99"/>
    <mergeCell ref="U99:Y99"/>
    <mergeCell ref="A65:A70"/>
    <mergeCell ref="K65:O70"/>
    <mergeCell ref="P65:T70"/>
    <mergeCell ref="B65:D70"/>
    <mergeCell ref="B71:D71"/>
    <mergeCell ref="A93:A98"/>
    <mergeCell ref="B93:D98"/>
    <mergeCell ref="E93:J98"/>
    <mergeCell ref="K93:O98"/>
    <mergeCell ref="P93:T98"/>
    <mergeCell ref="B72:D77"/>
    <mergeCell ref="B78:D78"/>
    <mergeCell ref="B79:D84"/>
    <mergeCell ref="B85:D85"/>
    <mergeCell ref="U65:Y70"/>
    <mergeCell ref="U71:Y71"/>
    <mergeCell ref="U72:Y77"/>
    <mergeCell ref="U78:Y78"/>
    <mergeCell ref="AL7:AL8"/>
    <mergeCell ref="A7:A8"/>
    <mergeCell ref="B7:B8"/>
    <mergeCell ref="C7:C8"/>
    <mergeCell ref="E7:AJ7"/>
    <mergeCell ref="K37:O42"/>
    <mergeCell ref="P37:T42"/>
    <mergeCell ref="A27:A29"/>
    <mergeCell ref="K30:O35"/>
    <mergeCell ref="B28:D28"/>
    <mergeCell ref="E28:J28"/>
    <mergeCell ref="A25:Y26"/>
    <mergeCell ref="A51:A56"/>
    <mergeCell ref="K51:O56"/>
    <mergeCell ref="P51:T56"/>
    <mergeCell ref="A44:A49"/>
    <mergeCell ref="K43:O43"/>
    <mergeCell ref="P43:T43"/>
    <mergeCell ref="K44:O49"/>
    <mergeCell ref="A37:A42"/>
    <mergeCell ref="A30:A35"/>
    <mergeCell ref="B50:D50"/>
    <mergeCell ref="B51:D56"/>
    <mergeCell ref="P30:T35"/>
    <mergeCell ref="E30:J35"/>
    <mergeCell ref="E36:J36"/>
    <mergeCell ref="AM7:AM8"/>
    <mergeCell ref="K64:O64"/>
    <mergeCell ref="P64:T64"/>
    <mergeCell ref="K57:O57"/>
    <mergeCell ref="P57:T57"/>
    <mergeCell ref="A58:A63"/>
    <mergeCell ref="A1:AM6"/>
    <mergeCell ref="A79:A84"/>
    <mergeCell ref="K79:O84"/>
    <mergeCell ref="P79:T84"/>
    <mergeCell ref="K78:O78"/>
    <mergeCell ref="P78:T78"/>
    <mergeCell ref="D7:D8"/>
    <mergeCell ref="A72:A77"/>
    <mergeCell ref="K72:O77"/>
    <mergeCell ref="P72:T77"/>
    <mergeCell ref="K58:O63"/>
    <mergeCell ref="P58:T63"/>
    <mergeCell ref="P44:T49"/>
    <mergeCell ref="K50:O50"/>
    <mergeCell ref="P50:T50"/>
    <mergeCell ref="B30:D35"/>
    <mergeCell ref="B36:D36"/>
    <mergeCell ref="B57:D57"/>
    <mergeCell ref="B58:D63"/>
    <mergeCell ref="B64:D64"/>
    <mergeCell ref="B37:D42"/>
    <mergeCell ref="B43:D43"/>
    <mergeCell ref="B44:D49"/>
    <mergeCell ref="B27:Y27"/>
    <mergeCell ref="B29:Y29"/>
    <mergeCell ref="U30:Y35"/>
    <mergeCell ref="U36:Y36"/>
    <mergeCell ref="U37:Y42"/>
    <mergeCell ref="U43:Y43"/>
    <mergeCell ref="U44:Y49"/>
    <mergeCell ref="U50:Y50"/>
    <mergeCell ref="U51:Y56"/>
    <mergeCell ref="E37:J42"/>
    <mergeCell ref="E43:J43"/>
    <mergeCell ref="E44:J49"/>
    <mergeCell ref="E50:J50"/>
    <mergeCell ref="E51:J56"/>
    <mergeCell ref="K36:O36"/>
    <mergeCell ref="P36:T36"/>
    <mergeCell ref="K28:O28"/>
    <mergeCell ref="P28:T28"/>
    <mergeCell ref="U79:Y84"/>
    <mergeCell ref="E78:J78"/>
    <mergeCell ref="E79:J84"/>
    <mergeCell ref="E85:J85"/>
    <mergeCell ref="U28:Y28"/>
    <mergeCell ref="U57:Y57"/>
    <mergeCell ref="U58:Y63"/>
    <mergeCell ref="U64:Y64"/>
    <mergeCell ref="E57:J57"/>
    <mergeCell ref="E58:J63"/>
    <mergeCell ref="E64:J64"/>
    <mergeCell ref="E65:J70"/>
    <mergeCell ref="E72:J77"/>
    <mergeCell ref="E71:J71"/>
    <mergeCell ref="K85:O85"/>
    <mergeCell ref="P85:T85"/>
    <mergeCell ref="K71:O71"/>
    <mergeCell ref="P71:T71"/>
    <mergeCell ref="B92:D92"/>
    <mergeCell ref="E92:J92"/>
    <mergeCell ref="K92:O92"/>
    <mergeCell ref="P92:T92"/>
    <mergeCell ref="U92:Y92"/>
    <mergeCell ref="U85:Y85"/>
    <mergeCell ref="A86:A91"/>
    <mergeCell ref="B86:D91"/>
    <mergeCell ref="E86:J91"/>
    <mergeCell ref="K86:O91"/>
    <mergeCell ref="P86:T91"/>
    <mergeCell ref="U86:Y91"/>
    <mergeCell ref="A100:A105"/>
    <mergeCell ref="B100:D105"/>
    <mergeCell ref="E100:J105"/>
    <mergeCell ref="K100:O105"/>
    <mergeCell ref="P100:T105"/>
    <mergeCell ref="U100:Y105"/>
    <mergeCell ref="B106:D106"/>
    <mergeCell ref="E106:J106"/>
    <mergeCell ref="K106:O106"/>
    <mergeCell ref="P106:T106"/>
    <mergeCell ref="U106:Y106"/>
    <mergeCell ref="B127:D127"/>
    <mergeCell ref="E127:J127"/>
    <mergeCell ref="K127:O127"/>
    <mergeCell ref="P127:T127"/>
    <mergeCell ref="U127:Y127"/>
    <mergeCell ref="A128:A133"/>
    <mergeCell ref="B128:D133"/>
    <mergeCell ref="E128:J133"/>
    <mergeCell ref="K128:O133"/>
    <mergeCell ref="P128:T133"/>
    <mergeCell ref="U128:Y133"/>
    <mergeCell ref="A114:A119"/>
    <mergeCell ref="B114:D119"/>
    <mergeCell ref="E114:J119"/>
    <mergeCell ref="K114:O119"/>
    <mergeCell ref="P114:T119"/>
    <mergeCell ref="U114:Y119"/>
    <mergeCell ref="B120:D120"/>
    <mergeCell ref="E120:J120"/>
    <mergeCell ref="K120:O120"/>
    <mergeCell ref="P120:T120"/>
    <mergeCell ref="U120:Y120"/>
    <mergeCell ref="A121:A126"/>
    <mergeCell ref="B121:D126"/>
    <mergeCell ref="E121:J126"/>
    <mergeCell ref="K121:O126"/>
    <mergeCell ref="P121:T126"/>
    <mergeCell ref="U121:Y126"/>
    <mergeCell ref="B169:D169"/>
    <mergeCell ref="E169:J169"/>
    <mergeCell ref="K169:O169"/>
    <mergeCell ref="P169:T169"/>
    <mergeCell ref="U169:Y169"/>
    <mergeCell ref="A156:A161"/>
    <mergeCell ref="B156:D161"/>
    <mergeCell ref="E156:J161"/>
    <mergeCell ref="K156:O161"/>
    <mergeCell ref="P156:T161"/>
    <mergeCell ref="U156:Y161"/>
    <mergeCell ref="B162:D162"/>
    <mergeCell ref="E162:J162"/>
    <mergeCell ref="K162:O162"/>
    <mergeCell ref="P162:T162"/>
    <mergeCell ref="U162:Y162"/>
    <mergeCell ref="A163:A168"/>
    <mergeCell ref="B163:D168"/>
    <mergeCell ref="A184:A189"/>
    <mergeCell ref="B184:D189"/>
    <mergeCell ref="E184:J189"/>
    <mergeCell ref="K184:O189"/>
    <mergeCell ref="P184:T189"/>
    <mergeCell ref="U184:Y189"/>
    <mergeCell ref="A135:A140"/>
    <mergeCell ref="B135:D140"/>
    <mergeCell ref="E135:J140"/>
    <mergeCell ref="K135:O140"/>
    <mergeCell ref="A177:A182"/>
    <mergeCell ref="B177:D182"/>
    <mergeCell ref="E177:J182"/>
    <mergeCell ref="K177:O182"/>
    <mergeCell ref="P177:T182"/>
    <mergeCell ref="A149:A154"/>
    <mergeCell ref="B149:D154"/>
    <mergeCell ref="E149:J154"/>
    <mergeCell ref="K149:O154"/>
    <mergeCell ref="P149:T154"/>
    <mergeCell ref="U149:Y154"/>
    <mergeCell ref="B155:D155"/>
    <mergeCell ref="E155:J155"/>
    <mergeCell ref="K155:O155"/>
    <mergeCell ref="B190:D190"/>
    <mergeCell ref="E190:J190"/>
    <mergeCell ref="K190:O190"/>
    <mergeCell ref="P190:T190"/>
    <mergeCell ref="U190:Y190"/>
    <mergeCell ref="U177:Y182"/>
    <mergeCell ref="B183:D183"/>
    <mergeCell ref="E183:J183"/>
    <mergeCell ref="K183:O183"/>
    <mergeCell ref="P183:T183"/>
    <mergeCell ref="U183:Y183"/>
  </mergeCells>
  <pageMargins left="0.7" right="0.7" top="0.75" bottom="0.75" header="0.3" footer="0.3"/>
  <pageSetup paperSize="9" orientation="portrait" horizontalDpi="4294967292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36"/>
  <sheetViews>
    <sheetView zoomScale="85" zoomScaleNormal="85" workbookViewId="0">
      <selection activeCell="B29" sqref="B29:X29"/>
    </sheetView>
  </sheetViews>
  <sheetFormatPr defaultRowHeight="15" x14ac:dyDescent="0.25"/>
  <cols>
    <col min="1" max="1" width="11.28515625" bestFit="1" customWidth="1"/>
    <col min="2" max="2" width="16.28515625" customWidth="1"/>
    <col min="3" max="4" width="15" customWidth="1"/>
    <col min="5" max="5" width="11.42578125" customWidth="1"/>
    <col min="6" max="8" width="9.42578125" customWidth="1"/>
    <col min="10" max="10" width="9.140625" customWidth="1"/>
    <col min="36" max="36" width="15.5703125" customWidth="1"/>
    <col min="37" max="37" width="12.140625" customWidth="1"/>
    <col min="38" max="38" width="14.140625" customWidth="1"/>
  </cols>
  <sheetData>
    <row r="1" spans="1:38" ht="15" customHeight="1" x14ac:dyDescent="0.25">
      <c r="A1" s="51" t="s">
        <v>29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  <c r="AA1" s="51"/>
      <c r="AB1" s="51"/>
      <c r="AC1" s="51"/>
      <c r="AD1" s="51"/>
      <c r="AE1" s="51"/>
      <c r="AF1" s="51"/>
      <c r="AG1" s="51"/>
      <c r="AH1" s="51"/>
      <c r="AI1" s="51"/>
      <c r="AJ1" s="51"/>
      <c r="AK1" s="51"/>
    </row>
    <row r="2" spans="1:38" ht="15" customHeight="1" x14ac:dyDescent="0.25">
      <c r="A2" s="51"/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 s="51"/>
      <c r="AD2" s="51"/>
      <c r="AE2" s="51"/>
      <c r="AF2" s="51"/>
      <c r="AG2" s="51"/>
      <c r="AH2" s="51"/>
      <c r="AI2" s="51"/>
      <c r="AJ2" s="51"/>
      <c r="AK2" s="51"/>
    </row>
    <row r="3" spans="1:38" ht="15" customHeight="1" x14ac:dyDescent="0.25">
      <c r="A3" s="51"/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  <c r="AA3" s="51"/>
      <c r="AB3" s="51"/>
      <c r="AC3" s="51"/>
      <c r="AD3" s="51"/>
      <c r="AE3" s="51"/>
      <c r="AF3" s="51"/>
      <c r="AG3" s="51"/>
      <c r="AH3" s="51"/>
      <c r="AI3" s="51"/>
      <c r="AJ3" s="51"/>
      <c r="AK3" s="51"/>
    </row>
    <row r="4" spans="1:38" ht="15" customHeight="1" x14ac:dyDescent="0.25">
      <c r="A4" s="51"/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  <c r="AH4" s="51"/>
      <c r="AI4" s="51"/>
      <c r="AJ4" s="51"/>
      <c r="AK4" s="51"/>
      <c r="AL4" s="2"/>
    </row>
    <row r="5" spans="1:38" ht="15" customHeight="1" x14ac:dyDescent="0.25">
      <c r="A5" s="51"/>
      <c r="B5" s="51"/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1"/>
      <c r="AF5" s="51"/>
      <c r="AG5" s="51"/>
      <c r="AH5" s="51"/>
      <c r="AI5" s="51"/>
      <c r="AJ5" s="51"/>
      <c r="AK5" s="51"/>
      <c r="AL5" s="2"/>
    </row>
    <row r="6" spans="1:38" ht="15" customHeight="1" x14ac:dyDescent="0.25">
      <c r="A6" s="52"/>
      <c r="B6" s="52"/>
      <c r="C6" s="52"/>
      <c r="D6" s="52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  <c r="AA6" s="52"/>
      <c r="AB6" s="52"/>
      <c r="AC6" s="52"/>
      <c r="AD6" s="52"/>
      <c r="AE6" s="52"/>
      <c r="AF6" s="52"/>
      <c r="AG6" s="52"/>
      <c r="AH6" s="52"/>
      <c r="AI6" s="52"/>
      <c r="AJ6" s="52"/>
      <c r="AK6" s="52"/>
      <c r="AL6" s="2"/>
    </row>
    <row r="7" spans="1:38" x14ac:dyDescent="0.25">
      <c r="A7" s="53" t="s">
        <v>6</v>
      </c>
      <c r="B7" s="53" t="s">
        <v>48</v>
      </c>
      <c r="C7" s="53" t="s">
        <v>47</v>
      </c>
      <c r="D7" s="53" t="s">
        <v>30</v>
      </c>
      <c r="E7" s="55" t="s">
        <v>0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7"/>
      <c r="AJ7" s="53" t="s">
        <v>1</v>
      </c>
      <c r="AK7" s="50" t="s">
        <v>32</v>
      </c>
    </row>
    <row r="8" spans="1:38" x14ac:dyDescent="0.25">
      <c r="A8" s="54"/>
      <c r="B8" s="54"/>
      <c r="C8" s="54"/>
      <c r="D8" s="54"/>
      <c r="E8" s="23">
        <v>47361</v>
      </c>
      <c r="F8" s="3">
        <v>11567</v>
      </c>
      <c r="G8" s="3">
        <v>11568</v>
      </c>
      <c r="H8" s="3">
        <v>11569</v>
      </c>
      <c r="I8" s="3">
        <v>11570</v>
      </c>
      <c r="J8" s="3">
        <v>11571</v>
      </c>
      <c r="K8" s="3">
        <v>11572</v>
      </c>
      <c r="L8" s="3">
        <v>11573</v>
      </c>
      <c r="M8" s="3">
        <v>11574</v>
      </c>
      <c r="N8" s="3">
        <v>11575</v>
      </c>
      <c r="O8" s="3">
        <v>11576</v>
      </c>
      <c r="P8" s="3">
        <v>11577</v>
      </c>
      <c r="Q8" s="3">
        <v>11578</v>
      </c>
      <c r="R8" s="3">
        <v>11579</v>
      </c>
      <c r="S8" s="3">
        <v>11580</v>
      </c>
      <c r="T8" s="3">
        <v>11581</v>
      </c>
      <c r="U8" s="3">
        <v>11582</v>
      </c>
      <c r="V8" s="3">
        <v>11583</v>
      </c>
      <c r="W8" s="3">
        <v>11584</v>
      </c>
      <c r="X8" s="3">
        <v>11585</v>
      </c>
      <c r="Y8" s="3">
        <v>11586</v>
      </c>
      <c r="Z8" s="3">
        <v>11587</v>
      </c>
      <c r="AA8" s="3">
        <v>11588</v>
      </c>
      <c r="AB8" s="3">
        <v>11589</v>
      </c>
      <c r="AC8" s="3">
        <v>11590</v>
      </c>
      <c r="AD8" s="3">
        <v>11591</v>
      </c>
      <c r="AE8" s="3">
        <v>11592</v>
      </c>
      <c r="AF8" s="3">
        <v>11593</v>
      </c>
      <c r="AG8" s="3">
        <v>11594</v>
      </c>
      <c r="AH8" s="3">
        <v>11595</v>
      </c>
      <c r="AI8" s="3">
        <v>11596</v>
      </c>
      <c r="AJ8" s="54"/>
      <c r="AK8" s="50"/>
    </row>
    <row r="9" spans="1:38" x14ac:dyDescent="0.25">
      <c r="A9" s="28">
        <v>0.127</v>
      </c>
      <c r="B9" s="21" t="s">
        <v>2</v>
      </c>
      <c r="C9" s="22">
        <v>20230727004</v>
      </c>
      <c r="D9" s="24">
        <f>SUM(696.7 + 106.1)</f>
        <v>802.80000000000007</v>
      </c>
      <c r="E9" s="26">
        <v>804.2</v>
      </c>
      <c r="F9" s="12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15">
        <f>SUM(E9:AI9)</f>
        <v>804.2</v>
      </c>
      <c r="AK9" s="11">
        <f>AJ9-D9</f>
        <v>1.3999999999999773</v>
      </c>
    </row>
    <row r="10" spans="1:38" x14ac:dyDescent="0.25">
      <c r="A10" s="28">
        <v>0.12</v>
      </c>
      <c r="B10" s="21" t="s">
        <v>3</v>
      </c>
      <c r="C10" s="16">
        <v>20230727003</v>
      </c>
      <c r="D10" s="25">
        <v>802.8</v>
      </c>
      <c r="E10" s="27">
        <v>812.86</v>
      </c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17">
        <f>SUM(E10:AI10)</f>
        <v>812.86</v>
      </c>
      <c r="AK10" s="11">
        <f>AJ10-D10</f>
        <v>10.060000000000059</v>
      </c>
    </row>
    <row r="11" spans="1:38" x14ac:dyDescent="0.25">
      <c r="A11" s="28">
        <v>0.2</v>
      </c>
      <c r="B11" s="21" t="s">
        <v>4</v>
      </c>
      <c r="C11" s="16">
        <v>20230727005</v>
      </c>
      <c r="D11" s="25">
        <v>902.7</v>
      </c>
      <c r="E11" s="27">
        <v>924.92</v>
      </c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15">
        <f>SUM(E11:AI11)</f>
        <v>924.92</v>
      </c>
      <c r="AK11" s="11">
        <f>AJ11-D11</f>
        <v>22.219999999999914</v>
      </c>
    </row>
    <row r="12" spans="1:38" x14ac:dyDescent="0.25">
      <c r="A12" s="28">
        <v>0.16</v>
      </c>
      <c r="B12" s="21" t="s">
        <v>5</v>
      </c>
      <c r="C12" s="16">
        <v>20230727002</v>
      </c>
      <c r="D12" s="25">
        <v>501.5</v>
      </c>
      <c r="E12" s="27">
        <v>742.07</v>
      </c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15">
        <f>SUM(E12:AI12)</f>
        <v>742.07</v>
      </c>
      <c r="AK12" s="11">
        <f>AJ12-D12</f>
        <v>240.57000000000005</v>
      </c>
    </row>
    <row r="13" spans="1:38" x14ac:dyDescent="0.25">
      <c r="A13" s="29">
        <v>0.08</v>
      </c>
      <c r="B13" s="21" t="s">
        <v>31</v>
      </c>
      <c r="C13" s="16">
        <v>20230809001</v>
      </c>
      <c r="D13" s="25">
        <v>502</v>
      </c>
      <c r="E13" s="27">
        <v>583.91</v>
      </c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17">
        <f>SUM(E13:AI13)</f>
        <v>583.91</v>
      </c>
      <c r="AK13" s="11">
        <f>AJ13-D13</f>
        <v>81.909999999999968</v>
      </c>
    </row>
    <row r="16" spans="1:38" x14ac:dyDescent="0.25">
      <c r="A16" s="7" t="s">
        <v>9</v>
      </c>
      <c r="B16" s="7" t="s">
        <v>23</v>
      </c>
    </row>
    <row r="17" spans="1:24" x14ac:dyDescent="0.25">
      <c r="A17" s="19">
        <v>0.127</v>
      </c>
      <c r="B17" s="6">
        <v>0.11269999999999999</v>
      </c>
    </row>
    <row r="18" spans="1:24" x14ac:dyDescent="0.25">
      <c r="A18" s="19">
        <v>0.12</v>
      </c>
      <c r="B18" s="6">
        <v>0.10059999999999999</v>
      </c>
    </row>
    <row r="19" spans="1:24" x14ac:dyDescent="0.25">
      <c r="A19" s="19">
        <v>0.2</v>
      </c>
      <c r="B19" s="6">
        <v>0.27960000000000002</v>
      </c>
    </row>
    <row r="20" spans="1:24" x14ac:dyDescent="0.25">
      <c r="A20" s="19">
        <v>0.16</v>
      </c>
      <c r="B20" s="6">
        <v>0.1789</v>
      </c>
    </row>
    <row r="21" spans="1:24" x14ac:dyDescent="0.25">
      <c r="A21" s="19">
        <v>0.08</v>
      </c>
      <c r="B21" s="6">
        <v>4.4699999999999997E-2</v>
      </c>
    </row>
    <row r="22" spans="1:24" x14ac:dyDescent="0.25">
      <c r="A22" s="8"/>
      <c r="B22" s="8"/>
    </row>
    <row r="23" spans="1:24" x14ac:dyDescent="0.25">
      <c r="A23" s="8"/>
      <c r="B23" s="8"/>
    </row>
    <row r="24" spans="1:24" x14ac:dyDescent="0.25">
      <c r="A24" s="8"/>
      <c r="B24" s="8"/>
    </row>
    <row r="25" spans="1:24" x14ac:dyDescent="0.25">
      <c r="A25" s="58" t="s">
        <v>7</v>
      </c>
      <c r="B25" s="58"/>
      <c r="C25" s="58"/>
      <c r="D25" s="58"/>
      <c r="E25" s="58"/>
      <c r="F25" s="58"/>
      <c r="G25" s="58"/>
      <c r="H25" s="58"/>
      <c r="I25" s="58"/>
      <c r="J25" s="58"/>
      <c r="K25" s="58"/>
      <c r="L25" s="58"/>
      <c r="M25" s="58"/>
      <c r="N25" s="58"/>
      <c r="O25" s="58"/>
      <c r="P25" s="58"/>
      <c r="Q25" s="58"/>
      <c r="R25" s="58"/>
      <c r="S25" s="58"/>
      <c r="T25" s="58"/>
      <c r="U25" s="58"/>
      <c r="V25" s="58"/>
      <c r="W25" s="58"/>
      <c r="X25" s="58"/>
    </row>
    <row r="26" spans="1:24" x14ac:dyDescent="0.25">
      <c r="A26" s="59"/>
      <c r="B26" s="59"/>
      <c r="C26" s="59"/>
      <c r="D26" s="59"/>
      <c r="E26" s="59"/>
      <c r="F26" s="59"/>
      <c r="G26" s="59"/>
      <c r="H26" s="59"/>
      <c r="I26" s="59"/>
      <c r="J26" s="59"/>
      <c r="K26" s="59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</row>
    <row r="27" spans="1:24" x14ac:dyDescent="0.25">
      <c r="A27" s="48" t="s">
        <v>8</v>
      </c>
      <c r="B27" s="48" t="s">
        <v>11</v>
      </c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</row>
    <row r="28" spans="1:24" x14ac:dyDescent="0.25">
      <c r="A28" s="48"/>
      <c r="B28" s="49">
        <v>0.127</v>
      </c>
      <c r="C28" s="49"/>
      <c r="D28" s="49"/>
      <c r="E28" s="49">
        <v>0.12</v>
      </c>
      <c r="F28" s="49"/>
      <c r="G28" s="49"/>
      <c r="H28" s="49"/>
      <c r="I28" s="49"/>
      <c r="J28" s="49">
        <v>0.2</v>
      </c>
      <c r="K28" s="49"/>
      <c r="L28" s="49"/>
      <c r="M28" s="49"/>
      <c r="N28" s="49"/>
      <c r="O28" s="49">
        <v>0.16</v>
      </c>
      <c r="P28" s="49"/>
      <c r="Q28" s="49"/>
      <c r="R28" s="49"/>
      <c r="S28" s="49"/>
      <c r="T28" s="47">
        <v>0.08</v>
      </c>
      <c r="U28" s="47"/>
      <c r="V28" s="47"/>
      <c r="W28" s="47"/>
      <c r="X28" s="47"/>
    </row>
    <row r="29" spans="1:24" x14ac:dyDescent="0.25">
      <c r="A29" s="48"/>
      <c r="B29" s="48" t="s">
        <v>12</v>
      </c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</row>
    <row r="30" spans="1:24" x14ac:dyDescent="0.25">
      <c r="A30" s="36">
        <v>45170</v>
      </c>
      <c r="B30" s="35"/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</row>
    <row r="31" spans="1:24" x14ac:dyDescent="0.25">
      <c r="A31" s="37"/>
      <c r="B31" s="35"/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</row>
    <row r="32" spans="1:24" x14ac:dyDescent="0.25">
      <c r="A32" s="37"/>
      <c r="B32" s="35"/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</row>
    <row r="33" spans="1:24" x14ac:dyDescent="0.25">
      <c r="A33" s="37"/>
      <c r="B33" s="35"/>
      <c r="C33" s="35"/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</row>
    <row r="34" spans="1:24" x14ac:dyDescent="0.25">
      <c r="A34" s="37"/>
      <c r="B34" s="35"/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</row>
    <row r="35" spans="1:24" x14ac:dyDescent="0.25">
      <c r="A35" s="37"/>
      <c r="B35" s="35"/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</row>
    <row r="36" spans="1:24" x14ac:dyDescent="0.25">
      <c r="A36" s="5" t="s">
        <v>10</v>
      </c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4"/>
      <c r="U36" s="34"/>
      <c r="V36" s="34"/>
      <c r="W36" s="34"/>
      <c r="X36" s="34"/>
    </row>
  </sheetData>
  <mergeCells count="28">
    <mergeCell ref="A1:AK6"/>
    <mergeCell ref="A7:A8"/>
    <mergeCell ref="B7:B8"/>
    <mergeCell ref="C7:C8"/>
    <mergeCell ref="D7:D8"/>
    <mergeCell ref="E7:AI7"/>
    <mergeCell ref="AJ7:AJ8"/>
    <mergeCell ref="AK7:AK8"/>
    <mergeCell ref="A25:X26"/>
    <mergeCell ref="A27:A29"/>
    <mergeCell ref="B27:X27"/>
    <mergeCell ref="B28:D28"/>
    <mergeCell ref="J28:N28"/>
    <mergeCell ref="O28:S28"/>
    <mergeCell ref="T28:X28"/>
    <mergeCell ref="B29:X29"/>
    <mergeCell ref="E28:I28"/>
    <mergeCell ref="A30:A35"/>
    <mergeCell ref="B30:D35"/>
    <mergeCell ref="J30:N35"/>
    <mergeCell ref="O30:S35"/>
    <mergeCell ref="T30:X35"/>
    <mergeCell ref="E30:I35"/>
    <mergeCell ref="E36:I36"/>
    <mergeCell ref="B36:D36"/>
    <mergeCell ref="J36:N36"/>
    <mergeCell ref="O36:S36"/>
    <mergeCell ref="T36:X36"/>
  </mergeCells>
  <pageMargins left="0.7" right="0.7" top="0.75" bottom="0.75" header="0.3" footer="0.3"/>
  <ignoredErrors>
    <ignoredError sqref="AJ10:AJ13" formulaRange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Agustus 2023</vt:lpstr>
      <vt:lpstr>September 2023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ADM-B1</dc:creator>
  <cp:lastModifiedBy>ADM-B1</cp:lastModifiedBy>
  <dcterms:created xsi:type="dcterms:W3CDTF">2023-08-03T02:07:50Z</dcterms:created>
  <dcterms:modified xsi:type="dcterms:W3CDTF">2023-09-06T03:00:44Z</dcterms:modified>
</cp:coreProperties>
</file>