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88" activeTab="1"/>
  </bookViews>
  <sheets>
    <sheet name="02" sheetId="4" r:id="rId1"/>
    <sheet name="03" sheetId="6" r:id="rId2"/>
    <sheet name="03b" sheetId="5" r:id="rId3"/>
    <sheet name="Sheet1" sheetId="1" r:id="rId4"/>
  </sheets>
  <definedNames>
    <definedName name="_xlnm._FilterDatabase" localSheetId="0" hidden="1">'02'!$A$2:$AV$235</definedName>
    <definedName name="_xlnm._FilterDatabase" localSheetId="1" hidden="1">'03'!$A$2:$AX$235</definedName>
    <definedName name="_xlnm._FilterDatabase" localSheetId="2" hidden="1">'03b'!$A$2:$AW$261</definedName>
    <definedName name="_xlnm._FilterDatabase" localSheetId="3" hidden="1">Sheet1!$A$1:$P$52</definedName>
    <definedName name="_xlnm.Print_Area" localSheetId="0">'02'!$A$1:$AF$235</definedName>
    <definedName name="_xlnm.Print_Area" localSheetId="1">'03'!$A$1:$AF$235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8" i="6" l="1"/>
  <c r="M243" i="6"/>
  <c r="M240" i="6"/>
  <c r="L268" i="6" l="1"/>
  <c r="AJ295" i="4" l="1"/>
  <c r="AI295" i="4"/>
  <c r="AK295" i="4"/>
  <c r="L240" i="6" l="1"/>
  <c r="J240" i="6"/>
  <c r="T289" i="6" l="1"/>
  <c r="J295" i="6"/>
  <c r="I295" i="6"/>
  <c r="I240" i="6" l="1"/>
  <c r="E77" i="1" l="1"/>
  <c r="C77" i="1"/>
  <c r="C76" i="1"/>
  <c r="C75" i="1"/>
  <c r="C74" i="1"/>
  <c r="C73" i="1"/>
  <c r="C72" i="1"/>
  <c r="C71" i="1"/>
  <c r="C70" i="1"/>
  <c r="C69" i="1"/>
  <c r="C68" i="1"/>
  <c r="C67" i="1"/>
  <c r="C66" i="1"/>
  <c r="I63" i="1"/>
  <c r="E63" i="1"/>
  <c r="C63" i="1"/>
  <c r="I62" i="1"/>
  <c r="C62" i="1"/>
  <c r="I61" i="1"/>
  <c r="C61" i="1"/>
  <c r="I60" i="1"/>
  <c r="C60" i="1"/>
  <c r="I59" i="1"/>
  <c r="C59" i="1"/>
  <c r="I58" i="1"/>
  <c r="C58" i="1"/>
  <c r="I57" i="1"/>
  <c r="C57" i="1"/>
  <c r="I56" i="1"/>
  <c r="H52" i="1"/>
  <c r="G52" i="1"/>
  <c r="F50" i="1"/>
  <c r="F49" i="1"/>
  <c r="F48" i="1"/>
  <c r="F47" i="1"/>
  <c r="F46" i="1"/>
  <c r="F45" i="1"/>
  <c r="H44" i="1"/>
  <c r="F44" i="1"/>
  <c r="I43" i="1"/>
  <c r="H43" i="1"/>
  <c r="F43" i="1"/>
  <c r="I38" i="1"/>
  <c r="H38" i="1"/>
  <c r="I37" i="1"/>
  <c r="H37" i="1"/>
  <c r="F37" i="1"/>
  <c r="I32" i="1"/>
  <c r="H32" i="1"/>
  <c r="F32" i="1"/>
  <c r="I31" i="1"/>
  <c r="H31" i="1"/>
  <c r="I30" i="1"/>
  <c r="H30" i="1"/>
  <c r="F30" i="1"/>
  <c r="F29" i="1"/>
  <c r="F28" i="1"/>
  <c r="I27" i="1"/>
  <c r="H27" i="1"/>
  <c r="F27" i="1"/>
  <c r="C27" i="1"/>
  <c r="F26" i="1"/>
  <c r="F25" i="1"/>
  <c r="I24" i="1"/>
  <c r="H24" i="1"/>
  <c r="F24" i="1"/>
  <c r="H23" i="1"/>
  <c r="F23" i="1"/>
  <c r="F22" i="1"/>
  <c r="I21" i="1"/>
  <c r="H21" i="1"/>
  <c r="F21" i="1"/>
  <c r="C21" i="1"/>
  <c r="H20" i="1"/>
  <c r="F20" i="1"/>
  <c r="F19" i="1"/>
  <c r="I18" i="1"/>
  <c r="H18" i="1"/>
  <c r="F18" i="1"/>
  <c r="C18" i="1"/>
  <c r="F17" i="1"/>
  <c r="F16" i="1"/>
  <c r="F15" i="1"/>
  <c r="I14" i="1"/>
  <c r="F14" i="1"/>
  <c r="I13" i="1"/>
  <c r="H13" i="1"/>
  <c r="F13" i="1"/>
  <c r="C13" i="1"/>
  <c r="F12" i="1"/>
  <c r="F11" i="1"/>
  <c r="F10" i="1"/>
  <c r="F9" i="1"/>
  <c r="I8" i="1"/>
  <c r="F8" i="1"/>
  <c r="I7" i="1"/>
  <c r="H7" i="1"/>
  <c r="F7" i="1"/>
  <c r="F6" i="1"/>
  <c r="F5" i="1"/>
  <c r="F4" i="1"/>
  <c r="I3" i="1"/>
  <c r="F3" i="1"/>
  <c r="I2" i="1"/>
  <c r="H2" i="1"/>
  <c r="G2" i="1"/>
  <c r="F2" i="1"/>
  <c r="AP330" i="5"/>
  <c r="I329" i="5"/>
  <c r="AK327" i="5"/>
  <c r="AJ327" i="5"/>
  <c r="AI327" i="5"/>
  <c r="AH327" i="5"/>
  <c r="AF327" i="5"/>
  <c r="AE327" i="5"/>
  <c r="AD327" i="5"/>
  <c r="AC327" i="5"/>
  <c r="AB327" i="5"/>
  <c r="AA327" i="5"/>
  <c r="Y327" i="5"/>
  <c r="X327" i="5"/>
  <c r="W327" i="5"/>
  <c r="U327" i="5"/>
  <c r="T327" i="5"/>
  <c r="O327" i="5"/>
  <c r="N327" i="5"/>
  <c r="M327" i="5"/>
  <c r="K327" i="5"/>
  <c r="J327" i="5"/>
  <c r="I327" i="5"/>
  <c r="AK326" i="5"/>
  <c r="AJ326" i="5"/>
  <c r="AI326" i="5"/>
  <c r="AH326" i="5"/>
  <c r="AF326" i="5"/>
  <c r="AE326" i="5"/>
  <c r="AD326" i="5"/>
  <c r="AC326" i="5"/>
  <c r="AB326" i="5"/>
  <c r="AA326" i="5"/>
  <c r="Y326" i="5"/>
  <c r="X326" i="5"/>
  <c r="W326" i="5"/>
  <c r="U326" i="5"/>
  <c r="T326" i="5"/>
  <c r="O326" i="5"/>
  <c r="N326" i="5"/>
  <c r="M326" i="5"/>
  <c r="K326" i="5"/>
  <c r="J326" i="5"/>
  <c r="AK325" i="5"/>
  <c r="AJ325" i="5"/>
  <c r="AI325" i="5"/>
  <c r="AH325" i="5"/>
  <c r="AF325" i="5"/>
  <c r="AE325" i="5"/>
  <c r="AD325" i="5"/>
  <c r="AC325" i="5"/>
  <c r="AB325" i="5"/>
  <c r="AA325" i="5"/>
  <c r="Y325" i="5"/>
  <c r="X325" i="5"/>
  <c r="W325" i="5"/>
  <c r="U325" i="5"/>
  <c r="T325" i="5"/>
  <c r="O325" i="5"/>
  <c r="N325" i="5"/>
  <c r="M325" i="5"/>
  <c r="K325" i="5"/>
  <c r="J325" i="5"/>
  <c r="AK324" i="5"/>
  <c r="AJ324" i="5"/>
  <c r="AI324" i="5"/>
  <c r="AH324" i="5"/>
  <c r="AF324" i="5"/>
  <c r="AE324" i="5"/>
  <c r="AD324" i="5"/>
  <c r="AC324" i="5"/>
  <c r="AB324" i="5"/>
  <c r="AA324" i="5"/>
  <c r="Y324" i="5"/>
  <c r="X324" i="5"/>
  <c r="W324" i="5"/>
  <c r="U324" i="5"/>
  <c r="T324" i="5"/>
  <c r="O324" i="5"/>
  <c r="N324" i="5"/>
  <c r="M324" i="5"/>
  <c r="K324" i="5"/>
  <c r="J324" i="5"/>
  <c r="I324" i="5"/>
  <c r="AK323" i="5"/>
  <c r="AJ323" i="5"/>
  <c r="AI323" i="5"/>
  <c r="AH323" i="5"/>
  <c r="AF323" i="5"/>
  <c r="AE323" i="5"/>
  <c r="AD323" i="5"/>
  <c r="AC323" i="5"/>
  <c r="AB323" i="5"/>
  <c r="AA323" i="5"/>
  <c r="Y323" i="5"/>
  <c r="X323" i="5"/>
  <c r="W323" i="5"/>
  <c r="U323" i="5"/>
  <c r="T323" i="5"/>
  <c r="O323" i="5"/>
  <c r="N323" i="5"/>
  <c r="M323" i="5"/>
  <c r="K323" i="5"/>
  <c r="J323" i="5"/>
  <c r="I323" i="5"/>
  <c r="AK322" i="5"/>
  <c r="AJ322" i="5"/>
  <c r="AI322" i="5"/>
  <c r="AH322" i="5"/>
  <c r="AF322" i="5"/>
  <c r="AE322" i="5"/>
  <c r="AD322" i="5"/>
  <c r="AC322" i="5"/>
  <c r="AB322" i="5"/>
  <c r="AA322" i="5"/>
  <c r="Y322" i="5"/>
  <c r="X322" i="5"/>
  <c r="W322" i="5"/>
  <c r="U322" i="5"/>
  <c r="T322" i="5"/>
  <c r="O322" i="5"/>
  <c r="N322" i="5"/>
  <c r="M322" i="5"/>
  <c r="K322" i="5"/>
  <c r="J322" i="5"/>
  <c r="I322" i="5"/>
  <c r="AK321" i="5"/>
  <c r="AJ321" i="5"/>
  <c r="AI321" i="5"/>
  <c r="AH321" i="5"/>
  <c r="AF321" i="5"/>
  <c r="AE321" i="5"/>
  <c r="AD321" i="5"/>
  <c r="AC321" i="5"/>
  <c r="AB321" i="5"/>
  <c r="AA321" i="5"/>
  <c r="Y321" i="5"/>
  <c r="X321" i="5"/>
  <c r="W321" i="5"/>
  <c r="U321" i="5"/>
  <c r="T321" i="5"/>
  <c r="O321" i="5"/>
  <c r="N321" i="5"/>
  <c r="M321" i="5"/>
  <c r="K321" i="5"/>
  <c r="J321" i="5"/>
  <c r="I321" i="5"/>
  <c r="AK320" i="5"/>
  <c r="AJ320" i="5"/>
  <c r="AI320" i="5"/>
  <c r="AH320" i="5"/>
  <c r="AF320" i="5"/>
  <c r="AE320" i="5"/>
  <c r="AD320" i="5"/>
  <c r="AC320" i="5"/>
  <c r="AB320" i="5"/>
  <c r="AA320" i="5"/>
  <c r="Y320" i="5"/>
  <c r="X320" i="5"/>
  <c r="W320" i="5"/>
  <c r="U320" i="5"/>
  <c r="T320" i="5"/>
  <c r="O320" i="5"/>
  <c r="N320" i="5"/>
  <c r="M320" i="5"/>
  <c r="K320" i="5"/>
  <c r="J320" i="5"/>
  <c r="I320" i="5"/>
  <c r="AO319" i="5"/>
  <c r="AN319" i="5"/>
  <c r="AG308" i="5"/>
  <c r="Z308" i="5"/>
  <c r="P308" i="5"/>
  <c r="AJ305" i="5"/>
  <c r="AI305" i="5"/>
  <c r="AH305" i="5"/>
  <c r="AG305" i="5"/>
  <c r="AD305" i="5"/>
  <c r="AC305" i="5"/>
  <c r="AB305" i="5"/>
  <c r="AA305" i="5"/>
  <c r="Z305" i="5"/>
  <c r="W305" i="5"/>
  <c r="V305" i="5"/>
  <c r="U305" i="5"/>
  <c r="T305" i="5"/>
  <c r="P305" i="5"/>
  <c r="O305" i="5"/>
  <c r="N305" i="5"/>
  <c r="M305" i="5"/>
  <c r="L305" i="5"/>
  <c r="I305" i="5"/>
  <c r="AJ302" i="5"/>
  <c r="AI302" i="5"/>
  <c r="AH302" i="5"/>
  <c r="AG302" i="5"/>
  <c r="AD302" i="5"/>
  <c r="AC302" i="5"/>
  <c r="AB302" i="5"/>
  <c r="AA302" i="5"/>
  <c r="Z302" i="5"/>
  <c r="W302" i="5"/>
  <c r="V302" i="5"/>
  <c r="U302" i="5"/>
  <c r="T302" i="5"/>
  <c r="P302" i="5"/>
  <c r="O302" i="5"/>
  <c r="N302" i="5"/>
  <c r="M302" i="5"/>
  <c r="L302" i="5"/>
  <c r="I302" i="5"/>
  <c r="AJ299" i="5"/>
  <c r="AI299" i="5"/>
  <c r="AH299" i="5"/>
  <c r="AG299" i="5"/>
  <c r="AD299" i="5"/>
  <c r="AC299" i="5"/>
  <c r="AB299" i="5"/>
  <c r="AA299" i="5"/>
  <c r="Z299" i="5"/>
  <c r="W299" i="5"/>
  <c r="V299" i="5"/>
  <c r="U299" i="5"/>
  <c r="T299" i="5"/>
  <c r="P299" i="5"/>
  <c r="O299" i="5"/>
  <c r="N299" i="5"/>
  <c r="M299" i="5"/>
  <c r="L299" i="5"/>
  <c r="I299" i="5"/>
  <c r="AJ296" i="5"/>
  <c r="AI296" i="5"/>
  <c r="AH296" i="5"/>
  <c r="AG296" i="5"/>
  <c r="AD296" i="5"/>
  <c r="AC296" i="5"/>
  <c r="AB296" i="5"/>
  <c r="AA296" i="5"/>
  <c r="Z296" i="5"/>
  <c r="W296" i="5"/>
  <c r="V296" i="5"/>
  <c r="U296" i="5"/>
  <c r="T296" i="5"/>
  <c r="P296" i="5"/>
  <c r="O296" i="5"/>
  <c r="N296" i="5"/>
  <c r="M296" i="5"/>
  <c r="L296" i="5"/>
  <c r="I296" i="5"/>
  <c r="AJ294" i="5"/>
  <c r="AI294" i="5"/>
  <c r="AH294" i="5"/>
  <c r="AG294" i="5"/>
  <c r="AD294" i="5"/>
  <c r="AC294" i="5"/>
  <c r="AB294" i="5"/>
  <c r="AA294" i="5"/>
  <c r="Z294" i="5"/>
  <c r="W294" i="5"/>
  <c r="V294" i="5"/>
  <c r="U294" i="5"/>
  <c r="T294" i="5"/>
  <c r="P294" i="5"/>
  <c r="O294" i="5"/>
  <c r="N294" i="5"/>
  <c r="M294" i="5"/>
  <c r="L294" i="5"/>
  <c r="I294" i="5"/>
  <c r="AJ292" i="5"/>
  <c r="AI292" i="5"/>
  <c r="AH292" i="5"/>
  <c r="AG292" i="5"/>
  <c r="AD292" i="5"/>
  <c r="AC292" i="5"/>
  <c r="AB292" i="5"/>
  <c r="AA292" i="5"/>
  <c r="Z292" i="5"/>
  <c r="W292" i="5"/>
  <c r="V292" i="5"/>
  <c r="U292" i="5"/>
  <c r="T292" i="5"/>
  <c r="P292" i="5"/>
  <c r="O292" i="5"/>
  <c r="N292" i="5"/>
  <c r="M292" i="5"/>
  <c r="L292" i="5"/>
  <c r="I292" i="5"/>
  <c r="AJ289" i="5"/>
  <c r="AI289" i="5"/>
  <c r="AH289" i="5"/>
  <c r="AG289" i="5"/>
  <c r="AD289" i="5"/>
  <c r="AC289" i="5"/>
  <c r="AB289" i="5"/>
  <c r="AA289" i="5"/>
  <c r="Z289" i="5"/>
  <c r="W289" i="5"/>
  <c r="V289" i="5"/>
  <c r="U289" i="5"/>
  <c r="T289" i="5"/>
  <c r="P289" i="5"/>
  <c r="O289" i="5"/>
  <c r="N289" i="5"/>
  <c r="M289" i="5"/>
  <c r="L289" i="5"/>
  <c r="I289" i="5"/>
  <c r="AJ286" i="5"/>
  <c r="AI286" i="5"/>
  <c r="AH286" i="5"/>
  <c r="AG286" i="5"/>
  <c r="AD286" i="5"/>
  <c r="AC286" i="5"/>
  <c r="AB286" i="5"/>
  <c r="AA286" i="5"/>
  <c r="Z286" i="5"/>
  <c r="W286" i="5"/>
  <c r="V286" i="5"/>
  <c r="U286" i="5"/>
  <c r="T286" i="5"/>
  <c r="P286" i="5"/>
  <c r="O286" i="5"/>
  <c r="N286" i="5"/>
  <c r="M286" i="5"/>
  <c r="L286" i="5"/>
  <c r="I286" i="5"/>
  <c r="AJ283" i="5"/>
  <c r="AI283" i="5"/>
  <c r="AH283" i="5"/>
  <c r="AG283" i="5"/>
  <c r="AD283" i="5"/>
  <c r="AC283" i="5"/>
  <c r="AB283" i="5"/>
  <c r="AA283" i="5"/>
  <c r="Z283" i="5"/>
  <c r="W283" i="5"/>
  <c r="V283" i="5"/>
  <c r="U283" i="5"/>
  <c r="T283" i="5"/>
  <c r="P283" i="5"/>
  <c r="O283" i="5"/>
  <c r="N283" i="5"/>
  <c r="M283" i="5"/>
  <c r="L283" i="5"/>
  <c r="I283" i="5"/>
  <c r="AJ280" i="5"/>
  <c r="AI280" i="5"/>
  <c r="AH280" i="5"/>
  <c r="AG280" i="5"/>
  <c r="AD280" i="5"/>
  <c r="AC280" i="5"/>
  <c r="AB280" i="5"/>
  <c r="AA280" i="5"/>
  <c r="Z280" i="5"/>
  <c r="W280" i="5"/>
  <c r="V280" i="5"/>
  <c r="U280" i="5"/>
  <c r="T280" i="5"/>
  <c r="P280" i="5"/>
  <c r="O280" i="5"/>
  <c r="N280" i="5"/>
  <c r="M280" i="5"/>
  <c r="L280" i="5"/>
  <c r="I280" i="5"/>
  <c r="AD259" i="5"/>
  <c r="W259" i="5"/>
  <c r="O259" i="5"/>
  <c r="AJ256" i="5"/>
  <c r="AI256" i="5"/>
  <c r="AH256" i="5"/>
  <c r="AG256" i="5"/>
  <c r="AD256" i="5"/>
  <c r="AC256" i="5"/>
  <c r="AB256" i="5"/>
  <c r="AA256" i="5"/>
  <c r="Z256" i="5"/>
  <c r="W256" i="5"/>
  <c r="V256" i="5"/>
  <c r="U256" i="5"/>
  <c r="T256" i="5"/>
  <c r="P256" i="5"/>
  <c r="O256" i="5"/>
  <c r="N256" i="5"/>
  <c r="M256" i="5"/>
  <c r="L256" i="5"/>
  <c r="I256" i="5"/>
  <c r="AJ253" i="5"/>
  <c r="AI253" i="5"/>
  <c r="AH253" i="5"/>
  <c r="AG253" i="5"/>
  <c r="AD253" i="5"/>
  <c r="AC253" i="5"/>
  <c r="AB253" i="5"/>
  <c r="AA253" i="5"/>
  <c r="Z253" i="5"/>
  <c r="W253" i="5"/>
  <c r="V253" i="5"/>
  <c r="U253" i="5"/>
  <c r="T253" i="5"/>
  <c r="P253" i="5"/>
  <c r="O253" i="5"/>
  <c r="N253" i="5"/>
  <c r="M253" i="5"/>
  <c r="L253" i="5"/>
  <c r="I253" i="5"/>
  <c r="AJ250" i="5"/>
  <c r="AI250" i="5"/>
  <c r="AH250" i="5"/>
  <c r="AG250" i="5"/>
  <c r="AD250" i="5"/>
  <c r="AC250" i="5"/>
  <c r="AB250" i="5"/>
  <c r="AA250" i="5"/>
  <c r="Z250" i="5"/>
  <c r="W250" i="5"/>
  <c r="V250" i="5"/>
  <c r="U250" i="5"/>
  <c r="T250" i="5"/>
  <c r="P250" i="5"/>
  <c r="O250" i="5"/>
  <c r="N250" i="5"/>
  <c r="M250" i="5"/>
  <c r="L250" i="5"/>
  <c r="I250" i="5"/>
  <c r="AJ247" i="5"/>
  <c r="AI247" i="5"/>
  <c r="AH247" i="5"/>
  <c r="AG247" i="5"/>
  <c r="AD247" i="5"/>
  <c r="AC247" i="5"/>
  <c r="AB247" i="5"/>
  <c r="AA247" i="5"/>
  <c r="Z247" i="5"/>
  <c r="W247" i="5"/>
  <c r="V247" i="5"/>
  <c r="U247" i="5"/>
  <c r="T247" i="5"/>
  <c r="P247" i="5"/>
  <c r="O247" i="5"/>
  <c r="N247" i="5"/>
  <c r="M247" i="5"/>
  <c r="L247" i="5"/>
  <c r="I247" i="5"/>
  <c r="AJ244" i="5"/>
  <c r="AI244" i="5"/>
  <c r="AH244" i="5"/>
  <c r="AG244" i="5"/>
  <c r="AD244" i="5"/>
  <c r="AC244" i="5"/>
  <c r="AB244" i="5"/>
  <c r="AA244" i="5"/>
  <c r="Z244" i="5"/>
  <c r="W244" i="5"/>
  <c r="V244" i="5"/>
  <c r="U244" i="5"/>
  <c r="T244" i="5"/>
  <c r="P244" i="5"/>
  <c r="O244" i="5"/>
  <c r="N244" i="5"/>
  <c r="M244" i="5"/>
  <c r="L244" i="5"/>
  <c r="I244" i="5"/>
  <c r="AJ242" i="5"/>
  <c r="AI242" i="5"/>
  <c r="AH242" i="5"/>
  <c r="AG242" i="5"/>
  <c r="AD242" i="5"/>
  <c r="AC242" i="5"/>
  <c r="AB242" i="5"/>
  <c r="AA242" i="5"/>
  <c r="Z242" i="5"/>
  <c r="W242" i="5"/>
  <c r="V242" i="5"/>
  <c r="U242" i="5"/>
  <c r="T242" i="5"/>
  <c r="P242" i="5"/>
  <c r="O242" i="5"/>
  <c r="N242" i="5"/>
  <c r="M242" i="5"/>
  <c r="L242" i="5"/>
  <c r="I242" i="5"/>
  <c r="AJ240" i="5"/>
  <c r="AI240" i="5"/>
  <c r="AH240" i="5"/>
  <c r="AG240" i="5"/>
  <c r="AD240" i="5"/>
  <c r="AC240" i="5"/>
  <c r="AB240" i="5"/>
  <c r="AA240" i="5"/>
  <c r="Z240" i="5"/>
  <c r="W240" i="5"/>
  <c r="V240" i="5"/>
  <c r="U240" i="5"/>
  <c r="T240" i="5"/>
  <c r="P240" i="5"/>
  <c r="O240" i="5"/>
  <c r="N240" i="5"/>
  <c r="M240" i="5"/>
  <c r="L240" i="5"/>
  <c r="I240" i="5"/>
  <c r="AJ238" i="5"/>
  <c r="AI238" i="5"/>
  <c r="AH238" i="5"/>
  <c r="AG238" i="5"/>
  <c r="AD238" i="5"/>
  <c r="AC238" i="5"/>
  <c r="AB238" i="5"/>
  <c r="AA238" i="5"/>
  <c r="Z238" i="5"/>
  <c r="W238" i="5"/>
  <c r="V238" i="5"/>
  <c r="U238" i="5"/>
  <c r="T238" i="5"/>
  <c r="P238" i="5"/>
  <c r="O238" i="5"/>
  <c r="N238" i="5"/>
  <c r="M238" i="5"/>
  <c r="L238" i="5"/>
  <c r="I238" i="5"/>
  <c r="AJ234" i="5"/>
  <c r="AI234" i="5"/>
  <c r="AH234" i="5"/>
  <c r="AG234" i="5"/>
  <c r="AD234" i="5"/>
  <c r="AC234" i="5"/>
  <c r="AB234" i="5"/>
  <c r="AA234" i="5"/>
  <c r="Z234" i="5"/>
  <c r="W234" i="5"/>
  <c r="V234" i="5"/>
  <c r="U234" i="5"/>
  <c r="T234" i="5"/>
  <c r="P234" i="5"/>
  <c r="O234" i="5"/>
  <c r="N234" i="5"/>
  <c r="M234" i="5"/>
  <c r="L234" i="5"/>
  <c r="I234" i="5"/>
  <c r="AJ232" i="5"/>
  <c r="AI232" i="5"/>
  <c r="AH232" i="5"/>
  <c r="AG232" i="5"/>
  <c r="AD232" i="5"/>
  <c r="AC232" i="5"/>
  <c r="AB232" i="5"/>
  <c r="AA232" i="5"/>
  <c r="Z232" i="5"/>
  <c r="W232" i="5"/>
  <c r="V232" i="5"/>
  <c r="U232" i="5"/>
  <c r="T232" i="5"/>
  <c r="P232" i="5"/>
  <c r="O232" i="5"/>
  <c r="N232" i="5"/>
  <c r="M232" i="5"/>
  <c r="L232" i="5"/>
  <c r="I232" i="5"/>
  <c r="AJ229" i="5"/>
  <c r="AI229" i="5"/>
  <c r="AH229" i="5"/>
  <c r="AG229" i="5"/>
  <c r="AD229" i="5"/>
  <c r="AC229" i="5"/>
  <c r="AB229" i="5"/>
  <c r="AA229" i="5"/>
  <c r="Z229" i="5"/>
  <c r="W229" i="5"/>
  <c r="V229" i="5"/>
  <c r="U229" i="5"/>
  <c r="T229" i="5"/>
  <c r="P229" i="5"/>
  <c r="O229" i="5"/>
  <c r="N229" i="5"/>
  <c r="M229" i="5"/>
  <c r="L229" i="5"/>
  <c r="I229" i="5"/>
  <c r="AG214" i="5"/>
  <c r="AA214" i="5"/>
  <c r="U214" i="5"/>
  <c r="N214" i="5"/>
  <c r="AJ211" i="5"/>
  <c r="AI211" i="5"/>
  <c r="AH211" i="5"/>
  <c r="AG211" i="5"/>
  <c r="AD211" i="5"/>
  <c r="AC211" i="5"/>
  <c r="AB211" i="5"/>
  <c r="AA211" i="5"/>
  <c r="Z211" i="5"/>
  <c r="W211" i="5"/>
  <c r="V211" i="5"/>
  <c r="U211" i="5"/>
  <c r="T211" i="5"/>
  <c r="P211" i="5"/>
  <c r="O211" i="5"/>
  <c r="N211" i="5"/>
  <c r="M211" i="5"/>
  <c r="L211" i="5"/>
  <c r="I211" i="5"/>
  <c r="AI208" i="5"/>
  <c r="AH208" i="5"/>
  <c r="AC208" i="5"/>
  <c r="AB208" i="5"/>
  <c r="W208" i="5"/>
  <c r="V208" i="5"/>
  <c r="P208" i="5"/>
  <c r="O208" i="5"/>
  <c r="L208" i="5"/>
  <c r="I208" i="5"/>
  <c r="AH205" i="5"/>
  <c r="AB205" i="5"/>
  <c r="V205" i="5"/>
  <c r="O205" i="5"/>
  <c r="I205" i="5"/>
  <c r="AH203" i="5"/>
  <c r="AB203" i="5"/>
  <c r="V203" i="5"/>
  <c r="O203" i="5"/>
  <c r="I203" i="5"/>
  <c r="AH200" i="5"/>
  <c r="AB200" i="5"/>
  <c r="V200" i="5"/>
  <c r="O200" i="5"/>
  <c r="I200" i="5"/>
  <c r="AH198" i="5"/>
  <c r="AB198" i="5"/>
  <c r="V198" i="5"/>
  <c r="O198" i="5"/>
  <c r="I198" i="5"/>
  <c r="AJ195" i="5"/>
  <c r="AI195" i="5"/>
  <c r="AH195" i="5"/>
  <c r="AG195" i="5"/>
  <c r="AD195" i="5"/>
  <c r="AC195" i="5"/>
  <c r="AB195" i="5"/>
  <c r="AA195" i="5"/>
  <c r="Z195" i="5"/>
  <c r="W195" i="5"/>
  <c r="V195" i="5"/>
  <c r="U195" i="5"/>
  <c r="T195" i="5"/>
  <c r="P195" i="5"/>
  <c r="O195" i="5"/>
  <c r="N195" i="5"/>
  <c r="M195" i="5"/>
  <c r="L195" i="5"/>
  <c r="I195" i="5"/>
  <c r="I192" i="5"/>
  <c r="I189" i="5"/>
  <c r="AG186" i="5"/>
  <c r="AA186" i="5"/>
  <c r="U186" i="5"/>
  <c r="N186" i="5"/>
  <c r="AJ183" i="5"/>
  <c r="AI183" i="5"/>
  <c r="AH183" i="5"/>
  <c r="AG183" i="5"/>
  <c r="AD183" i="5"/>
  <c r="AC183" i="5"/>
  <c r="AB183" i="5"/>
  <c r="AA183" i="5"/>
  <c r="Z183" i="5"/>
  <c r="W183" i="5"/>
  <c r="V183" i="5"/>
  <c r="U183" i="5"/>
  <c r="T183" i="5"/>
  <c r="P183" i="5"/>
  <c r="O183" i="5"/>
  <c r="N183" i="5"/>
  <c r="M183" i="5"/>
  <c r="L183" i="5"/>
  <c r="I183" i="5"/>
  <c r="AH180" i="5"/>
  <c r="AG180" i="5"/>
  <c r="AB180" i="5"/>
  <c r="AA180" i="5"/>
  <c r="V180" i="5"/>
  <c r="U180" i="5"/>
  <c r="O180" i="5"/>
  <c r="N180" i="5"/>
  <c r="I180" i="5"/>
  <c r="AH177" i="5"/>
  <c r="AB177" i="5"/>
  <c r="V177" i="5"/>
  <c r="O177" i="5"/>
  <c r="I177" i="5"/>
  <c r="AH175" i="5"/>
  <c r="AB175" i="5"/>
  <c r="V175" i="5"/>
  <c r="O175" i="5"/>
  <c r="I175" i="5"/>
  <c r="AH172" i="5"/>
  <c r="AB172" i="5"/>
  <c r="V172" i="5"/>
  <c r="O172" i="5"/>
  <c r="I172" i="5"/>
  <c r="AH170" i="5"/>
  <c r="AB170" i="5"/>
  <c r="V170" i="5"/>
  <c r="O170" i="5"/>
  <c r="I170" i="5"/>
  <c r="AJ167" i="5"/>
  <c r="AI167" i="5"/>
  <c r="AH167" i="5"/>
  <c r="AG167" i="5"/>
  <c r="AD167" i="5"/>
  <c r="AC167" i="5"/>
  <c r="AB167" i="5"/>
  <c r="AA167" i="5"/>
  <c r="Z167" i="5"/>
  <c r="W167" i="5"/>
  <c r="V167" i="5"/>
  <c r="U167" i="5"/>
  <c r="T167" i="5"/>
  <c r="P167" i="5"/>
  <c r="O167" i="5"/>
  <c r="N167" i="5"/>
  <c r="M167" i="5"/>
  <c r="L167" i="5"/>
  <c r="I167" i="5"/>
  <c r="AJ164" i="5"/>
  <c r="AI164" i="5"/>
  <c r="AH164" i="5"/>
  <c r="AG164" i="5"/>
  <c r="AD164" i="5"/>
  <c r="AC164" i="5"/>
  <c r="AB164" i="5"/>
  <c r="AA164" i="5"/>
  <c r="Z164" i="5"/>
  <c r="W164" i="5"/>
  <c r="V164" i="5"/>
  <c r="U164" i="5"/>
  <c r="T164" i="5"/>
  <c r="P164" i="5"/>
  <c r="O164" i="5"/>
  <c r="N164" i="5"/>
  <c r="M164" i="5"/>
  <c r="L164" i="5"/>
  <c r="I164" i="5"/>
  <c r="I161" i="5"/>
  <c r="I158" i="5"/>
  <c r="I155" i="5"/>
  <c r="AJ152" i="5"/>
  <c r="AD152" i="5"/>
  <c r="Z152" i="5"/>
  <c r="T152" i="5"/>
  <c r="M152" i="5"/>
  <c r="AJ149" i="5"/>
  <c r="AI149" i="5"/>
  <c r="AH149" i="5"/>
  <c r="AG149" i="5"/>
  <c r="AD149" i="5"/>
  <c r="AC149" i="5"/>
  <c r="AB149" i="5"/>
  <c r="AA149" i="5"/>
  <c r="Z149" i="5"/>
  <c r="W149" i="5"/>
  <c r="V149" i="5"/>
  <c r="U149" i="5"/>
  <c r="T149" i="5"/>
  <c r="P149" i="5"/>
  <c r="O149" i="5"/>
  <c r="N149" i="5"/>
  <c r="M149" i="5"/>
  <c r="L149" i="5"/>
  <c r="I149" i="5"/>
  <c r="AH146" i="5"/>
  <c r="AB146" i="5"/>
  <c r="V146" i="5"/>
  <c r="O146" i="5"/>
  <c r="I146" i="5"/>
  <c r="AH143" i="5"/>
  <c r="AB143" i="5"/>
  <c r="V143" i="5"/>
  <c r="O143" i="5"/>
  <c r="I143" i="5"/>
  <c r="AI137" i="5"/>
  <c r="AG137" i="5"/>
  <c r="AC137" i="5"/>
  <c r="AA137" i="5"/>
  <c r="W137" i="5"/>
  <c r="U137" i="5"/>
  <c r="P137" i="5"/>
  <c r="N137" i="5"/>
  <c r="L137" i="5"/>
  <c r="AJ134" i="5"/>
  <c r="AI134" i="5"/>
  <c r="AH134" i="5"/>
  <c r="AG134" i="5"/>
  <c r="AD134" i="5"/>
  <c r="AC134" i="5"/>
  <c r="AB134" i="5"/>
  <c r="AA134" i="5"/>
  <c r="Z134" i="5"/>
  <c r="W134" i="5"/>
  <c r="V134" i="5"/>
  <c r="U134" i="5"/>
  <c r="T134" i="5"/>
  <c r="P134" i="5"/>
  <c r="O134" i="5"/>
  <c r="N134" i="5"/>
  <c r="M134" i="5"/>
  <c r="L134" i="5"/>
  <c r="I134" i="5"/>
  <c r="AJ131" i="5"/>
  <c r="AI131" i="5"/>
  <c r="AH131" i="5"/>
  <c r="AG131" i="5"/>
  <c r="AD131" i="5"/>
  <c r="AC131" i="5"/>
  <c r="AB131" i="5"/>
  <c r="AA131" i="5"/>
  <c r="Z131" i="5"/>
  <c r="W131" i="5"/>
  <c r="V131" i="5"/>
  <c r="U131" i="5"/>
  <c r="T131" i="5"/>
  <c r="P131" i="5"/>
  <c r="O131" i="5"/>
  <c r="N131" i="5"/>
  <c r="M131" i="5"/>
  <c r="L131" i="5"/>
  <c r="I131" i="5"/>
  <c r="AJ128" i="5"/>
  <c r="AI128" i="5"/>
  <c r="AH128" i="5"/>
  <c r="AG128" i="5"/>
  <c r="AD128" i="5"/>
  <c r="AC128" i="5"/>
  <c r="AB128" i="5"/>
  <c r="AA128" i="5"/>
  <c r="Z128" i="5"/>
  <c r="W128" i="5"/>
  <c r="V128" i="5"/>
  <c r="U128" i="5"/>
  <c r="T128" i="5"/>
  <c r="P128" i="5"/>
  <c r="O128" i="5"/>
  <c r="N128" i="5"/>
  <c r="M128" i="5"/>
  <c r="L128" i="5"/>
  <c r="I128" i="5"/>
  <c r="AD119" i="5"/>
  <c r="W119" i="5"/>
  <c r="O119" i="5"/>
  <c r="AI116" i="5"/>
  <c r="AB116" i="5"/>
  <c r="U116" i="5"/>
  <c r="M116" i="5"/>
  <c r="AG113" i="5"/>
  <c r="Z113" i="5"/>
  <c r="P113" i="5"/>
  <c r="I113" i="5"/>
  <c r="AD110" i="5"/>
  <c r="W110" i="5"/>
  <c r="O110" i="5"/>
  <c r="I107" i="5"/>
  <c r="I104" i="5"/>
  <c r="AG101" i="5"/>
  <c r="Z101" i="5"/>
  <c r="P101" i="5"/>
  <c r="AJ98" i="5"/>
  <c r="AI98" i="5"/>
  <c r="AD98" i="5"/>
  <c r="AC98" i="5"/>
  <c r="AB98" i="5"/>
  <c r="W98" i="5"/>
  <c r="V98" i="5"/>
  <c r="U98" i="5"/>
  <c r="O98" i="5"/>
  <c r="N98" i="5"/>
  <c r="M98" i="5"/>
  <c r="AH95" i="5"/>
  <c r="AA95" i="5"/>
  <c r="T95" i="5"/>
  <c r="L95" i="5"/>
  <c r="AG92" i="5"/>
  <c r="Z92" i="5"/>
  <c r="P92" i="5"/>
  <c r="I92" i="5"/>
  <c r="I89" i="5"/>
  <c r="I86" i="5"/>
  <c r="AD83" i="5"/>
  <c r="W83" i="5"/>
  <c r="O83" i="5"/>
  <c r="AJ80" i="5"/>
  <c r="AI80" i="5"/>
  <c r="AH80" i="5"/>
  <c r="AG80" i="5"/>
  <c r="AD80" i="5"/>
  <c r="AC80" i="5"/>
  <c r="AB80" i="5"/>
  <c r="AA80" i="5"/>
  <c r="Z80" i="5"/>
  <c r="W80" i="5"/>
  <c r="V80" i="5"/>
  <c r="U80" i="5"/>
  <c r="T80" i="5"/>
  <c r="P80" i="5"/>
  <c r="O80" i="5"/>
  <c r="N80" i="5"/>
  <c r="M80" i="5"/>
  <c r="L80" i="5"/>
  <c r="I80" i="5"/>
  <c r="AJ77" i="5"/>
  <c r="AI77" i="5"/>
  <c r="AH77" i="5"/>
  <c r="AG77" i="5"/>
  <c r="AD77" i="5"/>
  <c r="AC77" i="5"/>
  <c r="AB77" i="5"/>
  <c r="AA77" i="5"/>
  <c r="Z77" i="5"/>
  <c r="W77" i="5"/>
  <c r="V77" i="5"/>
  <c r="U77" i="5"/>
  <c r="T77" i="5"/>
  <c r="P77" i="5"/>
  <c r="O77" i="5"/>
  <c r="N77" i="5"/>
  <c r="M77" i="5"/>
  <c r="L77" i="5"/>
  <c r="I77" i="5"/>
  <c r="AJ74" i="5"/>
  <c r="AI74" i="5"/>
  <c r="AH74" i="5"/>
  <c r="AG74" i="5"/>
  <c r="AD74" i="5"/>
  <c r="AC74" i="5"/>
  <c r="AB74" i="5"/>
  <c r="AA74" i="5"/>
  <c r="Z74" i="5"/>
  <c r="W74" i="5"/>
  <c r="V74" i="5"/>
  <c r="U74" i="5"/>
  <c r="T74" i="5"/>
  <c r="P74" i="5"/>
  <c r="O74" i="5"/>
  <c r="N74" i="5"/>
  <c r="M74" i="5"/>
  <c r="L74" i="5"/>
  <c r="I74" i="5"/>
  <c r="AJ72" i="5"/>
  <c r="AI72" i="5"/>
  <c r="AH72" i="5"/>
  <c r="AG72" i="5"/>
  <c r="AD72" i="5"/>
  <c r="AC72" i="5"/>
  <c r="AB72" i="5"/>
  <c r="AA72" i="5"/>
  <c r="Z72" i="5"/>
  <c r="W72" i="5"/>
  <c r="V72" i="5"/>
  <c r="U72" i="5"/>
  <c r="T72" i="5"/>
  <c r="P72" i="5"/>
  <c r="O72" i="5"/>
  <c r="N72" i="5"/>
  <c r="M72" i="5"/>
  <c r="L72" i="5"/>
  <c r="I72" i="5"/>
  <c r="AJ69" i="5"/>
  <c r="AI69" i="5"/>
  <c r="AH69" i="5"/>
  <c r="AG69" i="5"/>
  <c r="AD69" i="5"/>
  <c r="AC69" i="5"/>
  <c r="AB69" i="5"/>
  <c r="AA69" i="5"/>
  <c r="Z69" i="5"/>
  <c r="W69" i="5"/>
  <c r="V69" i="5"/>
  <c r="U69" i="5"/>
  <c r="T69" i="5"/>
  <c r="P69" i="5"/>
  <c r="O69" i="5"/>
  <c r="N69" i="5"/>
  <c r="M69" i="5"/>
  <c r="L69" i="5"/>
  <c r="I69" i="5"/>
  <c r="AJ66" i="5"/>
  <c r="AI66" i="5"/>
  <c r="AH66" i="5"/>
  <c r="AG66" i="5"/>
  <c r="AD66" i="5"/>
  <c r="AC66" i="5"/>
  <c r="AB66" i="5"/>
  <c r="AA66" i="5"/>
  <c r="Z66" i="5"/>
  <c r="W66" i="5"/>
  <c r="V66" i="5"/>
  <c r="U66" i="5"/>
  <c r="T66" i="5"/>
  <c r="P66" i="5"/>
  <c r="O66" i="5"/>
  <c r="N66" i="5"/>
  <c r="M66" i="5"/>
  <c r="L66" i="5"/>
  <c r="I66" i="5"/>
  <c r="AJ63" i="5"/>
  <c r="AI63" i="5"/>
  <c r="AH63" i="5"/>
  <c r="AG63" i="5"/>
  <c r="AD63" i="5"/>
  <c r="AC63" i="5"/>
  <c r="AB63" i="5"/>
  <c r="AA63" i="5"/>
  <c r="Z63" i="5"/>
  <c r="W63" i="5"/>
  <c r="V63" i="5"/>
  <c r="U63" i="5"/>
  <c r="T63" i="5"/>
  <c r="P63" i="5"/>
  <c r="O63" i="5"/>
  <c r="N63" i="5"/>
  <c r="M63" i="5"/>
  <c r="L63" i="5"/>
  <c r="I63" i="5"/>
  <c r="AI54" i="5"/>
  <c r="AG54" i="5"/>
  <c r="AC54" i="5"/>
  <c r="AA54" i="5"/>
  <c r="W54" i="5"/>
  <c r="U54" i="5"/>
  <c r="P54" i="5"/>
  <c r="N54" i="5"/>
  <c r="L54" i="5"/>
  <c r="AJ51" i="5"/>
  <c r="AI51" i="5"/>
  <c r="AH51" i="5"/>
  <c r="AG51" i="5"/>
  <c r="AD51" i="5"/>
  <c r="AC51" i="5"/>
  <c r="AB51" i="5"/>
  <c r="AA51" i="5"/>
  <c r="Z51" i="5"/>
  <c r="W51" i="5"/>
  <c r="V51" i="5"/>
  <c r="U51" i="5"/>
  <c r="T51" i="5"/>
  <c r="P51" i="5"/>
  <c r="O51" i="5"/>
  <c r="N51" i="5"/>
  <c r="M51" i="5"/>
  <c r="L51" i="5"/>
  <c r="I51" i="5"/>
  <c r="AJ48" i="5"/>
  <c r="AI48" i="5"/>
  <c r="AH48" i="5"/>
  <c r="AG48" i="5"/>
  <c r="AD48" i="5"/>
  <c r="AC48" i="5"/>
  <c r="AB48" i="5"/>
  <c r="AA48" i="5"/>
  <c r="Z48" i="5"/>
  <c r="W48" i="5"/>
  <c r="V48" i="5"/>
  <c r="U48" i="5"/>
  <c r="T48" i="5"/>
  <c r="P48" i="5"/>
  <c r="O48" i="5"/>
  <c r="N48" i="5"/>
  <c r="M48" i="5"/>
  <c r="L48" i="5"/>
  <c r="I48" i="5"/>
  <c r="AJ46" i="5"/>
  <c r="AI46" i="5"/>
  <c r="AH46" i="5"/>
  <c r="AG46" i="5"/>
  <c r="AD46" i="5"/>
  <c r="AC46" i="5"/>
  <c r="AB46" i="5"/>
  <c r="AA46" i="5"/>
  <c r="Z46" i="5"/>
  <c r="W46" i="5"/>
  <c r="V46" i="5"/>
  <c r="U46" i="5"/>
  <c r="T46" i="5"/>
  <c r="P46" i="5"/>
  <c r="O46" i="5"/>
  <c r="N46" i="5"/>
  <c r="M46" i="5"/>
  <c r="L46" i="5"/>
  <c r="I46" i="5"/>
  <c r="AJ43" i="5"/>
  <c r="AI43" i="5"/>
  <c r="AH43" i="5"/>
  <c r="AG43" i="5"/>
  <c r="AD43" i="5"/>
  <c r="AC43" i="5"/>
  <c r="AB43" i="5"/>
  <c r="AA43" i="5"/>
  <c r="Z43" i="5"/>
  <c r="W43" i="5"/>
  <c r="V43" i="5"/>
  <c r="U43" i="5"/>
  <c r="T43" i="5"/>
  <c r="P43" i="5"/>
  <c r="O43" i="5"/>
  <c r="N43" i="5"/>
  <c r="M43" i="5"/>
  <c r="L43" i="5"/>
  <c r="I43" i="5"/>
  <c r="AJ41" i="5"/>
  <c r="AI41" i="5"/>
  <c r="AH41" i="5"/>
  <c r="AG41" i="5"/>
  <c r="AD41" i="5"/>
  <c r="AC41" i="5"/>
  <c r="AB41" i="5"/>
  <c r="AA41" i="5"/>
  <c r="Z41" i="5"/>
  <c r="W41" i="5"/>
  <c r="V41" i="5"/>
  <c r="U41" i="5"/>
  <c r="T41" i="5"/>
  <c r="P41" i="5"/>
  <c r="O41" i="5"/>
  <c r="N41" i="5"/>
  <c r="M41" i="5"/>
  <c r="L41" i="5"/>
  <c r="I41" i="5"/>
  <c r="AJ38" i="5"/>
  <c r="AI38" i="5"/>
  <c r="AH38" i="5"/>
  <c r="AG38" i="5"/>
  <c r="AD38" i="5"/>
  <c r="AC38" i="5"/>
  <c r="AB38" i="5"/>
  <c r="AA38" i="5"/>
  <c r="Z38" i="5"/>
  <c r="W38" i="5"/>
  <c r="V38" i="5"/>
  <c r="U38" i="5"/>
  <c r="T38" i="5"/>
  <c r="P38" i="5"/>
  <c r="O38" i="5"/>
  <c r="N38" i="5"/>
  <c r="M38" i="5"/>
  <c r="L38" i="5"/>
  <c r="I38" i="5"/>
  <c r="AJ35" i="5"/>
  <c r="AI35" i="5"/>
  <c r="AH35" i="5"/>
  <c r="AG35" i="5"/>
  <c r="AD35" i="5"/>
  <c r="AC35" i="5"/>
  <c r="AB35" i="5"/>
  <c r="AA35" i="5"/>
  <c r="Z35" i="5"/>
  <c r="W35" i="5"/>
  <c r="V35" i="5"/>
  <c r="U35" i="5"/>
  <c r="T35" i="5"/>
  <c r="P35" i="5"/>
  <c r="O35" i="5"/>
  <c r="N35" i="5"/>
  <c r="M35" i="5"/>
  <c r="L35" i="5"/>
  <c r="I35" i="5"/>
  <c r="AJ26" i="5"/>
  <c r="AD26" i="5"/>
  <c r="AA26" i="5"/>
  <c r="V26" i="5"/>
  <c r="P26" i="5"/>
  <c r="M26" i="5"/>
  <c r="AJ23" i="5"/>
  <c r="AI23" i="5"/>
  <c r="AH23" i="5"/>
  <c r="AG23" i="5"/>
  <c r="AD23" i="5"/>
  <c r="AC23" i="5"/>
  <c r="AB23" i="5"/>
  <c r="AA23" i="5"/>
  <c r="Z23" i="5"/>
  <c r="W23" i="5"/>
  <c r="V23" i="5"/>
  <c r="U23" i="5"/>
  <c r="T23" i="5"/>
  <c r="P23" i="5"/>
  <c r="O23" i="5"/>
  <c r="N23" i="5"/>
  <c r="M23" i="5"/>
  <c r="L23" i="5"/>
  <c r="I23" i="5"/>
  <c r="AJ20" i="5"/>
  <c r="AI20" i="5"/>
  <c r="AH20" i="5"/>
  <c r="AG20" i="5"/>
  <c r="AD20" i="5"/>
  <c r="AC20" i="5"/>
  <c r="AB20" i="5"/>
  <c r="AA20" i="5"/>
  <c r="Z20" i="5"/>
  <c r="W20" i="5"/>
  <c r="V20" i="5"/>
  <c r="U20" i="5"/>
  <c r="T20" i="5"/>
  <c r="P20" i="5"/>
  <c r="O20" i="5"/>
  <c r="N20" i="5"/>
  <c r="M20" i="5"/>
  <c r="L20" i="5"/>
  <c r="I20" i="5"/>
  <c r="AJ17" i="5"/>
  <c r="AI17" i="5"/>
  <c r="AH17" i="5"/>
  <c r="AG17" i="5"/>
  <c r="AD17" i="5"/>
  <c r="AC17" i="5"/>
  <c r="AB17" i="5"/>
  <c r="AA17" i="5"/>
  <c r="Z17" i="5"/>
  <c r="W17" i="5"/>
  <c r="V17" i="5"/>
  <c r="U17" i="5"/>
  <c r="T17" i="5"/>
  <c r="P17" i="5"/>
  <c r="O17" i="5"/>
  <c r="N17" i="5"/>
  <c r="M17" i="5"/>
  <c r="L17" i="5"/>
  <c r="I17" i="5"/>
  <c r="AJ15" i="5"/>
  <c r="AI15" i="5"/>
  <c r="AH15" i="5"/>
  <c r="AG15" i="5"/>
  <c r="AD15" i="5"/>
  <c r="AC15" i="5"/>
  <c r="AB15" i="5"/>
  <c r="AA15" i="5"/>
  <c r="Z15" i="5"/>
  <c r="W15" i="5"/>
  <c r="V15" i="5"/>
  <c r="U15" i="5"/>
  <c r="T15" i="5"/>
  <c r="P15" i="5"/>
  <c r="O15" i="5"/>
  <c r="N15" i="5"/>
  <c r="M15" i="5"/>
  <c r="L15" i="5"/>
  <c r="I15" i="5"/>
  <c r="AJ12" i="5"/>
  <c r="AI12" i="5"/>
  <c r="AH12" i="5"/>
  <c r="AG12" i="5"/>
  <c r="AD12" i="5"/>
  <c r="AC12" i="5"/>
  <c r="AB12" i="5"/>
  <c r="AA12" i="5"/>
  <c r="Z12" i="5"/>
  <c r="W12" i="5"/>
  <c r="V12" i="5"/>
  <c r="U12" i="5"/>
  <c r="T12" i="5"/>
  <c r="P12" i="5"/>
  <c r="O12" i="5"/>
  <c r="N12" i="5"/>
  <c r="M12" i="5"/>
  <c r="L12" i="5"/>
  <c r="I12" i="5"/>
  <c r="AJ9" i="5"/>
  <c r="AI9" i="5"/>
  <c r="AH9" i="5"/>
  <c r="AG9" i="5"/>
  <c r="AD9" i="5"/>
  <c r="AC9" i="5"/>
  <c r="AB9" i="5"/>
  <c r="AA9" i="5"/>
  <c r="Z9" i="5"/>
  <c r="W9" i="5"/>
  <c r="V9" i="5"/>
  <c r="U9" i="5"/>
  <c r="T9" i="5"/>
  <c r="P9" i="5"/>
  <c r="O9" i="5"/>
  <c r="N9" i="5"/>
  <c r="M9" i="5"/>
  <c r="L9" i="5"/>
  <c r="I9" i="5"/>
  <c r="AL297" i="6"/>
  <c r="AJ297" i="6"/>
  <c r="AI297" i="6"/>
  <c r="AH297" i="6"/>
  <c r="AG297" i="6"/>
  <c r="AE297" i="6"/>
  <c r="AD297" i="6"/>
  <c r="AC297" i="6"/>
  <c r="AB297" i="6"/>
  <c r="AA297" i="6"/>
  <c r="Z297" i="6"/>
  <c r="X297" i="6"/>
  <c r="W297" i="6"/>
  <c r="V297" i="6"/>
  <c r="U297" i="6"/>
  <c r="T297" i="6"/>
  <c r="Q297" i="6"/>
  <c r="P297" i="6"/>
  <c r="O297" i="6"/>
  <c r="N297" i="6"/>
  <c r="M297" i="6"/>
  <c r="L297" i="6"/>
  <c r="J297" i="6"/>
  <c r="I297" i="6"/>
  <c r="AL296" i="6"/>
  <c r="AJ296" i="6"/>
  <c r="AI296" i="6"/>
  <c r="AH296" i="6"/>
  <c r="AG296" i="6"/>
  <c r="AE296" i="6"/>
  <c r="AD296" i="6"/>
  <c r="AC296" i="6"/>
  <c r="AB296" i="6"/>
  <c r="AA296" i="6"/>
  <c r="Z296" i="6"/>
  <c r="X296" i="6"/>
  <c r="W296" i="6"/>
  <c r="V296" i="6"/>
  <c r="U296" i="6"/>
  <c r="T296" i="6"/>
  <c r="Q296" i="6"/>
  <c r="P296" i="6"/>
  <c r="O296" i="6"/>
  <c r="N296" i="6"/>
  <c r="M296" i="6"/>
  <c r="L296" i="6"/>
  <c r="J296" i="6"/>
  <c r="I296" i="6"/>
  <c r="AL295" i="6"/>
  <c r="AH295" i="6"/>
  <c r="AG295" i="6"/>
  <c r="L295" i="6"/>
  <c r="AN294" i="6"/>
  <c r="AN293" i="6"/>
  <c r="AL292" i="6"/>
  <c r="X292" i="6"/>
  <c r="M292" i="6"/>
  <c r="N292" i="6" s="1"/>
  <c r="O292" i="6" s="1"/>
  <c r="P292" i="6" s="1"/>
  <c r="Q292" i="6" s="1"/>
  <c r="L292" i="6"/>
  <c r="J292" i="6"/>
  <c r="I292" i="6"/>
  <c r="AL290" i="6"/>
  <c r="AL289" i="6"/>
  <c r="M289" i="6"/>
  <c r="N289" i="6" s="1"/>
  <c r="L289" i="6"/>
  <c r="J289" i="6"/>
  <c r="I289" i="6"/>
  <c r="AL286" i="6"/>
  <c r="M286" i="6"/>
  <c r="N286" i="6" s="1"/>
  <c r="L286" i="6"/>
  <c r="J286" i="6"/>
  <c r="I286" i="6"/>
  <c r="AN285" i="6"/>
  <c r="AN284" i="6"/>
  <c r="AL283" i="6"/>
  <c r="AG283" i="6"/>
  <c r="AE283" i="6"/>
  <c r="M283" i="6"/>
  <c r="N283" i="6" s="1"/>
  <c r="L283" i="6"/>
  <c r="J283" i="6"/>
  <c r="I283" i="6"/>
  <c r="AN282" i="6"/>
  <c r="AN281" i="6"/>
  <c r="AL280" i="6"/>
  <c r="AG280" i="6"/>
  <c r="AE280" i="6"/>
  <c r="M280" i="6"/>
  <c r="N280" i="6" s="1"/>
  <c r="L280" i="6"/>
  <c r="J280" i="6"/>
  <c r="I280" i="6"/>
  <c r="AN279" i="6"/>
  <c r="AN278" i="6"/>
  <c r="AL277" i="6"/>
  <c r="M277" i="6"/>
  <c r="N277" i="6" s="1"/>
  <c r="L277" i="6"/>
  <c r="J277" i="6"/>
  <c r="I277" i="6"/>
  <c r="AN276" i="6"/>
  <c r="AN275" i="6"/>
  <c r="AL275" i="6"/>
  <c r="AJ275" i="6"/>
  <c r="AI275" i="6"/>
  <c r="AH275" i="6"/>
  <c r="AG275" i="6"/>
  <c r="AE275" i="6"/>
  <c r="AD275" i="6"/>
  <c r="AC275" i="6"/>
  <c r="AB275" i="6"/>
  <c r="AA275" i="6"/>
  <c r="Z275" i="6"/>
  <c r="X275" i="6"/>
  <c r="W275" i="6"/>
  <c r="V275" i="6"/>
  <c r="U275" i="6"/>
  <c r="T275" i="6"/>
  <c r="Q275" i="6"/>
  <c r="P275" i="6"/>
  <c r="O275" i="6"/>
  <c r="N275" i="6"/>
  <c r="M275" i="6"/>
  <c r="L275" i="6"/>
  <c r="J275" i="6"/>
  <c r="I275" i="6"/>
  <c r="AL274" i="6"/>
  <c r="AE274" i="6"/>
  <c r="X274" i="6"/>
  <c r="N274" i="6"/>
  <c r="O274" i="6" s="1"/>
  <c r="P274" i="6" s="1"/>
  <c r="Q274" i="6" s="1"/>
  <c r="M274" i="6"/>
  <c r="L274" i="6"/>
  <c r="J274" i="6"/>
  <c r="I274" i="6"/>
  <c r="AN273" i="6"/>
  <c r="AN272" i="6"/>
  <c r="AL272" i="6"/>
  <c r="AJ272" i="6"/>
  <c r="AI272" i="6"/>
  <c r="AH272" i="6"/>
  <c r="AG272" i="6"/>
  <c r="AE272" i="6"/>
  <c r="AD272" i="6"/>
  <c r="AC272" i="6"/>
  <c r="AB272" i="6"/>
  <c r="AA272" i="6"/>
  <c r="Z272" i="6"/>
  <c r="X272" i="6"/>
  <c r="W272" i="6"/>
  <c r="V272" i="6"/>
  <c r="U272" i="6"/>
  <c r="T272" i="6"/>
  <c r="Q272" i="6"/>
  <c r="P272" i="6"/>
  <c r="O272" i="6"/>
  <c r="J272" i="6"/>
  <c r="I272" i="6"/>
  <c r="AL271" i="6"/>
  <c r="M271" i="6"/>
  <c r="N271" i="6" s="1"/>
  <c r="L271" i="6"/>
  <c r="J271" i="6"/>
  <c r="I271" i="6"/>
  <c r="AN270" i="6"/>
  <c r="AN269" i="6"/>
  <c r="AL269" i="6"/>
  <c r="AG269" i="6"/>
  <c r="L269" i="6"/>
  <c r="J269" i="6"/>
  <c r="I269" i="6"/>
  <c r="AL268" i="6"/>
  <c r="J268" i="6"/>
  <c r="I268" i="6"/>
  <c r="AN267" i="6"/>
  <c r="AN266" i="6"/>
  <c r="AM260" i="6"/>
  <c r="AL260" i="6"/>
  <c r="AJ260" i="6"/>
  <c r="AI260" i="6"/>
  <c r="AH260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U260" i="6"/>
  <c r="T260" i="6"/>
  <c r="S260" i="6"/>
  <c r="R260" i="6"/>
  <c r="Q260" i="6"/>
  <c r="P260" i="6"/>
  <c r="O260" i="6"/>
  <c r="N260" i="6"/>
  <c r="M260" i="6"/>
  <c r="L260" i="6"/>
  <c r="K260" i="6"/>
  <c r="J260" i="6"/>
  <c r="I260" i="6"/>
  <c r="AN260" i="6" s="1"/>
  <c r="AM259" i="6"/>
  <c r="AL259" i="6"/>
  <c r="AJ259" i="6"/>
  <c r="AI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U259" i="6"/>
  <c r="T259" i="6"/>
  <c r="S259" i="6"/>
  <c r="R259" i="6"/>
  <c r="Q259" i="6"/>
  <c r="P259" i="6"/>
  <c r="O259" i="6"/>
  <c r="N259" i="6"/>
  <c r="M259" i="6"/>
  <c r="L259" i="6"/>
  <c r="K259" i="6"/>
  <c r="J259" i="6"/>
  <c r="I259" i="6"/>
  <c r="AM258" i="6"/>
  <c r="AL258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U258" i="6"/>
  <c r="T258" i="6"/>
  <c r="S258" i="6"/>
  <c r="R258" i="6"/>
  <c r="Q258" i="6"/>
  <c r="P258" i="6"/>
  <c r="O258" i="6"/>
  <c r="N258" i="6"/>
  <c r="M258" i="6"/>
  <c r="L258" i="6"/>
  <c r="K258" i="6"/>
  <c r="J258" i="6"/>
  <c r="I258" i="6"/>
  <c r="AN257" i="6"/>
  <c r="AN256" i="6"/>
  <c r="AM255" i="6"/>
  <c r="AL255" i="6"/>
  <c r="AF255" i="6"/>
  <c r="AE255" i="6"/>
  <c r="Y255" i="6"/>
  <c r="X255" i="6"/>
  <c r="W255" i="6"/>
  <c r="V255" i="6"/>
  <c r="U255" i="6"/>
  <c r="T255" i="6"/>
  <c r="S255" i="6"/>
  <c r="R255" i="6"/>
  <c r="Q255" i="6"/>
  <c r="P255" i="6"/>
  <c r="O255" i="6"/>
  <c r="N255" i="6"/>
  <c r="M255" i="6"/>
  <c r="L255" i="6"/>
  <c r="K255" i="6"/>
  <c r="J255" i="6"/>
  <c r="I255" i="6"/>
  <c r="AN254" i="6"/>
  <c r="AN253" i="6"/>
  <c r="AM252" i="6"/>
  <c r="AL252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U252" i="6"/>
  <c r="T252" i="6"/>
  <c r="S252" i="6"/>
  <c r="R252" i="6"/>
  <c r="Q252" i="6"/>
  <c r="P252" i="6"/>
  <c r="O252" i="6"/>
  <c r="N252" i="6"/>
  <c r="M252" i="6"/>
  <c r="L252" i="6"/>
  <c r="K252" i="6"/>
  <c r="J252" i="6"/>
  <c r="I252" i="6"/>
  <c r="AN251" i="6"/>
  <c r="AN250" i="6"/>
  <c r="AM249" i="6"/>
  <c r="AL249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U249" i="6"/>
  <c r="T249" i="6"/>
  <c r="S249" i="6"/>
  <c r="R249" i="6"/>
  <c r="Q249" i="6"/>
  <c r="P249" i="6"/>
  <c r="O249" i="6"/>
  <c r="N249" i="6"/>
  <c r="M249" i="6"/>
  <c r="L249" i="6"/>
  <c r="K249" i="6"/>
  <c r="J249" i="6"/>
  <c r="I249" i="6"/>
  <c r="AN248" i="6"/>
  <c r="AN247" i="6"/>
  <c r="AM246" i="6"/>
  <c r="AL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U246" i="6"/>
  <c r="T246" i="6"/>
  <c r="S246" i="6"/>
  <c r="R246" i="6"/>
  <c r="Q246" i="6"/>
  <c r="P246" i="6"/>
  <c r="O246" i="6"/>
  <c r="N246" i="6"/>
  <c r="M246" i="6"/>
  <c r="L246" i="6"/>
  <c r="K246" i="6"/>
  <c r="J246" i="6"/>
  <c r="I246" i="6"/>
  <c r="AN245" i="6"/>
  <c r="AN244" i="6"/>
  <c r="AM243" i="6"/>
  <c r="AL243" i="6"/>
  <c r="AE243" i="6"/>
  <c r="AF243" i="6" s="1"/>
  <c r="N243" i="6"/>
  <c r="S243" i="6" s="1"/>
  <c r="L243" i="6"/>
  <c r="K243" i="6"/>
  <c r="J243" i="6"/>
  <c r="I243" i="6"/>
  <c r="AN242" i="6"/>
  <c r="AN241" i="6"/>
  <c r="AL240" i="6"/>
  <c r="AN239" i="6"/>
  <c r="AN238" i="6"/>
  <c r="AN235" i="6"/>
  <c r="AN233" i="6"/>
  <c r="AN232" i="6"/>
  <c r="AN230" i="6"/>
  <c r="AJ230" i="6"/>
  <c r="AI230" i="6"/>
  <c r="AH230" i="6"/>
  <c r="AD230" i="6"/>
  <c r="AC230" i="6"/>
  <c r="AN229" i="6"/>
  <c r="AN227" i="6"/>
  <c r="AJ227" i="6"/>
  <c r="AI227" i="6"/>
  <c r="AH227" i="6"/>
  <c r="AD227" i="6"/>
  <c r="AC227" i="6"/>
  <c r="AN226" i="6"/>
  <c r="AN224" i="6"/>
  <c r="AJ224" i="6"/>
  <c r="AI224" i="6"/>
  <c r="AH224" i="6"/>
  <c r="AD224" i="6"/>
  <c r="AC224" i="6"/>
  <c r="AN223" i="6"/>
  <c r="AN221" i="6"/>
  <c r="AJ221" i="6"/>
  <c r="AI221" i="6"/>
  <c r="AH221" i="6"/>
  <c r="AD221" i="6"/>
  <c r="AC221" i="6"/>
  <c r="AN220" i="6"/>
  <c r="AN218" i="6"/>
  <c r="AJ218" i="6"/>
  <c r="AI218" i="6"/>
  <c r="AH218" i="6"/>
  <c r="AD218" i="6"/>
  <c r="AC218" i="6"/>
  <c r="AN217" i="6"/>
  <c r="AN216" i="6"/>
  <c r="AJ216" i="6"/>
  <c r="AI216" i="6"/>
  <c r="AH216" i="6"/>
  <c r="AD216" i="6"/>
  <c r="AC216" i="6"/>
  <c r="AN215" i="6"/>
  <c r="AN214" i="6"/>
  <c r="AJ214" i="6"/>
  <c r="AI214" i="6"/>
  <c r="AH214" i="6"/>
  <c r="AD214" i="6"/>
  <c r="AC214" i="6"/>
  <c r="AN213" i="6"/>
  <c r="AN212" i="6"/>
  <c r="AJ212" i="6"/>
  <c r="AI212" i="6"/>
  <c r="AH212" i="6"/>
  <c r="AD212" i="6"/>
  <c r="AC212" i="6"/>
  <c r="AN211" i="6"/>
  <c r="AN209" i="6"/>
  <c r="AJ209" i="6"/>
  <c r="AI209" i="6"/>
  <c r="AH209" i="6"/>
  <c r="AD209" i="6"/>
  <c r="AC209" i="6"/>
  <c r="AN208" i="6"/>
  <c r="AN207" i="6"/>
  <c r="AJ207" i="6"/>
  <c r="AI207" i="6"/>
  <c r="AH207" i="6"/>
  <c r="AD207" i="6"/>
  <c r="AC207" i="6"/>
  <c r="AN206" i="6"/>
  <c r="AN204" i="6"/>
  <c r="AJ204" i="6"/>
  <c r="AI204" i="6"/>
  <c r="AH204" i="6"/>
  <c r="AG204" i="6"/>
  <c r="AD204" i="6"/>
  <c r="AC204" i="6"/>
  <c r="AB204" i="6"/>
  <c r="AA204" i="6"/>
  <c r="Z204" i="6"/>
  <c r="W204" i="6"/>
  <c r="V204" i="6"/>
  <c r="U204" i="6"/>
  <c r="T204" i="6"/>
  <c r="S204" i="6"/>
  <c r="AH192" i="6"/>
  <c r="AD192" i="6"/>
  <c r="AA192" i="6"/>
  <c r="W192" i="6"/>
  <c r="AN191" i="6"/>
  <c r="AN189" i="6"/>
  <c r="AB189" i="6"/>
  <c r="W189" i="6"/>
  <c r="N189" i="6"/>
  <c r="AN188" i="6"/>
  <c r="AN186" i="6"/>
  <c r="AB186" i="6"/>
  <c r="W186" i="6"/>
  <c r="N186" i="6"/>
  <c r="AN185" i="6"/>
  <c r="W185" i="6"/>
  <c r="AN183" i="6"/>
  <c r="AM183" i="6"/>
  <c r="AL183" i="6"/>
  <c r="AJ183" i="6"/>
  <c r="AI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I183" i="6"/>
  <c r="AN182" i="6"/>
  <c r="V182" i="6"/>
  <c r="U182" i="6"/>
  <c r="T182" i="6"/>
  <c r="S182" i="6"/>
  <c r="AN180" i="6"/>
  <c r="AM180" i="6"/>
  <c r="AL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I180" i="6"/>
  <c r="AN179" i="6"/>
  <c r="AM179" i="6"/>
  <c r="AL179" i="6"/>
  <c r="AF179" i="6"/>
  <c r="AE179" i="6"/>
  <c r="Y179" i="6"/>
  <c r="X179" i="6"/>
  <c r="R179" i="6"/>
  <c r="Q179" i="6"/>
  <c r="P179" i="6"/>
  <c r="O179" i="6"/>
  <c r="N179" i="6"/>
  <c r="M179" i="6"/>
  <c r="L179" i="6"/>
  <c r="K179" i="6"/>
  <c r="J179" i="6"/>
  <c r="AN177" i="6"/>
  <c r="AM177" i="6"/>
  <c r="AL177" i="6"/>
  <c r="AI177" i="6"/>
  <c r="AH177" i="6"/>
  <c r="AG177" i="6"/>
  <c r="AF177" i="6"/>
  <c r="AE177" i="6"/>
  <c r="AD177" i="6"/>
  <c r="AC177" i="6"/>
  <c r="Z177" i="6"/>
  <c r="Y177" i="6"/>
  <c r="X177" i="6"/>
  <c r="T177" i="6"/>
  <c r="S177" i="6"/>
  <c r="R177" i="6"/>
  <c r="Q177" i="6"/>
  <c r="P177" i="6"/>
  <c r="O177" i="6"/>
  <c r="K177" i="6"/>
  <c r="J177" i="6"/>
  <c r="AN176" i="6"/>
  <c r="P176" i="6"/>
  <c r="O176" i="6"/>
  <c r="AN174" i="6"/>
  <c r="AM174" i="6"/>
  <c r="AL174" i="6"/>
  <c r="AI174" i="6"/>
  <c r="AG174" i="6"/>
  <c r="AF174" i="6"/>
  <c r="AE174" i="6"/>
  <c r="AD174" i="6"/>
  <c r="AC174" i="6"/>
  <c r="Z174" i="6"/>
  <c r="Y174" i="6"/>
  <c r="X174" i="6"/>
  <c r="T174" i="6"/>
  <c r="S174" i="6"/>
  <c r="R174" i="6"/>
  <c r="Q174" i="6"/>
  <c r="P174" i="6"/>
  <c r="O174" i="6"/>
  <c r="K174" i="6"/>
  <c r="J174" i="6"/>
  <c r="AN173" i="6"/>
  <c r="P173" i="6"/>
  <c r="O173" i="6"/>
  <c r="I173" i="6"/>
  <c r="AN171" i="6"/>
  <c r="AL171" i="6"/>
  <c r="AH171" i="6"/>
  <c r="AE171" i="6"/>
  <c r="AC171" i="6"/>
  <c r="X171" i="6"/>
  <c r="Q171" i="6"/>
  <c r="P171" i="6"/>
  <c r="O171" i="6"/>
  <c r="J171" i="6"/>
  <c r="AN170" i="6"/>
  <c r="W170" i="6"/>
  <c r="I170" i="6"/>
  <c r="AN169" i="6"/>
  <c r="AL169" i="6"/>
  <c r="AH169" i="6"/>
  <c r="AE169" i="6"/>
  <c r="AC169" i="6"/>
  <c r="X169" i="6"/>
  <c r="Q169" i="6"/>
  <c r="P169" i="6"/>
  <c r="O169" i="6"/>
  <c r="J169" i="6"/>
  <c r="AN168" i="6"/>
  <c r="P168" i="6"/>
  <c r="O168" i="6"/>
  <c r="AN166" i="6"/>
  <c r="AL166" i="6"/>
  <c r="AH166" i="6"/>
  <c r="AE166" i="6"/>
  <c r="AC166" i="6"/>
  <c r="X166" i="6"/>
  <c r="Q166" i="6"/>
  <c r="P166" i="6"/>
  <c r="O166" i="6"/>
  <c r="J166" i="6"/>
  <c r="T165" i="6"/>
  <c r="S165" i="6"/>
  <c r="AN164" i="6"/>
  <c r="AL164" i="6"/>
  <c r="AH164" i="6"/>
  <c r="AE164" i="6"/>
  <c r="AC164" i="6"/>
  <c r="X164" i="6"/>
  <c r="Q164" i="6"/>
  <c r="P164" i="6"/>
  <c r="O164" i="6"/>
  <c r="J164" i="6"/>
  <c r="AN163" i="6"/>
  <c r="P163" i="6"/>
  <c r="O163" i="6"/>
  <c r="AN161" i="6"/>
  <c r="AL161" i="6"/>
  <c r="AH161" i="6"/>
  <c r="AE161" i="6"/>
  <c r="AC161" i="6"/>
  <c r="X161" i="6"/>
  <c r="Q161" i="6"/>
  <c r="P161" i="6"/>
  <c r="O161" i="6"/>
  <c r="J161" i="6"/>
  <c r="T160" i="6"/>
  <c r="S160" i="6"/>
  <c r="AN159" i="6"/>
  <c r="AL159" i="6"/>
  <c r="AH159" i="6"/>
  <c r="AE159" i="6"/>
  <c r="AC159" i="6"/>
  <c r="X159" i="6"/>
  <c r="Q159" i="6"/>
  <c r="P159" i="6"/>
  <c r="O159" i="6"/>
  <c r="J159" i="6"/>
  <c r="AN158" i="6"/>
  <c r="AM158" i="6"/>
  <c r="AL158" i="6"/>
  <c r="AF158" i="6"/>
  <c r="AE158" i="6"/>
  <c r="Y158" i="6"/>
  <c r="X158" i="6"/>
  <c r="W158" i="6"/>
  <c r="V158" i="6"/>
  <c r="U158" i="6"/>
  <c r="R158" i="6"/>
  <c r="Q158" i="6"/>
  <c r="K158" i="6"/>
  <c r="J158" i="6"/>
  <c r="I158" i="6"/>
  <c r="AN156" i="6"/>
  <c r="AM156" i="6"/>
  <c r="AL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AN155" i="6"/>
  <c r="AM155" i="6"/>
  <c r="AL155" i="6"/>
  <c r="AF155" i="6"/>
  <c r="AE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AN153" i="6"/>
  <c r="AM153" i="6"/>
  <c r="AL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AN152" i="6"/>
  <c r="I152" i="6"/>
  <c r="AN150" i="6"/>
  <c r="AM150" i="6"/>
  <c r="AL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I147" i="6"/>
  <c r="I144" i="6"/>
  <c r="I141" i="6"/>
  <c r="AN140" i="6"/>
  <c r="AN138" i="6"/>
  <c r="AN137" i="6"/>
  <c r="AN135" i="6"/>
  <c r="AJ135" i="6"/>
  <c r="AI135" i="6"/>
  <c r="AH135" i="6"/>
  <c r="AN134" i="6"/>
  <c r="AN132" i="6"/>
  <c r="AI132" i="6"/>
  <c r="AN131" i="6"/>
  <c r="AN129" i="6"/>
  <c r="AI129" i="6"/>
  <c r="AN125" i="6"/>
  <c r="AN123" i="6"/>
  <c r="AJ123" i="6"/>
  <c r="AA123" i="6"/>
  <c r="AN122" i="6"/>
  <c r="W122" i="6"/>
  <c r="V122" i="6"/>
  <c r="U122" i="6"/>
  <c r="T122" i="6"/>
  <c r="S122" i="6"/>
  <c r="AN120" i="6"/>
  <c r="AJ120" i="6"/>
  <c r="AI120" i="6"/>
  <c r="AH120" i="6"/>
  <c r="AG120" i="6"/>
  <c r="AD120" i="6"/>
  <c r="AC120" i="6"/>
  <c r="AB120" i="6"/>
  <c r="AA120" i="6"/>
  <c r="Z120" i="6"/>
  <c r="W120" i="6"/>
  <c r="V120" i="6"/>
  <c r="U120" i="6"/>
  <c r="T120" i="6"/>
  <c r="S120" i="6"/>
  <c r="AN119" i="6"/>
  <c r="T119" i="6"/>
  <c r="S119" i="6"/>
  <c r="AN117" i="6"/>
  <c r="AJ117" i="6"/>
  <c r="AI117" i="6"/>
  <c r="AH117" i="6"/>
  <c r="AG117" i="6"/>
  <c r="AD117" i="6"/>
  <c r="AC117" i="6"/>
  <c r="AB117" i="6"/>
  <c r="AA117" i="6"/>
  <c r="Z117" i="6"/>
  <c r="W117" i="6"/>
  <c r="V117" i="6"/>
  <c r="U117" i="6"/>
  <c r="T117" i="6"/>
  <c r="S117" i="6"/>
  <c r="AN116" i="6"/>
  <c r="AM116" i="6"/>
  <c r="AF116" i="6"/>
  <c r="Y116" i="6"/>
  <c r="W116" i="6"/>
  <c r="V116" i="6"/>
  <c r="U116" i="6"/>
  <c r="R116" i="6"/>
  <c r="P116" i="6"/>
  <c r="O116" i="6"/>
  <c r="N116" i="6"/>
  <c r="M116" i="6"/>
  <c r="L116" i="6"/>
  <c r="K116" i="6"/>
  <c r="AN114" i="6"/>
  <c r="AJ114" i="6"/>
  <c r="AI114" i="6"/>
  <c r="AH114" i="6"/>
  <c r="AG114" i="6"/>
  <c r="AD114" i="6"/>
  <c r="AC114" i="6"/>
  <c r="AB114" i="6"/>
  <c r="AA114" i="6"/>
  <c r="Z114" i="6"/>
  <c r="W114" i="6"/>
  <c r="V114" i="6"/>
  <c r="U114" i="6"/>
  <c r="T114" i="6"/>
  <c r="S114" i="6"/>
  <c r="P114" i="6"/>
  <c r="O114" i="6"/>
  <c r="N114" i="6"/>
  <c r="AJ111" i="6"/>
  <c r="AI111" i="6"/>
  <c r="AH111" i="6"/>
  <c r="AN107" i="6"/>
  <c r="W107" i="6"/>
  <c r="AN105" i="6"/>
  <c r="AG105" i="6"/>
  <c r="Z105" i="6"/>
  <c r="P105" i="6"/>
  <c r="O105" i="6"/>
  <c r="AN104" i="6"/>
  <c r="AN102" i="6"/>
  <c r="AG102" i="6"/>
  <c r="Z102" i="6"/>
  <c r="P102" i="6"/>
  <c r="O102" i="6"/>
  <c r="AN101" i="6"/>
  <c r="W101" i="6"/>
  <c r="V101" i="6"/>
  <c r="U101" i="6"/>
  <c r="T101" i="6"/>
  <c r="S101" i="6"/>
  <c r="P101" i="6"/>
  <c r="O101" i="6"/>
  <c r="N101" i="6"/>
  <c r="M101" i="6"/>
  <c r="L101" i="6"/>
  <c r="AN99" i="6"/>
  <c r="AM99" i="6"/>
  <c r="AJ99" i="6"/>
  <c r="AI99" i="6"/>
  <c r="AH99" i="6"/>
  <c r="AF99" i="6"/>
  <c r="AD99" i="6"/>
  <c r="AC99" i="6"/>
  <c r="AB99" i="6"/>
  <c r="Y99" i="6"/>
  <c r="W99" i="6"/>
  <c r="V99" i="6"/>
  <c r="U99" i="6"/>
  <c r="R99" i="6"/>
  <c r="N99" i="6"/>
  <c r="M99" i="6"/>
  <c r="L99" i="6"/>
  <c r="K99" i="6"/>
  <c r="AN98" i="6"/>
  <c r="V98" i="6"/>
  <c r="U98" i="6"/>
  <c r="P98" i="6"/>
  <c r="O98" i="6"/>
  <c r="M98" i="6"/>
  <c r="L98" i="6"/>
  <c r="AN96" i="6"/>
  <c r="AL96" i="6"/>
  <c r="AE96" i="6"/>
  <c r="AA96" i="6"/>
  <c r="X96" i="6"/>
  <c r="T96" i="6"/>
  <c r="S96" i="6"/>
  <c r="Q96" i="6"/>
  <c r="J96" i="6"/>
  <c r="AN95" i="6"/>
  <c r="W95" i="6"/>
  <c r="AN93" i="6"/>
  <c r="AG93" i="6"/>
  <c r="Z93" i="6"/>
  <c r="P93" i="6"/>
  <c r="O93" i="6"/>
  <c r="I93" i="6"/>
  <c r="I90" i="6"/>
  <c r="I87" i="6"/>
  <c r="AN86" i="6"/>
  <c r="AM86" i="6"/>
  <c r="AF86" i="6"/>
  <c r="Y86" i="6"/>
  <c r="R86" i="6"/>
  <c r="K86" i="6"/>
  <c r="AN84" i="6"/>
  <c r="AG84" i="6"/>
  <c r="Z84" i="6"/>
  <c r="P84" i="6"/>
  <c r="O84" i="6"/>
  <c r="AN83" i="6"/>
  <c r="AN81" i="6"/>
  <c r="AM81" i="6"/>
  <c r="AL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AN80" i="6"/>
  <c r="W80" i="6"/>
  <c r="V80" i="6"/>
  <c r="U80" i="6"/>
  <c r="T80" i="6"/>
  <c r="S80" i="6"/>
  <c r="I80" i="6"/>
  <c r="AN78" i="6"/>
  <c r="AM78" i="6"/>
  <c r="AL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AN77" i="6"/>
  <c r="M77" i="6"/>
  <c r="L77" i="6"/>
  <c r="AN75" i="6"/>
  <c r="AM75" i="6"/>
  <c r="AL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AN74" i="6"/>
  <c r="M74" i="6"/>
  <c r="L74" i="6"/>
  <c r="AN73" i="6"/>
  <c r="AM73" i="6"/>
  <c r="AL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AN72" i="6"/>
  <c r="M72" i="6"/>
  <c r="L72" i="6"/>
  <c r="AN70" i="6"/>
  <c r="AM70" i="6"/>
  <c r="AL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AN69" i="6"/>
  <c r="W69" i="6"/>
  <c r="T69" i="6"/>
  <c r="S69" i="6"/>
  <c r="P69" i="6"/>
  <c r="O69" i="6"/>
  <c r="AN67" i="6"/>
  <c r="AM67" i="6"/>
  <c r="AL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AN66" i="6"/>
  <c r="AN64" i="6"/>
  <c r="AM64" i="6"/>
  <c r="AL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AN57" i="6"/>
  <c r="AL57" i="6"/>
  <c r="AE57" i="6"/>
  <c r="X57" i="6"/>
  <c r="T57" i="6"/>
  <c r="S57" i="6"/>
  <c r="Q57" i="6"/>
  <c r="N57" i="6"/>
  <c r="J57" i="6"/>
  <c r="AN55" i="6"/>
  <c r="AM55" i="6"/>
  <c r="AI55" i="6"/>
  <c r="AG55" i="6"/>
  <c r="AF55" i="6"/>
  <c r="AD55" i="6"/>
  <c r="AB55" i="6"/>
  <c r="Z55" i="6"/>
  <c r="Y55" i="6"/>
  <c r="W55" i="6"/>
  <c r="T55" i="6"/>
  <c r="S55" i="6"/>
  <c r="R55" i="6"/>
  <c r="N55" i="6"/>
  <c r="K55" i="6"/>
  <c r="AN54" i="6"/>
  <c r="AM54" i="6"/>
  <c r="AL54" i="6"/>
  <c r="AF54" i="6"/>
  <c r="AE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N52" i="6"/>
  <c r="AM52" i="6"/>
  <c r="AL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AN51" i="6"/>
  <c r="P51" i="6"/>
  <c r="O51" i="6"/>
  <c r="N51" i="6"/>
  <c r="AN49" i="6"/>
  <c r="AM49" i="6"/>
  <c r="AL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AN48" i="6"/>
  <c r="AL48" i="6"/>
  <c r="AE48" i="6"/>
  <c r="X48" i="6"/>
  <c r="Q48" i="6"/>
  <c r="J48" i="6"/>
  <c r="I48" i="6"/>
  <c r="AN47" i="6"/>
  <c r="AM47" i="6"/>
  <c r="AL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AN46" i="6"/>
  <c r="AM46" i="6"/>
  <c r="AL46" i="6"/>
  <c r="AF46" i="6"/>
  <c r="AE46" i="6"/>
  <c r="Y46" i="6"/>
  <c r="X46" i="6"/>
  <c r="V46" i="6"/>
  <c r="U46" i="6"/>
  <c r="R46" i="6"/>
  <c r="Q46" i="6"/>
  <c r="P46" i="6"/>
  <c r="O46" i="6"/>
  <c r="M46" i="6"/>
  <c r="L46" i="6"/>
  <c r="K46" i="6"/>
  <c r="J46" i="6"/>
  <c r="I46" i="6"/>
  <c r="AN44" i="6"/>
  <c r="AM44" i="6"/>
  <c r="AL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AN43" i="6"/>
  <c r="V43" i="6"/>
  <c r="U43" i="6"/>
  <c r="I43" i="6"/>
  <c r="AN42" i="6"/>
  <c r="AM42" i="6"/>
  <c r="AL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AN41" i="6"/>
  <c r="W41" i="6"/>
  <c r="N41" i="6"/>
  <c r="I41" i="6"/>
  <c r="AN39" i="6"/>
  <c r="AM39" i="6"/>
  <c r="AL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AN38" i="6"/>
  <c r="AM38" i="6"/>
  <c r="AL38" i="6"/>
  <c r="AF38" i="6"/>
  <c r="AE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AN36" i="6"/>
  <c r="AM36" i="6"/>
  <c r="AL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AN29" i="6"/>
  <c r="P29" i="6"/>
  <c r="O29" i="6"/>
  <c r="AN27" i="6"/>
  <c r="AI27" i="6"/>
  <c r="AB27" i="6"/>
  <c r="T27" i="6"/>
  <c r="S27" i="6"/>
  <c r="M27" i="6"/>
  <c r="L27" i="6"/>
  <c r="AM26" i="6"/>
  <c r="AL26" i="6"/>
  <c r="AF26" i="6"/>
  <c r="AE26" i="6"/>
  <c r="Y26" i="6"/>
  <c r="X26" i="6"/>
  <c r="W26" i="6"/>
  <c r="T26" i="6"/>
  <c r="S26" i="6"/>
  <c r="R26" i="6"/>
  <c r="Q26" i="6"/>
  <c r="P26" i="6"/>
  <c r="O26" i="6"/>
  <c r="N26" i="6"/>
  <c r="M26" i="6"/>
  <c r="L26" i="6"/>
  <c r="K26" i="6"/>
  <c r="J26" i="6"/>
  <c r="I26" i="6"/>
  <c r="AN24" i="6"/>
  <c r="AM24" i="6"/>
  <c r="AL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AN23" i="6"/>
  <c r="V23" i="6"/>
  <c r="U23" i="6"/>
  <c r="M23" i="6"/>
  <c r="L23" i="6"/>
  <c r="I23" i="6"/>
  <c r="AN21" i="6"/>
  <c r="AM21" i="6"/>
  <c r="AL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AN20" i="6"/>
  <c r="W20" i="6"/>
  <c r="M20" i="6"/>
  <c r="L20" i="6"/>
  <c r="AN18" i="6"/>
  <c r="AM18" i="6"/>
  <c r="AL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AN17" i="6"/>
  <c r="T17" i="6"/>
  <c r="S17" i="6"/>
  <c r="M17" i="6"/>
  <c r="L17" i="6"/>
  <c r="AN16" i="6"/>
  <c r="AM16" i="6"/>
  <c r="AL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AN15" i="6"/>
  <c r="AM15" i="6"/>
  <c r="AL15" i="6"/>
  <c r="AF15" i="6"/>
  <c r="AE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AN13" i="6"/>
  <c r="AM13" i="6"/>
  <c r="AL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AN12" i="6"/>
  <c r="AM12" i="6"/>
  <c r="AL12" i="6"/>
  <c r="AF12" i="6"/>
  <c r="AE12" i="6"/>
  <c r="Y12" i="6"/>
  <c r="X12" i="6"/>
  <c r="W12" i="6"/>
  <c r="T12" i="6"/>
  <c r="S12" i="6"/>
  <c r="R12" i="6"/>
  <c r="Q12" i="6"/>
  <c r="P12" i="6"/>
  <c r="O12" i="6"/>
  <c r="N12" i="6"/>
  <c r="M12" i="6"/>
  <c r="L12" i="6"/>
  <c r="K12" i="6"/>
  <c r="J12" i="6"/>
  <c r="I12" i="6"/>
  <c r="AM11" i="6"/>
  <c r="AL11" i="6"/>
  <c r="AF11" i="6"/>
  <c r="AE11" i="6"/>
  <c r="Y11" i="6"/>
  <c r="X11" i="6"/>
  <c r="R11" i="6"/>
  <c r="Q11" i="6"/>
  <c r="P11" i="6"/>
  <c r="O11" i="6"/>
  <c r="N11" i="6"/>
  <c r="M11" i="6"/>
  <c r="L11" i="6"/>
  <c r="K11" i="6"/>
  <c r="J11" i="6"/>
  <c r="I11" i="6"/>
  <c r="AN9" i="6"/>
  <c r="AM9" i="6"/>
  <c r="AL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AL297" i="4"/>
  <c r="AK297" i="4"/>
  <c r="AJ297" i="4"/>
  <c r="AI297" i="4"/>
  <c r="AH297" i="4"/>
  <c r="AF297" i="4"/>
  <c r="AE297" i="4"/>
  <c r="AD297" i="4"/>
  <c r="AC297" i="4"/>
  <c r="AB297" i="4"/>
  <c r="AA297" i="4"/>
  <c r="Y297" i="4"/>
  <c r="X297" i="4"/>
  <c r="W297" i="4"/>
  <c r="U297" i="4"/>
  <c r="T297" i="4"/>
  <c r="O297" i="4"/>
  <c r="N297" i="4"/>
  <c r="M297" i="4"/>
  <c r="K297" i="4"/>
  <c r="J297" i="4"/>
  <c r="I297" i="4"/>
  <c r="AL296" i="4"/>
  <c r="AK296" i="4"/>
  <c r="AJ296" i="4"/>
  <c r="AI296" i="4"/>
  <c r="AH296" i="4"/>
  <c r="AF296" i="4"/>
  <c r="AE296" i="4"/>
  <c r="AD296" i="4"/>
  <c r="AC296" i="4"/>
  <c r="AB296" i="4"/>
  <c r="AA296" i="4"/>
  <c r="Y296" i="4"/>
  <c r="X296" i="4"/>
  <c r="W296" i="4"/>
  <c r="U296" i="4"/>
  <c r="T296" i="4"/>
  <c r="O296" i="4"/>
  <c r="N296" i="4"/>
  <c r="M296" i="4"/>
  <c r="K296" i="4"/>
  <c r="J296" i="4"/>
  <c r="I296" i="4"/>
  <c r="AH295" i="4"/>
  <c r="AF295" i="4"/>
  <c r="AE295" i="4"/>
  <c r="AD295" i="4"/>
  <c r="AC295" i="4"/>
  <c r="AB295" i="4"/>
  <c r="AA295" i="4"/>
  <c r="Y295" i="4"/>
  <c r="X295" i="4"/>
  <c r="W295" i="4"/>
  <c r="U295" i="4"/>
  <c r="T295" i="4"/>
  <c r="O295" i="4"/>
  <c r="N295" i="4"/>
  <c r="M295" i="4"/>
  <c r="K295" i="4"/>
  <c r="J295" i="4"/>
  <c r="I295" i="4"/>
  <c r="AL294" i="4"/>
  <c r="AL293" i="4"/>
  <c r="O292" i="4"/>
  <c r="N292" i="4"/>
  <c r="M292" i="4"/>
  <c r="K292" i="4"/>
  <c r="J292" i="4"/>
  <c r="I292" i="4"/>
  <c r="O290" i="4"/>
  <c r="N290" i="4"/>
  <c r="M290" i="4"/>
  <c r="K290" i="4"/>
  <c r="J290" i="4"/>
  <c r="I290" i="4"/>
  <c r="AE289" i="4"/>
  <c r="AD289" i="4"/>
  <c r="AC289" i="4"/>
  <c r="AB289" i="4"/>
  <c r="AA289" i="4"/>
  <c r="Y289" i="4"/>
  <c r="X289" i="4"/>
  <c r="W289" i="4"/>
  <c r="U289" i="4"/>
  <c r="T289" i="4"/>
  <c r="O289" i="4"/>
  <c r="N289" i="4"/>
  <c r="M289" i="4"/>
  <c r="K289" i="4"/>
  <c r="J289" i="4"/>
  <c r="I289" i="4"/>
  <c r="AF286" i="4"/>
  <c r="AE286" i="4"/>
  <c r="AD286" i="4"/>
  <c r="AC286" i="4"/>
  <c r="AB286" i="4"/>
  <c r="AA286" i="4"/>
  <c r="Y286" i="4"/>
  <c r="X286" i="4"/>
  <c r="W286" i="4"/>
  <c r="U286" i="4"/>
  <c r="T286" i="4"/>
  <c r="O286" i="4"/>
  <c r="N286" i="4"/>
  <c r="M286" i="4"/>
  <c r="K286" i="4"/>
  <c r="J286" i="4"/>
  <c r="I286" i="4"/>
  <c r="AL285" i="4"/>
  <c r="AL284" i="4"/>
  <c r="AF284" i="4"/>
  <c r="AE284" i="4"/>
  <c r="AD284" i="4"/>
  <c r="AC284" i="4"/>
  <c r="AF283" i="4"/>
  <c r="AE283" i="4"/>
  <c r="AD283" i="4"/>
  <c r="AC283" i="4"/>
  <c r="AB283" i="4"/>
  <c r="AA283" i="4"/>
  <c r="Y283" i="4"/>
  <c r="X283" i="4"/>
  <c r="W283" i="4"/>
  <c r="U283" i="4"/>
  <c r="T283" i="4"/>
  <c r="O283" i="4"/>
  <c r="N283" i="4"/>
  <c r="M283" i="4"/>
  <c r="K283" i="4"/>
  <c r="J283" i="4"/>
  <c r="I283" i="4"/>
  <c r="AL282" i="4"/>
  <c r="AL281" i="4"/>
  <c r="AC280" i="4"/>
  <c r="AB280" i="4"/>
  <c r="AA280" i="4"/>
  <c r="Y280" i="4"/>
  <c r="X280" i="4"/>
  <c r="W280" i="4"/>
  <c r="U280" i="4"/>
  <c r="T280" i="4"/>
  <c r="O280" i="4"/>
  <c r="N280" i="4"/>
  <c r="M280" i="4"/>
  <c r="K280" i="4"/>
  <c r="J280" i="4"/>
  <c r="I280" i="4"/>
  <c r="AL279" i="4"/>
  <c r="AL278" i="4"/>
  <c r="Y278" i="4"/>
  <c r="AE277" i="4"/>
  <c r="AD277" i="4"/>
  <c r="AC277" i="4"/>
  <c r="AB277" i="4"/>
  <c r="AA277" i="4"/>
  <c r="Y277" i="4"/>
  <c r="X277" i="4"/>
  <c r="W277" i="4"/>
  <c r="U277" i="4"/>
  <c r="T277" i="4"/>
  <c r="O277" i="4"/>
  <c r="N277" i="4"/>
  <c r="M277" i="4"/>
  <c r="K277" i="4"/>
  <c r="J277" i="4"/>
  <c r="I277" i="4"/>
  <c r="AL276" i="4"/>
  <c r="AL275" i="4"/>
  <c r="AK275" i="4"/>
  <c r="AJ275" i="4"/>
  <c r="AI275" i="4"/>
  <c r="AH275" i="4"/>
  <c r="AF275" i="4"/>
  <c r="AE275" i="4"/>
  <c r="AD275" i="4"/>
  <c r="AC275" i="4"/>
  <c r="AB275" i="4"/>
  <c r="AA275" i="4"/>
  <c r="Y275" i="4"/>
  <c r="X275" i="4"/>
  <c r="W275" i="4"/>
  <c r="U275" i="4"/>
  <c r="T275" i="4"/>
  <c r="O275" i="4"/>
  <c r="N275" i="4"/>
  <c r="M275" i="4"/>
  <c r="K275" i="4"/>
  <c r="J275" i="4"/>
  <c r="I275" i="4"/>
  <c r="O274" i="4"/>
  <c r="N274" i="4"/>
  <c r="M274" i="4"/>
  <c r="K274" i="4"/>
  <c r="J274" i="4"/>
  <c r="I274" i="4"/>
  <c r="AL273" i="4"/>
  <c r="AL272" i="4"/>
  <c r="AK272" i="4"/>
  <c r="AJ272" i="4"/>
  <c r="AI272" i="4"/>
  <c r="AH272" i="4"/>
  <c r="AF272" i="4"/>
  <c r="AE272" i="4"/>
  <c r="AD272" i="4"/>
  <c r="AC272" i="4"/>
  <c r="AB272" i="4"/>
  <c r="AA272" i="4"/>
  <c r="Y272" i="4"/>
  <c r="X272" i="4"/>
  <c r="W272" i="4"/>
  <c r="U272" i="4"/>
  <c r="T272" i="4"/>
  <c r="O272" i="4"/>
  <c r="K272" i="4"/>
  <c r="J272" i="4"/>
  <c r="I272" i="4"/>
  <c r="AK271" i="4"/>
  <c r="AJ271" i="4"/>
  <c r="AI271" i="4"/>
  <c r="AH271" i="4"/>
  <c r="AF271" i="4"/>
  <c r="AE271" i="4"/>
  <c r="AD271" i="4"/>
  <c r="AC271" i="4"/>
  <c r="AB271" i="4"/>
  <c r="AA271" i="4"/>
  <c r="Y271" i="4"/>
  <c r="X271" i="4"/>
  <c r="W271" i="4"/>
  <c r="U271" i="4"/>
  <c r="T271" i="4"/>
  <c r="O271" i="4"/>
  <c r="N271" i="4"/>
  <c r="M271" i="4"/>
  <c r="K271" i="4"/>
  <c r="J271" i="4"/>
  <c r="I271" i="4"/>
  <c r="AL270" i="4"/>
  <c r="AL269" i="4"/>
  <c r="AH269" i="4"/>
  <c r="AE269" i="4"/>
  <c r="AD269" i="4"/>
  <c r="AC269" i="4"/>
  <c r="AB269" i="4"/>
  <c r="AA269" i="4"/>
  <c r="Y269" i="4"/>
  <c r="X269" i="4"/>
  <c r="W269" i="4"/>
  <c r="U269" i="4"/>
  <c r="T269" i="4"/>
  <c r="O269" i="4"/>
  <c r="N269" i="4"/>
  <c r="M269" i="4"/>
  <c r="K269" i="4"/>
  <c r="J269" i="4"/>
  <c r="I269" i="4"/>
  <c r="AH268" i="4"/>
  <c r="AF268" i="4"/>
  <c r="AE268" i="4"/>
  <c r="AD268" i="4"/>
  <c r="AC268" i="4"/>
  <c r="AB268" i="4"/>
  <c r="AA268" i="4"/>
  <c r="Y268" i="4"/>
  <c r="X268" i="4"/>
  <c r="W268" i="4"/>
  <c r="U268" i="4"/>
  <c r="T268" i="4"/>
  <c r="O268" i="4"/>
  <c r="N268" i="4"/>
  <c r="M268" i="4"/>
  <c r="K268" i="4"/>
  <c r="J268" i="4"/>
  <c r="I268" i="4"/>
  <c r="AL267" i="4"/>
  <c r="AL266" i="4"/>
  <c r="AE266" i="4"/>
  <c r="AD266" i="4"/>
  <c r="AC266" i="4"/>
  <c r="AB266" i="4"/>
  <c r="AA266" i="4"/>
  <c r="Y266" i="4"/>
  <c r="X266" i="4"/>
  <c r="W266" i="4"/>
  <c r="U266" i="4"/>
  <c r="T266" i="4"/>
  <c r="O266" i="4"/>
  <c r="N266" i="4"/>
  <c r="AL260" i="4"/>
  <c r="AK260" i="4"/>
  <c r="AJ260" i="4"/>
  <c r="AI260" i="4"/>
  <c r="AH260" i="4"/>
  <c r="AF260" i="4"/>
  <c r="AE260" i="4"/>
  <c r="AD260" i="4"/>
  <c r="AC260" i="4"/>
  <c r="AB260" i="4"/>
  <c r="AA260" i="4"/>
  <c r="Y260" i="4"/>
  <c r="X260" i="4"/>
  <c r="W260" i="4"/>
  <c r="U260" i="4"/>
  <c r="T260" i="4"/>
  <c r="O260" i="4"/>
  <c r="N260" i="4"/>
  <c r="M260" i="4"/>
  <c r="K260" i="4"/>
  <c r="J260" i="4"/>
  <c r="I260" i="4"/>
  <c r="AL259" i="4"/>
  <c r="AK259" i="4"/>
  <c r="AJ259" i="4"/>
  <c r="AI259" i="4"/>
  <c r="AH259" i="4"/>
  <c r="AF259" i="4"/>
  <c r="AE259" i="4"/>
  <c r="AD259" i="4"/>
  <c r="AC259" i="4"/>
  <c r="AB259" i="4"/>
  <c r="AA259" i="4"/>
  <c r="Y259" i="4"/>
  <c r="X259" i="4"/>
  <c r="W259" i="4"/>
  <c r="U259" i="4"/>
  <c r="T259" i="4"/>
  <c r="O259" i="4"/>
  <c r="N259" i="4"/>
  <c r="M259" i="4"/>
  <c r="K259" i="4"/>
  <c r="J259" i="4"/>
  <c r="I259" i="4"/>
  <c r="AD258" i="4"/>
  <c r="AC258" i="4"/>
  <c r="AB258" i="4"/>
  <c r="AA258" i="4"/>
  <c r="Y258" i="4"/>
  <c r="X258" i="4"/>
  <c r="W258" i="4"/>
  <c r="U258" i="4"/>
  <c r="T258" i="4"/>
  <c r="O258" i="4"/>
  <c r="N258" i="4"/>
  <c r="M258" i="4"/>
  <c r="K258" i="4"/>
  <c r="J258" i="4"/>
  <c r="I258" i="4"/>
  <c r="AL257" i="4"/>
  <c r="AL256" i="4"/>
  <c r="W255" i="4"/>
  <c r="U255" i="4"/>
  <c r="T255" i="4"/>
  <c r="O255" i="4"/>
  <c r="N255" i="4"/>
  <c r="M255" i="4"/>
  <c r="K255" i="4"/>
  <c r="J255" i="4"/>
  <c r="I255" i="4"/>
  <c r="AL254" i="4"/>
  <c r="AL253" i="4"/>
  <c r="U253" i="4"/>
  <c r="T253" i="4"/>
  <c r="O253" i="4"/>
  <c r="N253" i="4"/>
  <c r="AE252" i="4"/>
  <c r="AD252" i="4"/>
  <c r="AC252" i="4"/>
  <c r="AB252" i="4"/>
  <c r="AA252" i="4"/>
  <c r="Y252" i="4"/>
  <c r="X252" i="4"/>
  <c r="W252" i="4"/>
  <c r="U252" i="4"/>
  <c r="T252" i="4"/>
  <c r="O252" i="4"/>
  <c r="N252" i="4"/>
  <c r="M252" i="4"/>
  <c r="K252" i="4"/>
  <c r="J252" i="4"/>
  <c r="I252" i="4"/>
  <c r="AL251" i="4"/>
  <c r="AL250" i="4"/>
  <c r="AD250" i="4"/>
  <c r="AC250" i="4"/>
  <c r="AD249" i="4"/>
  <c r="AC249" i="4"/>
  <c r="AB249" i="4"/>
  <c r="AA249" i="4"/>
  <c r="Y249" i="4"/>
  <c r="X249" i="4"/>
  <c r="W249" i="4"/>
  <c r="U249" i="4"/>
  <c r="T249" i="4"/>
  <c r="O249" i="4"/>
  <c r="N249" i="4"/>
  <c r="M249" i="4"/>
  <c r="K249" i="4"/>
  <c r="J249" i="4"/>
  <c r="I249" i="4"/>
  <c r="AL248" i="4"/>
  <c r="AL247" i="4"/>
  <c r="AH246" i="4"/>
  <c r="AF246" i="4"/>
  <c r="AE246" i="4"/>
  <c r="AD246" i="4"/>
  <c r="AC246" i="4"/>
  <c r="AB246" i="4"/>
  <c r="AA246" i="4"/>
  <c r="Y246" i="4"/>
  <c r="X246" i="4"/>
  <c r="W246" i="4"/>
  <c r="U246" i="4"/>
  <c r="T246" i="4"/>
  <c r="O246" i="4"/>
  <c r="N246" i="4"/>
  <c r="M246" i="4"/>
  <c r="K246" i="4"/>
  <c r="J246" i="4"/>
  <c r="I246" i="4"/>
  <c r="AL245" i="4"/>
  <c r="AL244" i="4"/>
  <c r="AE244" i="4"/>
  <c r="AK243" i="4"/>
  <c r="AJ243" i="4"/>
  <c r="AI243" i="4"/>
  <c r="AH243" i="4"/>
  <c r="AF243" i="4"/>
  <c r="AE243" i="4"/>
  <c r="AD243" i="4"/>
  <c r="AC243" i="4"/>
  <c r="AB243" i="4"/>
  <c r="AA243" i="4"/>
  <c r="Y243" i="4"/>
  <c r="X243" i="4"/>
  <c r="W243" i="4"/>
  <c r="U243" i="4"/>
  <c r="T243" i="4"/>
  <c r="O243" i="4"/>
  <c r="N243" i="4"/>
  <c r="M243" i="4"/>
  <c r="K243" i="4"/>
  <c r="J243" i="4"/>
  <c r="I243" i="4"/>
  <c r="AL242" i="4"/>
  <c r="AL241" i="4"/>
  <c r="AH241" i="4"/>
  <c r="AF241" i="4"/>
  <c r="AE241" i="4"/>
  <c r="AK240" i="4"/>
  <c r="AJ240" i="4"/>
  <c r="AI240" i="4"/>
  <c r="AH240" i="4"/>
  <c r="AF240" i="4"/>
  <c r="AE240" i="4"/>
  <c r="AD240" i="4"/>
  <c r="AC240" i="4"/>
  <c r="AB240" i="4"/>
  <c r="AA240" i="4"/>
  <c r="Y240" i="4"/>
  <c r="X240" i="4"/>
  <c r="W240" i="4"/>
  <c r="U240" i="4"/>
  <c r="T240" i="4"/>
  <c r="O240" i="4"/>
  <c r="N240" i="4"/>
  <c r="M240" i="4"/>
  <c r="K240" i="4"/>
  <c r="J240" i="4"/>
  <c r="I240" i="4"/>
  <c r="AL239" i="4"/>
  <c r="AL238" i="4"/>
  <c r="AH238" i="4"/>
  <c r="AE238" i="4"/>
  <c r="AD238" i="4"/>
  <c r="AC238" i="4"/>
  <c r="AA238" i="4"/>
  <c r="Y238" i="4"/>
  <c r="X238" i="4"/>
  <c r="W238" i="4"/>
  <c r="U238" i="4"/>
  <c r="T238" i="4"/>
  <c r="O238" i="4"/>
  <c r="N238" i="4"/>
  <c r="M238" i="4"/>
  <c r="AL235" i="4"/>
  <c r="AL233" i="4"/>
  <c r="AK233" i="4"/>
  <c r="AL232" i="4"/>
  <c r="AL230" i="4"/>
  <c r="AK230" i="4"/>
  <c r="AJ230" i="4"/>
  <c r="AI230" i="4"/>
  <c r="AH230" i="4"/>
  <c r="AF230" i="4"/>
  <c r="AE230" i="4"/>
  <c r="AD230" i="4"/>
  <c r="AC230" i="4"/>
  <c r="AL229" i="4"/>
  <c r="AL227" i="4"/>
  <c r="AK227" i="4"/>
  <c r="AJ227" i="4"/>
  <c r="AI227" i="4"/>
  <c r="AH227" i="4"/>
  <c r="AF227" i="4"/>
  <c r="AE227" i="4"/>
  <c r="AD227" i="4"/>
  <c r="AC227" i="4"/>
  <c r="AL226" i="4"/>
  <c r="AL224" i="4"/>
  <c r="AK224" i="4"/>
  <c r="AJ224" i="4"/>
  <c r="AI224" i="4"/>
  <c r="AH224" i="4"/>
  <c r="AF224" i="4"/>
  <c r="AE224" i="4"/>
  <c r="AD224" i="4"/>
  <c r="AC224" i="4"/>
  <c r="AL223" i="4"/>
  <c r="AL221" i="4"/>
  <c r="AK221" i="4"/>
  <c r="AJ221" i="4"/>
  <c r="AI221" i="4"/>
  <c r="AH221" i="4"/>
  <c r="AF221" i="4"/>
  <c r="AE221" i="4"/>
  <c r="AD221" i="4"/>
  <c r="AC221" i="4"/>
  <c r="AL220" i="4"/>
  <c r="AL218" i="4"/>
  <c r="AK218" i="4"/>
  <c r="AJ218" i="4"/>
  <c r="AI218" i="4"/>
  <c r="AH218" i="4"/>
  <c r="AF218" i="4"/>
  <c r="AE218" i="4"/>
  <c r="AD218" i="4"/>
  <c r="AC218" i="4"/>
  <c r="AL217" i="4"/>
  <c r="AL216" i="4"/>
  <c r="AK216" i="4"/>
  <c r="AJ216" i="4"/>
  <c r="AI216" i="4"/>
  <c r="AH216" i="4"/>
  <c r="AF216" i="4"/>
  <c r="AE216" i="4"/>
  <c r="AD216" i="4"/>
  <c r="AC216" i="4"/>
  <c r="AL215" i="4"/>
  <c r="AL214" i="4"/>
  <c r="AK214" i="4"/>
  <c r="AJ214" i="4"/>
  <c r="AI214" i="4"/>
  <c r="AH214" i="4"/>
  <c r="AF214" i="4"/>
  <c r="AE214" i="4"/>
  <c r="AD214" i="4"/>
  <c r="AC214" i="4"/>
  <c r="AL213" i="4"/>
  <c r="AL212" i="4"/>
  <c r="AK212" i="4"/>
  <c r="AJ212" i="4"/>
  <c r="AI212" i="4"/>
  <c r="AH212" i="4"/>
  <c r="AF212" i="4"/>
  <c r="AE212" i="4"/>
  <c r="AD212" i="4"/>
  <c r="AC212" i="4"/>
  <c r="AL211" i="4"/>
  <c r="AL209" i="4"/>
  <c r="AK209" i="4"/>
  <c r="AJ209" i="4"/>
  <c r="AI209" i="4"/>
  <c r="AH209" i="4"/>
  <c r="AF209" i="4"/>
  <c r="AE209" i="4"/>
  <c r="AD209" i="4"/>
  <c r="AC209" i="4"/>
  <c r="AL208" i="4"/>
  <c r="AL207" i="4"/>
  <c r="AK207" i="4"/>
  <c r="AJ207" i="4"/>
  <c r="AI207" i="4"/>
  <c r="AH207" i="4"/>
  <c r="AF207" i="4"/>
  <c r="AE207" i="4"/>
  <c r="AD207" i="4"/>
  <c r="AC207" i="4"/>
  <c r="AL206" i="4"/>
  <c r="AL204" i="4"/>
  <c r="AK204" i="4"/>
  <c r="AJ204" i="4"/>
  <c r="AI204" i="4"/>
  <c r="AH204" i="4"/>
  <c r="AF204" i="4"/>
  <c r="AE204" i="4"/>
  <c r="AD204" i="4"/>
  <c r="AC204" i="4"/>
  <c r="AB204" i="4"/>
  <c r="AA204" i="4"/>
  <c r="Y204" i="4"/>
  <c r="X204" i="4"/>
  <c r="W204" i="4"/>
  <c r="U204" i="4"/>
  <c r="T204" i="4"/>
  <c r="AH192" i="4"/>
  <c r="AD192" i="4"/>
  <c r="AA192" i="4"/>
  <c r="W192" i="4"/>
  <c r="AL191" i="4"/>
  <c r="AL189" i="4"/>
  <c r="AK189" i="4"/>
  <c r="AF189" i="4"/>
  <c r="AB189" i="4"/>
  <c r="W189" i="4"/>
  <c r="N189" i="4"/>
  <c r="AL188" i="4"/>
  <c r="AL186" i="4"/>
  <c r="AK186" i="4"/>
  <c r="AF186" i="4"/>
  <c r="AB186" i="4"/>
  <c r="W186" i="4"/>
  <c r="N186" i="4"/>
  <c r="AL185" i="4"/>
  <c r="W185" i="4"/>
  <c r="AL183" i="4"/>
  <c r="AK183" i="4"/>
  <c r="AJ183" i="4"/>
  <c r="AI183" i="4"/>
  <c r="AH183" i="4"/>
  <c r="AF183" i="4"/>
  <c r="AE183" i="4"/>
  <c r="AD183" i="4"/>
  <c r="AC183" i="4"/>
  <c r="AB183" i="4"/>
  <c r="AA183" i="4"/>
  <c r="Y183" i="4"/>
  <c r="X183" i="4"/>
  <c r="W183" i="4"/>
  <c r="U183" i="4"/>
  <c r="T183" i="4"/>
  <c r="O183" i="4"/>
  <c r="N183" i="4"/>
  <c r="M183" i="4"/>
  <c r="K183" i="4"/>
  <c r="J183" i="4"/>
  <c r="I183" i="4"/>
  <c r="AL182" i="4"/>
  <c r="U182" i="4"/>
  <c r="T182" i="4"/>
  <c r="AL180" i="4"/>
  <c r="AK180" i="4"/>
  <c r="AJ180" i="4"/>
  <c r="AI180" i="4"/>
  <c r="AH180" i="4"/>
  <c r="AF180" i="4"/>
  <c r="AE180" i="4"/>
  <c r="AD180" i="4"/>
  <c r="AC180" i="4"/>
  <c r="AB180" i="4"/>
  <c r="AA180" i="4"/>
  <c r="Y180" i="4"/>
  <c r="X180" i="4"/>
  <c r="W180" i="4"/>
  <c r="U180" i="4"/>
  <c r="T180" i="4"/>
  <c r="O180" i="4"/>
  <c r="N180" i="4"/>
  <c r="M180" i="4"/>
  <c r="K180" i="4"/>
  <c r="J180" i="4"/>
  <c r="I180" i="4"/>
  <c r="AL179" i="4"/>
  <c r="O179" i="4"/>
  <c r="N179" i="4"/>
  <c r="M179" i="4"/>
  <c r="K179" i="4"/>
  <c r="J179" i="4"/>
  <c r="AL177" i="4"/>
  <c r="AI177" i="4"/>
  <c r="AH177" i="4"/>
  <c r="AD177" i="4"/>
  <c r="AC177" i="4"/>
  <c r="Y177" i="4"/>
  <c r="X177" i="4"/>
  <c r="T177" i="4"/>
  <c r="O177" i="4"/>
  <c r="K177" i="4"/>
  <c r="J177" i="4"/>
  <c r="AL176" i="4"/>
  <c r="O176" i="4"/>
  <c r="AL174" i="4"/>
  <c r="AI174" i="4"/>
  <c r="AF174" i="4"/>
  <c r="AD174" i="4"/>
  <c r="AC174" i="4"/>
  <c r="Y174" i="4"/>
  <c r="X174" i="4"/>
  <c r="T174" i="4"/>
  <c r="O174" i="4"/>
  <c r="K174" i="4"/>
  <c r="J174" i="4"/>
  <c r="AL173" i="4"/>
  <c r="O173" i="4"/>
  <c r="I173" i="4"/>
  <c r="AL171" i="4"/>
  <c r="AH171" i="4"/>
  <c r="AC171" i="4"/>
  <c r="X171" i="4"/>
  <c r="O171" i="4"/>
  <c r="J171" i="4"/>
  <c r="AL170" i="4"/>
  <c r="W170" i="4"/>
  <c r="I170" i="4"/>
  <c r="AL169" i="4"/>
  <c r="AH169" i="4"/>
  <c r="AC169" i="4"/>
  <c r="X169" i="4"/>
  <c r="O169" i="4"/>
  <c r="J169" i="4"/>
  <c r="AL168" i="4"/>
  <c r="O168" i="4"/>
  <c r="AL166" i="4"/>
  <c r="AH166" i="4"/>
  <c r="AC166" i="4"/>
  <c r="X166" i="4"/>
  <c r="O166" i="4"/>
  <c r="J166" i="4"/>
  <c r="T165" i="4"/>
  <c r="AL164" i="4"/>
  <c r="AH164" i="4"/>
  <c r="AC164" i="4"/>
  <c r="X164" i="4"/>
  <c r="O164" i="4"/>
  <c r="J164" i="4"/>
  <c r="AL163" i="4"/>
  <c r="O163" i="4"/>
  <c r="AL161" i="4"/>
  <c r="AH161" i="4"/>
  <c r="AC161" i="4"/>
  <c r="X161" i="4"/>
  <c r="O161" i="4"/>
  <c r="J161" i="4"/>
  <c r="T160" i="4"/>
  <c r="AL159" i="4"/>
  <c r="AH159" i="4"/>
  <c r="AC159" i="4"/>
  <c r="X159" i="4"/>
  <c r="O159" i="4"/>
  <c r="J159" i="4"/>
  <c r="AL158" i="4"/>
  <c r="W158" i="4"/>
  <c r="U158" i="4"/>
  <c r="K158" i="4"/>
  <c r="J158" i="4"/>
  <c r="I158" i="4"/>
  <c r="AL156" i="4"/>
  <c r="AK156" i="4"/>
  <c r="AJ156" i="4"/>
  <c r="AI156" i="4"/>
  <c r="AH156" i="4"/>
  <c r="AF156" i="4"/>
  <c r="AE156" i="4"/>
  <c r="AD156" i="4"/>
  <c r="AC156" i="4"/>
  <c r="AB156" i="4"/>
  <c r="AA156" i="4"/>
  <c r="Y156" i="4"/>
  <c r="X156" i="4"/>
  <c r="W156" i="4"/>
  <c r="U156" i="4"/>
  <c r="T156" i="4"/>
  <c r="O156" i="4"/>
  <c r="N156" i="4"/>
  <c r="M156" i="4"/>
  <c r="K156" i="4"/>
  <c r="J156" i="4"/>
  <c r="I156" i="4"/>
  <c r="AL155" i="4"/>
  <c r="X155" i="4"/>
  <c r="W155" i="4"/>
  <c r="U155" i="4"/>
  <c r="T155" i="4"/>
  <c r="O155" i="4"/>
  <c r="N155" i="4"/>
  <c r="M155" i="4"/>
  <c r="K155" i="4"/>
  <c r="J155" i="4"/>
  <c r="I155" i="4"/>
  <c r="AL153" i="4"/>
  <c r="AK153" i="4"/>
  <c r="AJ153" i="4"/>
  <c r="AI153" i="4"/>
  <c r="AH153" i="4"/>
  <c r="AF153" i="4"/>
  <c r="AE153" i="4"/>
  <c r="AD153" i="4"/>
  <c r="AC153" i="4"/>
  <c r="AB153" i="4"/>
  <c r="AA153" i="4"/>
  <c r="Y153" i="4"/>
  <c r="X153" i="4"/>
  <c r="W153" i="4"/>
  <c r="U153" i="4"/>
  <c r="T153" i="4"/>
  <c r="O153" i="4"/>
  <c r="N153" i="4"/>
  <c r="M153" i="4"/>
  <c r="K153" i="4"/>
  <c r="J153" i="4"/>
  <c r="I153" i="4"/>
  <c r="AL152" i="4"/>
  <c r="I152" i="4"/>
  <c r="AL150" i="4"/>
  <c r="AK150" i="4"/>
  <c r="AJ150" i="4"/>
  <c r="AI150" i="4"/>
  <c r="AH150" i="4"/>
  <c r="AF150" i="4"/>
  <c r="AE150" i="4"/>
  <c r="AD150" i="4"/>
  <c r="AC150" i="4"/>
  <c r="AB150" i="4"/>
  <c r="AA150" i="4"/>
  <c r="Y150" i="4"/>
  <c r="X150" i="4"/>
  <c r="W150" i="4"/>
  <c r="U150" i="4"/>
  <c r="T150" i="4"/>
  <c r="O150" i="4"/>
  <c r="N150" i="4"/>
  <c r="M150" i="4"/>
  <c r="K150" i="4"/>
  <c r="J150" i="4"/>
  <c r="I150" i="4"/>
  <c r="I147" i="4"/>
  <c r="I144" i="4"/>
  <c r="I141" i="4"/>
  <c r="AL140" i="4"/>
  <c r="AL138" i="4"/>
  <c r="AK138" i="4"/>
  <c r="AL137" i="4"/>
  <c r="X137" i="4"/>
  <c r="AL135" i="4"/>
  <c r="AK135" i="4"/>
  <c r="AJ135" i="4"/>
  <c r="AI135" i="4"/>
  <c r="AH135" i="4"/>
  <c r="AL134" i="4"/>
  <c r="AL132" i="4"/>
  <c r="AI132" i="4"/>
  <c r="AL131" i="4"/>
  <c r="AL129" i="4"/>
  <c r="AI129" i="4"/>
  <c r="AL125" i="4"/>
  <c r="AL123" i="4"/>
  <c r="AJ123" i="4"/>
  <c r="AE123" i="4"/>
  <c r="AA123" i="4"/>
  <c r="AL122" i="4"/>
  <c r="X122" i="4"/>
  <c r="W122" i="4"/>
  <c r="U122" i="4"/>
  <c r="T122" i="4"/>
  <c r="AL120" i="4"/>
  <c r="AK120" i="4"/>
  <c r="AJ120" i="4"/>
  <c r="AI120" i="4"/>
  <c r="AH120" i="4"/>
  <c r="AF120" i="4"/>
  <c r="AE120" i="4"/>
  <c r="AD120" i="4"/>
  <c r="AC120" i="4"/>
  <c r="AB120" i="4"/>
  <c r="AA120" i="4"/>
  <c r="Y120" i="4"/>
  <c r="X120" i="4"/>
  <c r="W120" i="4"/>
  <c r="U120" i="4"/>
  <c r="T120" i="4"/>
  <c r="AL119" i="4"/>
  <c r="T119" i="4"/>
  <c r="AL117" i="4"/>
  <c r="AK117" i="4"/>
  <c r="AJ117" i="4"/>
  <c r="AI117" i="4"/>
  <c r="AH117" i="4"/>
  <c r="AF117" i="4"/>
  <c r="AE117" i="4"/>
  <c r="AD117" i="4"/>
  <c r="AC117" i="4"/>
  <c r="AB117" i="4"/>
  <c r="AA117" i="4"/>
  <c r="Y117" i="4"/>
  <c r="X117" i="4"/>
  <c r="W117" i="4"/>
  <c r="U117" i="4"/>
  <c r="T117" i="4"/>
  <c r="AL116" i="4"/>
  <c r="X116" i="4"/>
  <c r="W116" i="4"/>
  <c r="U116" i="4"/>
  <c r="O116" i="4"/>
  <c r="N116" i="4"/>
  <c r="M116" i="4"/>
  <c r="K116" i="4"/>
  <c r="AL114" i="4"/>
  <c r="AK114" i="4"/>
  <c r="AJ114" i="4"/>
  <c r="AI114" i="4"/>
  <c r="AH114" i="4"/>
  <c r="AF114" i="4"/>
  <c r="AE114" i="4"/>
  <c r="AD114" i="4"/>
  <c r="AC114" i="4"/>
  <c r="AB114" i="4"/>
  <c r="AA114" i="4"/>
  <c r="Y114" i="4"/>
  <c r="X114" i="4"/>
  <c r="W114" i="4"/>
  <c r="U114" i="4"/>
  <c r="T114" i="4"/>
  <c r="O114" i="4"/>
  <c r="N114" i="4"/>
  <c r="AK111" i="4"/>
  <c r="AJ111" i="4"/>
  <c r="AI111" i="4"/>
  <c r="AH111" i="4"/>
  <c r="AL107" i="4"/>
  <c r="W107" i="4"/>
  <c r="AL105" i="4"/>
  <c r="AK105" i="4"/>
  <c r="AE105" i="4"/>
  <c r="Y105" i="4"/>
  <c r="O105" i="4"/>
  <c r="AL104" i="4"/>
  <c r="AL102" i="4"/>
  <c r="AK102" i="4"/>
  <c r="AE102" i="4"/>
  <c r="Y102" i="4"/>
  <c r="O102" i="4"/>
  <c r="AL101" i="4"/>
  <c r="X101" i="4"/>
  <c r="W101" i="4"/>
  <c r="U101" i="4"/>
  <c r="T101" i="4"/>
  <c r="O101" i="4"/>
  <c r="N101" i="4"/>
  <c r="M101" i="4"/>
  <c r="AL99" i="4"/>
  <c r="AJ99" i="4"/>
  <c r="AI99" i="4"/>
  <c r="AH99" i="4"/>
  <c r="AD99" i="4"/>
  <c r="AC99" i="4"/>
  <c r="AB99" i="4"/>
  <c r="X99" i="4"/>
  <c r="W99" i="4"/>
  <c r="U99" i="4"/>
  <c r="N99" i="4"/>
  <c r="M99" i="4"/>
  <c r="K99" i="4"/>
  <c r="AL98" i="4"/>
  <c r="U98" i="4"/>
  <c r="O98" i="4"/>
  <c r="M98" i="4"/>
  <c r="AL96" i="4"/>
  <c r="AF96" i="4"/>
  <c r="AA96" i="4"/>
  <c r="T96" i="4"/>
  <c r="J96" i="4"/>
  <c r="AL95" i="4"/>
  <c r="X95" i="4"/>
  <c r="W95" i="4"/>
  <c r="AL93" i="4"/>
  <c r="AK93" i="4"/>
  <c r="AE93" i="4"/>
  <c r="Y93" i="4"/>
  <c r="O93" i="4"/>
  <c r="I93" i="4"/>
  <c r="I90" i="4"/>
  <c r="I87" i="4"/>
  <c r="AL86" i="4"/>
  <c r="K86" i="4"/>
  <c r="AL84" i="4"/>
  <c r="AK84" i="4"/>
  <c r="AE84" i="4"/>
  <c r="Y84" i="4"/>
  <c r="O84" i="4"/>
  <c r="AL83" i="4"/>
  <c r="X83" i="4"/>
  <c r="AL81" i="4"/>
  <c r="AK81" i="4"/>
  <c r="AJ81" i="4"/>
  <c r="AI81" i="4"/>
  <c r="AH81" i="4"/>
  <c r="AF81" i="4"/>
  <c r="AE81" i="4"/>
  <c r="AD81" i="4"/>
  <c r="AC81" i="4"/>
  <c r="AB81" i="4"/>
  <c r="AA81" i="4"/>
  <c r="Y81" i="4"/>
  <c r="X81" i="4"/>
  <c r="W81" i="4"/>
  <c r="U81" i="4"/>
  <c r="T81" i="4"/>
  <c r="O81" i="4"/>
  <c r="N81" i="4"/>
  <c r="M81" i="4"/>
  <c r="K81" i="4"/>
  <c r="J81" i="4"/>
  <c r="I81" i="4"/>
  <c r="AL80" i="4"/>
  <c r="W80" i="4"/>
  <c r="U80" i="4"/>
  <c r="T80" i="4"/>
  <c r="I80" i="4"/>
  <c r="AL78" i="4"/>
  <c r="AK78" i="4"/>
  <c r="AJ78" i="4"/>
  <c r="AI78" i="4"/>
  <c r="AH78" i="4"/>
  <c r="AF78" i="4"/>
  <c r="AE78" i="4"/>
  <c r="AD78" i="4"/>
  <c r="AC78" i="4"/>
  <c r="AB78" i="4"/>
  <c r="AA78" i="4"/>
  <c r="Y78" i="4"/>
  <c r="X78" i="4"/>
  <c r="W78" i="4"/>
  <c r="U78" i="4"/>
  <c r="T78" i="4"/>
  <c r="O78" i="4"/>
  <c r="N78" i="4"/>
  <c r="M78" i="4"/>
  <c r="K78" i="4"/>
  <c r="J78" i="4"/>
  <c r="I78" i="4"/>
  <c r="AL77" i="4"/>
  <c r="M77" i="4"/>
  <c r="AL75" i="4"/>
  <c r="AK75" i="4"/>
  <c r="AJ75" i="4"/>
  <c r="AI75" i="4"/>
  <c r="AH75" i="4"/>
  <c r="AF75" i="4"/>
  <c r="AE75" i="4"/>
  <c r="AD75" i="4"/>
  <c r="AC75" i="4"/>
  <c r="AB75" i="4"/>
  <c r="AA75" i="4"/>
  <c r="Y75" i="4"/>
  <c r="X75" i="4"/>
  <c r="W75" i="4"/>
  <c r="U75" i="4"/>
  <c r="T75" i="4"/>
  <c r="O75" i="4"/>
  <c r="N75" i="4"/>
  <c r="M75" i="4"/>
  <c r="K75" i="4"/>
  <c r="J75" i="4"/>
  <c r="I75" i="4"/>
  <c r="AL74" i="4"/>
  <c r="M74" i="4"/>
  <c r="AL73" i="4"/>
  <c r="AK73" i="4"/>
  <c r="AJ73" i="4"/>
  <c r="AI73" i="4"/>
  <c r="AH73" i="4"/>
  <c r="AF73" i="4"/>
  <c r="AE73" i="4"/>
  <c r="AD73" i="4"/>
  <c r="AC73" i="4"/>
  <c r="AB73" i="4"/>
  <c r="AA73" i="4"/>
  <c r="Y73" i="4"/>
  <c r="X73" i="4"/>
  <c r="W73" i="4"/>
  <c r="U73" i="4"/>
  <c r="T73" i="4"/>
  <c r="O73" i="4"/>
  <c r="N73" i="4"/>
  <c r="M73" i="4"/>
  <c r="K73" i="4"/>
  <c r="J73" i="4"/>
  <c r="I73" i="4"/>
  <c r="AL72" i="4"/>
  <c r="M72" i="4"/>
  <c r="AL70" i="4"/>
  <c r="AK70" i="4"/>
  <c r="AJ70" i="4"/>
  <c r="AI70" i="4"/>
  <c r="AH70" i="4"/>
  <c r="AF70" i="4"/>
  <c r="AE70" i="4"/>
  <c r="AD70" i="4"/>
  <c r="AC70" i="4"/>
  <c r="AB70" i="4"/>
  <c r="AA70" i="4"/>
  <c r="Y70" i="4"/>
  <c r="X70" i="4"/>
  <c r="W70" i="4"/>
  <c r="U70" i="4"/>
  <c r="T70" i="4"/>
  <c r="O70" i="4"/>
  <c r="N70" i="4"/>
  <c r="M70" i="4"/>
  <c r="K70" i="4"/>
  <c r="J70" i="4"/>
  <c r="I70" i="4"/>
  <c r="AL69" i="4"/>
  <c r="W69" i="4"/>
  <c r="T69" i="4"/>
  <c r="O69" i="4"/>
  <c r="AL67" i="4"/>
  <c r="AK67" i="4"/>
  <c r="AJ67" i="4"/>
  <c r="AI67" i="4"/>
  <c r="AH67" i="4"/>
  <c r="AF67" i="4"/>
  <c r="AE67" i="4"/>
  <c r="AD67" i="4"/>
  <c r="AC67" i="4"/>
  <c r="AB67" i="4"/>
  <c r="AA67" i="4"/>
  <c r="Y67" i="4"/>
  <c r="X67" i="4"/>
  <c r="W67" i="4"/>
  <c r="U67" i="4"/>
  <c r="T67" i="4"/>
  <c r="O67" i="4"/>
  <c r="N67" i="4"/>
  <c r="M67" i="4"/>
  <c r="K67" i="4"/>
  <c r="J67" i="4"/>
  <c r="I67" i="4"/>
  <c r="AL66" i="4"/>
  <c r="X66" i="4"/>
  <c r="AL64" i="4"/>
  <c r="AK64" i="4"/>
  <c r="AJ64" i="4"/>
  <c r="AI64" i="4"/>
  <c r="AH64" i="4"/>
  <c r="AF64" i="4"/>
  <c r="AE64" i="4"/>
  <c r="AD64" i="4"/>
  <c r="AC64" i="4"/>
  <c r="AB64" i="4"/>
  <c r="AA64" i="4"/>
  <c r="Y64" i="4"/>
  <c r="X64" i="4"/>
  <c r="W64" i="4"/>
  <c r="U64" i="4"/>
  <c r="T64" i="4"/>
  <c r="O64" i="4"/>
  <c r="N64" i="4"/>
  <c r="M64" i="4"/>
  <c r="K64" i="4"/>
  <c r="J64" i="4"/>
  <c r="I64" i="4"/>
  <c r="AL57" i="4"/>
  <c r="T57" i="4"/>
  <c r="N57" i="4"/>
  <c r="J57" i="4"/>
  <c r="AL55" i="4"/>
  <c r="AK55" i="4"/>
  <c r="AI55" i="4"/>
  <c r="AF55" i="4"/>
  <c r="AD55" i="4"/>
  <c r="AB55" i="4"/>
  <c r="Y55" i="4"/>
  <c r="W55" i="4"/>
  <c r="T55" i="4"/>
  <c r="N55" i="4"/>
  <c r="K55" i="4"/>
  <c r="AL54" i="4"/>
  <c r="W54" i="4"/>
  <c r="U54" i="4"/>
  <c r="T54" i="4"/>
  <c r="O54" i="4"/>
  <c r="N54" i="4"/>
  <c r="M54" i="4"/>
  <c r="K54" i="4"/>
  <c r="J54" i="4"/>
  <c r="I54" i="4"/>
  <c r="AL52" i="4"/>
  <c r="AK52" i="4"/>
  <c r="AJ52" i="4"/>
  <c r="AI52" i="4"/>
  <c r="AH52" i="4"/>
  <c r="AF52" i="4"/>
  <c r="AE52" i="4"/>
  <c r="AD52" i="4"/>
  <c r="AC52" i="4"/>
  <c r="AB52" i="4"/>
  <c r="AA52" i="4"/>
  <c r="Y52" i="4"/>
  <c r="X52" i="4"/>
  <c r="W52" i="4"/>
  <c r="U52" i="4"/>
  <c r="T52" i="4"/>
  <c r="O52" i="4"/>
  <c r="N52" i="4"/>
  <c r="M52" i="4"/>
  <c r="K52" i="4"/>
  <c r="J52" i="4"/>
  <c r="I52" i="4"/>
  <c r="AL51" i="4"/>
  <c r="O51" i="4"/>
  <c r="N51" i="4"/>
  <c r="AL49" i="4"/>
  <c r="AK49" i="4"/>
  <c r="AJ49" i="4"/>
  <c r="AI49" i="4"/>
  <c r="AH49" i="4"/>
  <c r="AF49" i="4"/>
  <c r="AE49" i="4"/>
  <c r="AD49" i="4"/>
  <c r="AC49" i="4"/>
  <c r="AB49" i="4"/>
  <c r="AA49" i="4"/>
  <c r="Y49" i="4"/>
  <c r="X49" i="4"/>
  <c r="W49" i="4"/>
  <c r="U49" i="4"/>
  <c r="T49" i="4"/>
  <c r="O49" i="4"/>
  <c r="N49" i="4"/>
  <c r="M49" i="4"/>
  <c r="K49" i="4"/>
  <c r="J49" i="4"/>
  <c r="I49" i="4"/>
  <c r="AL48" i="4"/>
  <c r="J48" i="4"/>
  <c r="I48" i="4"/>
  <c r="AL47" i="4"/>
  <c r="AK47" i="4"/>
  <c r="AJ47" i="4"/>
  <c r="AI47" i="4"/>
  <c r="AH47" i="4"/>
  <c r="AF47" i="4"/>
  <c r="AE47" i="4"/>
  <c r="AD47" i="4"/>
  <c r="AC47" i="4"/>
  <c r="AB47" i="4"/>
  <c r="AA47" i="4"/>
  <c r="Y47" i="4"/>
  <c r="X47" i="4"/>
  <c r="W47" i="4"/>
  <c r="U47" i="4"/>
  <c r="T47" i="4"/>
  <c r="O47" i="4"/>
  <c r="N47" i="4"/>
  <c r="M47" i="4"/>
  <c r="K47" i="4"/>
  <c r="J47" i="4"/>
  <c r="I47" i="4"/>
  <c r="AL46" i="4"/>
  <c r="U46" i="4"/>
  <c r="O46" i="4"/>
  <c r="M46" i="4"/>
  <c r="K46" i="4"/>
  <c r="J46" i="4"/>
  <c r="I46" i="4"/>
  <c r="AL44" i="4"/>
  <c r="AK44" i="4"/>
  <c r="AJ44" i="4"/>
  <c r="AI44" i="4"/>
  <c r="AH44" i="4"/>
  <c r="AF44" i="4"/>
  <c r="AE44" i="4"/>
  <c r="AD44" i="4"/>
  <c r="AC44" i="4"/>
  <c r="AB44" i="4"/>
  <c r="AA44" i="4"/>
  <c r="Y44" i="4"/>
  <c r="X44" i="4"/>
  <c r="W44" i="4"/>
  <c r="U44" i="4"/>
  <c r="T44" i="4"/>
  <c r="O44" i="4"/>
  <c r="N44" i="4"/>
  <c r="M44" i="4"/>
  <c r="K44" i="4"/>
  <c r="J44" i="4"/>
  <c r="I44" i="4"/>
  <c r="AL43" i="4"/>
  <c r="U43" i="4"/>
  <c r="I43" i="4"/>
  <c r="AL42" i="4"/>
  <c r="AK42" i="4"/>
  <c r="AJ42" i="4"/>
  <c r="AI42" i="4"/>
  <c r="AH42" i="4"/>
  <c r="AF42" i="4"/>
  <c r="AE42" i="4"/>
  <c r="AD42" i="4"/>
  <c r="AC42" i="4"/>
  <c r="AB42" i="4"/>
  <c r="AA42" i="4"/>
  <c r="Y42" i="4"/>
  <c r="X42" i="4"/>
  <c r="W42" i="4"/>
  <c r="U42" i="4"/>
  <c r="T42" i="4"/>
  <c r="O42" i="4"/>
  <c r="N42" i="4"/>
  <c r="M42" i="4"/>
  <c r="K42" i="4"/>
  <c r="J42" i="4"/>
  <c r="I42" i="4"/>
  <c r="AL41" i="4"/>
  <c r="W41" i="4"/>
  <c r="N41" i="4"/>
  <c r="I41" i="4"/>
  <c r="AL39" i="4"/>
  <c r="AK39" i="4"/>
  <c r="AJ39" i="4"/>
  <c r="AI39" i="4"/>
  <c r="AH39" i="4"/>
  <c r="AF39" i="4"/>
  <c r="AE39" i="4"/>
  <c r="AD39" i="4"/>
  <c r="AC39" i="4"/>
  <c r="AB39" i="4"/>
  <c r="AA39" i="4"/>
  <c r="Y39" i="4"/>
  <c r="X39" i="4"/>
  <c r="W39" i="4"/>
  <c r="U39" i="4"/>
  <c r="T39" i="4"/>
  <c r="O39" i="4"/>
  <c r="N39" i="4"/>
  <c r="M39" i="4"/>
  <c r="K39" i="4"/>
  <c r="J39" i="4"/>
  <c r="I39" i="4"/>
  <c r="AL38" i="4"/>
  <c r="X38" i="4"/>
  <c r="W38" i="4"/>
  <c r="U38" i="4"/>
  <c r="T38" i="4"/>
  <c r="O38" i="4"/>
  <c r="N38" i="4"/>
  <c r="M38" i="4"/>
  <c r="K38" i="4"/>
  <c r="J38" i="4"/>
  <c r="I38" i="4"/>
  <c r="AL36" i="4"/>
  <c r="AK36" i="4"/>
  <c r="AJ36" i="4"/>
  <c r="AI36" i="4"/>
  <c r="AH36" i="4"/>
  <c r="AF36" i="4"/>
  <c r="AE36" i="4"/>
  <c r="AD36" i="4"/>
  <c r="AC36" i="4"/>
  <c r="AB36" i="4"/>
  <c r="AA36" i="4"/>
  <c r="Y36" i="4"/>
  <c r="X36" i="4"/>
  <c r="W36" i="4"/>
  <c r="U36" i="4"/>
  <c r="T36" i="4"/>
  <c r="O36" i="4"/>
  <c r="N36" i="4"/>
  <c r="M36" i="4"/>
  <c r="K36" i="4"/>
  <c r="J36" i="4"/>
  <c r="I36" i="4"/>
  <c r="AL29" i="4"/>
  <c r="O29" i="4"/>
  <c r="AL27" i="4"/>
  <c r="AI27" i="4"/>
  <c r="AE27" i="4"/>
  <c r="AB27" i="4"/>
  <c r="X27" i="4"/>
  <c r="T27" i="4"/>
  <c r="M27" i="4"/>
  <c r="W26" i="4"/>
  <c r="T26" i="4"/>
  <c r="O26" i="4"/>
  <c r="N26" i="4"/>
  <c r="M26" i="4"/>
  <c r="K26" i="4"/>
  <c r="J26" i="4"/>
  <c r="I26" i="4"/>
  <c r="AL24" i="4"/>
  <c r="AK24" i="4"/>
  <c r="AJ24" i="4"/>
  <c r="AI24" i="4"/>
  <c r="AH24" i="4"/>
  <c r="AF24" i="4"/>
  <c r="AE24" i="4"/>
  <c r="AD24" i="4"/>
  <c r="AC24" i="4"/>
  <c r="AB24" i="4"/>
  <c r="AA24" i="4"/>
  <c r="Y24" i="4"/>
  <c r="X24" i="4"/>
  <c r="W24" i="4"/>
  <c r="U24" i="4"/>
  <c r="T24" i="4"/>
  <c r="O24" i="4"/>
  <c r="N24" i="4"/>
  <c r="M24" i="4"/>
  <c r="K24" i="4"/>
  <c r="J24" i="4"/>
  <c r="I24" i="4"/>
  <c r="AL23" i="4"/>
  <c r="U23" i="4"/>
  <c r="M23" i="4"/>
  <c r="I23" i="4"/>
  <c r="AL21" i="4"/>
  <c r="AK21" i="4"/>
  <c r="AJ21" i="4"/>
  <c r="AI21" i="4"/>
  <c r="AH21" i="4"/>
  <c r="AF21" i="4"/>
  <c r="AE21" i="4"/>
  <c r="AD21" i="4"/>
  <c r="AC21" i="4"/>
  <c r="AB21" i="4"/>
  <c r="AA21" i="4"/>
  <c r="Y21" i="4"/>
  <c r="X21" i="4"/>
  <c r="W21" i="4"/>
  <c r="U21" i="4"/>
  <c r="T21" i="4"/>
  <c r="O21" i="4"/>
  <c r="N21" i="4"/>
  <c r="M21" i="4"/>
  <c r="K21" i="4"/>
  <c r="J21" i="4"/>
  <c r="I21" i="4"/>
  <c r="AL20" i="4"/>
  <c r="W20" i="4"/>
  <c r="M20" i="4"/>
  <c r="AL18" i="4"/>
  <c r="AK18" i="4"/>
  <c r="AJ18" i="4"/>
  <c r="AI18" i="4"/>
  <c r="AH18" i="4"/>
  <c r="AF18" i="4"/>
  <c r="AE18" i="4"/>
  <c r="AD18" i="4"/>
  <c r="AC18" i="4"/>
  <c r="AB18" i="4"/>
  <c r="AA18" i="4"/>
  <c r="Y18" i="4"/>
  <c r="X18" i="4"/>
  <c r="W18" i="4"/>
  <c r="U18" i="4"/>
  <c r="T18" i="4"/>
  <c r="O18" i="4"/>
  <c r="N18" i="4"/>
  <c r="M18" i="4"/>
  <c r="K18" i="4"/>
  <c r="J18" i="4"/>
  <c r="I18" i="4"/>
  <c r="AL17" i="4"/>
  <c r="T17" i="4"/>
  <c r="M17" i="4"/>
  <c r="AL16" i="4"/>
  <c r="AK16" i="4"/>
  <c r="AJ16" i="4"/>
  <c r="AI16" i="4"/>
  <c r="AH16" i="4"/>
  <c r="AF16" i="4"/>
  <c r="AE16" i="4"/>
  <c r="AD16" i="4"/>
  <c r="AC16" i="4"/>
  <c r="AB16" i="4"/>
  <c r="AA16" i="4"/>
  <c r="Y16" i="4"/>
  <c r="X16" i="4"/>
  <c r="W16" i="4"/>
  <c r="U16" i="4"/>
  <c r="T16" i="4"/>
  <c r="O16" i="4"/>
  <c r="N16" i="4"/>
  <c r="M16" i="4"/>
  <c r="K16" i="4"/>
  <c r="J16" i="4"/>
  <c r="I16" i="4"/>
  <c r="AL15" i="4"/>
  <c r="X15" i="4"/>
  <c r="W15" i="4"/>
  <c r="U15" i="4"/>
  <c r="T15" i="4"/>
  <c r="O15" i="4"/>
  <c r="N15" i="4"/>
  <c r="M15" i="4"/>
  <c r="K15" i="4"/>
  <c r="J15" i="4"/>
  <c r="I15" i="4"/>
  <c r="AL13" i="4"/>
  <c r="AK13" i="4"/>
  <c r="AJ13" i="4"/>
  <c r="AI13" i="4"/>
  <c r="AH13" i="4"/>
  <c r="AF13" i="4"/>
  <c r="AE13" i="4"/>
  <c r="AD13" i="4"/>
  <c r="AC13" i="4"/>
  <c r="AB13" i="4"/>
  <c r="AA13" i="4"/>
  <c r="Y13" i="4"/>
  <c r="X13" i="4"/>
  <c r="W13" i="4"/>
  <c r="U13" i="4"/>
  <c r="T13" i="4"/>
  <c r="O13" i="4"/>
  <c r="N13" i="4"/>
  <c r="M13" i="4"/>
  <c r="K13" i="4"/>
  <c r="J13" i="4"/>
  <c r="I13" i="4"/>
  <c r="AL12" i="4"/>
  <c r="W12" i="4"/>
  <c r="T12" i="4"/>
  <c r="O12" i="4"/>
  <c r="N12" i="4"/>
  <c r="M12" i="4"/>
  <c r="K12" i="4"/>
  <c r="J12" i="4"/>
  <c r="I12" i="4"/>
  <c r="O11" i="4"/>
  <c r="N11" i="4"/>
  <c r="M11" i="4"/>
  <c r="K11" i="4"/>
  <c r="J11" i="4"/>
  <c r="I11" i="4"/>
  <c r="AL9" i="4"/>
  <c r="AK9" i="4"/>
  <c r="AJ9" i="4"/>
  <c r="AI9" i="4"/>
  <c r="AH9" i="4"/>
  <c r="AF9" i="4"/>
  <c r="AE9" i="4"/>
  <c r="AD9" i="4"/>
  <c r="AC9" i="4"/>
  <c r="AB9" i="4"/>
  <c r="AA9" i="4"/>
  <c r="Y9" i="4"/>
  <c r="X9" i="4"/>
  <c r="W9" i="4"/>
  <c r="U9" i="4"/>
  <c r="T9" i="4"/>
  <c r="O9" i="4"/>
  <c r="N9" i="4"/>
  <c r="M9" i="4"/>
  <c r="K9" i="4"/>
  <c r="J9" i="4"/>
  <c r="I9" i="4"/>
  <c r="AN296" i="6" l="1"/>
  <c r="AG243" i="6"/>
  <c r="AH243" i="6"/>
  <c r="AN259" i="6"/>
  <c r="O243" i="6"/>
  <c r="O286" i="6"/>
  <c r="O283" i="6"/>
  <c r="P283" i="6" s="1"/>
  <c r="Q283" i="6" s="1"/>
  <c r="O271" i="6"/>
  <c r="O277" i="6"/>
  <c r="O280" i="6"/>
  <c r="O289" i="6"/>
  <c r="AN297" i="6"/>
  <c r="T243" i="6" l="1"/>
  <c r="U243" i="6" s="1"/>
  <c r="P243" i="6"/>
  <c r="Q243" i="6" s="1"/>
  <c r="R243" i="6" s="1"/>
  <c r="T280" i="6"/>
  <c r="U280" i="6" s="1"/>
  <c r="P280" i="6"/>
  <c r="Q280" i="6" s="1"/>
  <c r="P271" i="6"/>
  <c r="T286" i="6"/>
  <c r="U286" i="6" s="1"/>
  <c r="P286" i="6"/>
  <c r="Q286" i="6" s="1"/>
  <c r="U289" i="6"/>
  <c r="P289" i="6"/>
  <c r="Q289" i="6" s="1"/>
  <c r="T277" i="6"/>
  <c r="U277" i="6" s="1"/>
  <c r="P277" i="6"/>
  <c r="Q277" i="6" s="1"/>
  <c r="T295" i="6"/>
  <c r="U295" i="6" s="1"/>
  <c r="V243" i="6" l="1"/>
  <c r="W243" i="6"/>
  <c r="X243" i="6" s="1"/>
  <c r="Y243" i="6" s="1"/>
  <c r="W277" i="6"/>
  <c r="X277" i="6" s="1"/>
  <c r="V277" i="6"/>
  <c r="W286" i="6"/>
  <c r="X286" i="6" s="1"/>
  <c r="V286" i="6"/>
  <c r="W280" i="6"/>
  <c r="X280" i="6" s="1"/>
  <c r="V280" i="6"/>
  <c r="W295" i="6"/>
  <c r="X295" i="6" s="1"/>
  <c r="V295" i="6"/>
  <c r="W289" i="6"/>
  <c r="X289" i="6" s="1"/>
  <c r="V289" i="6"/>
  <c r="AA243" i="6" l="1"/>
  <c r="AB243" i="6" s="1"/>
  <c r="AC243" i="6" s="1"/>
  <c r="Z243" i="6"/>
  <c r="AA289" i="6"/>
  <c r="AB289" i="6" s="1"/>
  <c r="AC289" i="6" s="1"/>
  <c r="AD289" i="6" s="1"/>
  <c r="AE289" i="6" s="1"/>
  <c r="AG289" i="6" s="1"/>
  <c r="Z289" i="6"/>
  <c r="AA280" i="6"/>
  <c r="AB280" i="6" s="1"/>
  <c r="AC280" i="6" s="1"/>
  <c r="Z280" i="6"/>
  <c r="AA277" i="6"/>
  <c r="AB277" i="6" s="1"/>
  <c r="AC277" i="6" s="1"/>
  <c r="AD277" i="6" s="1"/>
  <c r="AE277" i="6" s="1"/>
  <c r="AG277" i="6" s="1"/>
  <c r="Z277" i="6"/>
  <c r="AA286" i="6"/>
  <c r="AB286" i="6" s="1"/>
  <c r="AC286" i="6" s="1"/>
  <c r="AD286" i="6" s="1"/>
  <c r="AE286" i="6" s="1"/>
  <c r="AG286" i="6" s="1"/>
  <c r="Z286" i="6"/>
</calcChain>
</file>

<file path=xl/sharedStrings.xml><?xml version="1.0" encoding="utf-8"?>
<sst xmlns="http://schemas.openxmlformats.org/spreadsheetml/2006/main" count="1303" uniqueCount="187">
  <si>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family val="1"/>
      </rPr>
      <t>2</t>
    </r>
    <r>
      <rPr>
        <b/>
        <sz val="14"/>
        <color theme="1"/>
        <rFont val="宋体"/>
        <charset val="134"/>
      </rPr>
      <t>月份生产排程计划</t>
    </r>
  </si>
  <si>
    <t>TYPE</t>
  </si>
  <si>
    <t>PART NUMBER</t>
  </si>
  <si>
    <t>ORDER</t>
  </si>
  <si>
    <t>PANJANG / PCS</t>
  </si>
  <si>
    <t>殚单数量</t>
  </si>
  <si>
    <t>生管交期</t>
  </si>
  <si>
    <t>SPESIFIKASI</t>
  </si>
  <si>
    <t xml:space="preserve">工序 PROSES </t>
  </si>
  <si>
    <t>TOTAL</t>
  </si>
  <si>
    <t>W03-25050003-Y</t>
  </si>
  <si>
    <t>每天 SETIAP HARI</t>
  </si>
  <si>
    <t>伸线(KG)COPPER DRAWING</t>
  </si>
  <si>
    <t>MK83</t>
  </si>
  <si>
    <t>需求设备JML MESIN YANG DIPERLUKAN</t>
  </si>
  <si>
    <t>实际产能 HASIL AKTUAL</t>
  </si>
  <si>
    <t>0,080A</t>
  </si>
  <si>
    <t>退火 ANEALING</t>
  </si>
  <si>
    <t>35 / 0,080A</t>
  </si>
  <si>
    <t>绞铜红黑(米)STRANDING (MERAH HITAM)</t>
  </si>
  <si>
    <t>需求设备 JML MESIN YANG DIPERLUKAN</t>
  </si>
  <si>
    <t>11 / 0,080A + 150D</t>
  </si>
  <si>
    <t>绞铜白(米)STRANDING (PUTIH)</t>
  </si>
  <si>
    <t>CORE MERAH</t>
  </si>
  <si>
    <t>芯线红(米) EKSTRUSI CORE MERAH</t>
  </si>
  <si>
    <t>CORE HITAM</t>
  </si>
  <si>
    <t>芯线黑(米)EKSTRUSI CORE HITAM</t>
  </si>
  <si>
    <t>芯押机 JML MESIN YANG DIPERLUKAN</t>
  </si>
  <si>
    <t>CORE PUTIH</t>
  </si>
  <si>
    <t>芯线白(米)EKSTRUSI CORE PUTIH</t>
  </si>
  <si>
    <t>总绞 包纸(米)TWISTING</t>
  </si>
  <si>
    <t>总绞机 JML MESIN YANG DIPERLUKAN</t>
  </si>
  <si>
    <t>外押（PCS）EKSTRUSI LUAR</t>
  </si>
  <si>
    <t>押出70机 MESIN EKSTRUSI 70</t>
  </si>
  <si>
    <t>MM38 / MP98</t>
  </si>
  <si>
    <t>W03-00040033-Y</t>
  </si>
  <si>
    <t>70 / 0,080A</t>
  </si>
  <si>
    <t>11 / 0,080A + 200D</t>
  </si>
  <si>
    <t>绞铜白黄(米)STRANDING (PUTIH KUNING)</t>
  </si>
  <si>
    <t xml:space="preserve">CORE KUNING </t>
  </si>
  <si>
    <t>芯线黄(米)EKSTRUSI CORE KUNING</t>
  </si>
  <si>
    <t>MK09</t>
  </si>
  <si>
    <t>W03-00030005-Y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</si>
  <si>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6:36000PCS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family val="1"/>
      </rPr>
      <t xml:space="preserve">20000PCS
</t>
    </r>
  </si>
  <si>
    <t>95 / 0,080A</t>
  </si>
  <si>
    <t>绞铜红(米)STRANDING (MERAH)</t>
  </si>
  <si>
    <t>绞铜白灰(米)STRANDING (PUTIH ABU-ABU)</t>
  </si>
  <si>
    <t>CORE ABU-ABU</t>
  </si>
  <si>
    <t>芯线灰(米)EKSTRUSI CORE ABU-ABU</t>
  </si>
  <si>
    <t>纏繞(米)WINDING</t>
  </si>
  <si>
    <t>纏繞机 JML MESIN YANG DIPERLUKAN</t>
  </si>
  <si>
    <t>押出50机 MESIN EKSTRUSI 50</t>
  </si>
  <si>
    <t>AX88</t>
  </si>
  <si>
    <t>W03-71010061-Y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</si>
  <si>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family val="1"/>
      </rPr>
      <t>20000PCS</t>
    </r>
  </si>
  <si>
    <t>11 / 0,160A</t>
  </si>
  <si>
    <t>AY01</t>
  </si>
  <si>
    <t>W03-71010060-Y</t>
  </si>
  <si>
    <t>2月17：20000PCS</t>
  </si>
  <si>
    <t>MB50B</t>
  </si>
  <si>
    <t>W03-71010064-Y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</si>
  <si>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charset val="134"/>
      </rPr>
      <t>：每天</t>
    </r>
    <r>
      <rPr>
        <sz val="11"/>
        <color theme="1"/>
        <rFont val="Times New Roman"/>
        <family val="1"/>
      </rPr>
      <t>10000</t>
    </r>
  </si>
  <si>
    <t>0,080UEW</t>
  </si>
  <si>
    <t>漆包(KG)ENAMELING</t>
  </si>
  <si>
    <t>26 / 0,080UEW</t>
  </si>
  <si>
    <t>BL98B</t>
  </si>
  <si>
    <t>W03-71010075-Y</t>
  </si>
  <si>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family val="1"/>
      </rPr>
      <t>20000</t>
    </r>
  </si>
  <si>
    <t>65 / 0,160A</t>
  </si>
  <si>
    <t>28 + 24 /                   28 + 28</t>
  </si>
  <si>
    <t>7 / 0,200A</t>
  </si>
  <si>
    <t>7 / 0,120A</t>
  </si>
  <si>
    <t>绞铜(米)STRANDING</t>
  </si>
  <si>
    <t>7 / 0,127A</t>
  </si>
  <si>
    <t>绞铜白红黑(米)STRANDING (PUTIH HIJAU MERAH HITAM)</t>
  </si>
  <si>
    <t>芯线红(米) EKSTRUSI CORE MERAH 28 + 24</t>
  </si>
  <si>
    <t>芯线黑(米)EKSTRUSI CORE HITAM 28 + 24</t>
  </si>
  <si>
    <t>芯线红(米) EKSTRUSI CORE MERAH 28 + 28</t>
  </si>
  <si>
    <t>芯线黑(米)EKSTRUSI CORE HITAM 28 + 28</t>
  </si>
  <si>
    <t xml:space="preserve">CORE HIJAU </t>
  </si>
  <si>
    <t>芯线(米)EKSTRUSI CORE HIJAU</t>
  </si>
  <si>
    <t>总绞 包纸(米)TWISTING 28 + 24</t>
  </si>
  <si>
    <t>总绞 包纸(米)TWISTING 28 + 28</t>
  </si>
  <si>
    <t>編織(米)BRAIDING 28 + 24</t>
  </si>
  <si>
    <t>編織机 JML MESIN YANG DIPERLUKAN</t>
  </si>
  <si>
    <t>編織(米)BRAIDING 28 + 28</t>
  </si>
  <si>
    <t>28 + 24</t>
  </si>
  <si>
    <t>28 + 28</t>
  </si>
  <si>
    <t>SONY</t>
  </si>
  <si>
    <t>W03-27601194-Y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</si>
  <si>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family val="1"/>
      </rPr>
      <t>50000
2</t>
    </r>
    <r>
      <rPr>
        <sz val="11"/>
        <color theme="1"/>
        <rFont val="宋体"/>
        <charset val="134"/>
      </rPr>
      <t>月20日发泡料到</t>
    </r>
  </si>
  <si>
    <t>0,080T</t>
  </si>
  <si>
    <t>镀锡 TINING</t>
  </si>
  <si>
    <t>0,254T</t>
  </si>
  <si>
    <t>7 / 0,080T</t>
  </si>
  <si>
    <t>绞铜白(米)STRANDING(PUTIH COKLAT MERAH KUNING ORANGE)</t>
  </si>
  <si>
    <t>绞铜机 JML MESIN YANG DIPERLUKAN</t>
  </si>
  <si>
    <t>CORE PUTIH FOAM</t>
  </si>
  <si>
    <t>芯线白(米)EKSTRUSI FOAM CORE PUTIH</t>
  </si>
  <si>
    <t>CORE COKLAT FOAM</t>
  </si>
  <si>
    <t>芯线(米)EKSTRUSI FOAM CORE COKLAT</t>
  </si>
  <si>
    <t>芯线机 JML MESIN YANG DIPERLUKAN</t>
  </si>
  <si>
    <t>CORE ORANGE</t>
  </si>
  <si>
    <t>芯线(米)EKSTRUSI CORE ORANGE</t>
  </si>
  <si>
    <t>對絞(米)SINGLE TWIST</t>
  </si>
  <si>
    <t>對絞机 JML MESIN YANG DIPERLUKAN</t>
  </si>
  <si>
    <t>包帶(米)BELT MACHINE</t>
  </si>
  <si>
    <t>包帶机 JML MESIN YANG DIPERLUKAN</t>
  </si>
  <si>
    <t>总绞(米)TWISTING</t>
  </si>
  <si>
    <t>編織(米)BRAIDING</t>
  </si>
  <si>
    <t>纍計差異Selisih Produksi</t>
  </si>
  <si>
    <t>計劃合計</t>
  </si>
  <si>
    <t>實際合計</t>
  </si>
  <si>
    <t>0,080 A</t>
  </si>
  <si>
    <t>纍計Selisih Produksi</t>
  </si>
  <si>
    <t>0,160 A</t>
  </si>
  <si>
    <t>0,120 A</t>
  </si>
  <si>
    <t>0,127 A</t>
  </si>
  <si>
    <t>0,200 A</t>
  </si>
  <si>
    <t>0,080 T</t>
  </si>
  <si>
    <t>鍍錫 ANEALING</t>
  </si>
  <si>
    <t>0,100 T</t>
  </si>
  <si>
    <t>鍍錫計劃 ANEALING</t>
  </si>
  <si>
    <t>0,127 T</t>
  </si>
  <si>
    <t>0,254 T</t>
  </si>
  <si>
    <t>鍍錫計劃ANEALING</t>
  </si>
  <si>
    <t>0,080 UEW</t>
  </si>
  <si>
    <t>漆包計劃 ANEALING</t>
  </si>
  <si>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family val="1"/>
      </rPr>
      <t>3</t>
    </r>
    <r>
      <rPr>
        <b/>
        <sz val="14"/>
        <color theme="1"/>
        <rFont val="宋体"/>
        <charset val="134"/>
      </rPr>
      <t>月份生产排程计划</t>
    </r>
  </si>
  <si>
    <t>伸线計劃(KG)COPPER DRAWING</t>
  </si>
  <si>
    <t>退火計劃 ANEALING</t>
  </si>
  <si>
    <t>电线部3月份生产排程计划</t>
  </si>
  <si>
    <r>
      <rPr>
        <sz val="11"/>
        <color theme="1"/>
        <rFont val="宋体"/>
        <charset val="134"/>
      </rPr>
      <t>3月：每天</t>
    </r>
    <r>
      <rPr>
        <sz val="11"/>
        <color theme="1"/>
        <rFont val="Times New Roman"/>
        <family val="1"/>
      </rPr>
      <t>13000</t>
    </r>
  </si>
  <si>
    <t>绞铜白(米)STRANDING (PUTIH HIJAU)</t>
  </si>
  <si>
    <t>7 / 0,127</t>
  </si>
  <si>
    <t>绞铜红黑白(米)STRANDING (MERAH HITAM PUTIH HIJAU)</t>
  </si>
  <si>
    <t xml:space="preserve"> </t>
  </si>
  <si>
    <t>W03-25040053-Y</t>
  </si>
  <si>
    <t>0,100T</t>
  </si>
  <si>
    <t>0,127T</t>
  </si>
  <si>
    <t>7 / 0,127T</t>
  </si>
  <si>
    <t>绞铜白(米)STRANDING</t>
  </si>
  <si>
    <t>绞铜白(米)STRANDING(HITAM)</t>
  </si>
  <si>
    <t>7 / 0,100T</t>
  </si>
  <si>
    <t>绞铜白(米)STRANDING(PUTIH HIJAU)</t>
  </si>
  <si>
    <t>34 / 0,100T</t>
  </si>
  <si>
    <t>绞铜(米)STRANDING(MERAH)</t>
  </si>
  <si>
    <t>芯线(米)EKSTRUSI CORE HITAM</t>
  </si>
  <si>
    <t>芯线(米)EKSTRUSI CORE PUTIH</t>
  </si>
  <si>
    <t>芯线綠(米)EKSTRUSI CORE HIJAU</t>
  </si>
  <si>
    <t>月用量</t>
  </si>
  <si>
    <t>TEMBAGA</t>
  </si>
  <si>
    <t>机台数量</t>
  </si>
  <si>
    <t>外押 JACKET EKSTRUSI</t>
  </si>
  <si>
    <t>PANJANG (M)</t>
  </si>
  <si>
    <t>銅用量 BERAT (KG)</t>
  </si>
  <si>
    <t>細伸 COPPER DRAWING (JML MESIN)</t>
  </si>
  <si>
    <t>絞銅 STRANDING (JML MESIN)</t>
  </si>
  <si>
    <t>芯押 EKSTRUSI (JML MESIN)</t>
  </si>
  <si>
    <t>對絞 SINGLE TWIST (JML MESIN)</t>
  </si>
  <si>
    <t>包帶 BELT MACHINE (JML MESIN)</t>
  </si>
  <si>
    <t>總絞 TWISTING (JML MESIN)</t>
  </si>
  <si>
    <t>編織 BRAIDING  (JML MESIN)</t>
  </si>
  <si>
    <t xml:space="preserve">纏繞 WINDING (JML MESIN) </t>
  </si>
  <si>
    <t>每天</t>
  </si>
  <si>
    <t>CORE KUNING</t>
  </si>
  <si>
    <t>0,120A</t>
  </si>
  <si>
    <t>CORE HIJAU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</si>
  <si>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family val="1"/>
      </rPr>
      <t>50000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charset val="134"/>
      </rPr>
      <t>日发泡料到</t>
    </r>
  </si>
  <si>
    <t>細伸COPPER DRAWING</t>
  </si>
  <si>
    <t>芯押 EKSTRUSI</t>
  </si>
  <si>
    <t>0.080</t>
  </si>
  <si>
    <t>芯押 EKSTRUSI FOAM</t>
  </si>
  <si>
    <t>0.160</t>
  </si>
  <si>
    <t>對絞 SINGLE TWIST</t>
  </si>
  <si>
    <t>0.127</t>
  </si>
  <si>
    <t>包帶 BELT MACHIN</t>
  </si>
  <si>
    <t>0.120</t>
  </si>
  <si>
    <t>總絞 TWISTING</t>
  </si>
  <si>
    <t>0.200</t>
  </si>
  <si>
    <t>編織 BRAIDING</t>
  </si>
  <si>
    <t>0.254</t>
  </si>
  <si>
    <t xml:space="preserve">纏繞 WINDING </t>
  </si>
  <si>
    <t>絞銅 STRANDING</t>
  </si>
  <si>
    <t>11 / 0,080A</t>
  </si>
  <si>
    <t>鍍錫計劃 TINING</t>
  </si>
  <si>
    <t>漆包計劃 ENAMELING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</si>
</sst>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 &quot;PCS&quot;"/>
    <numFmt numFmtId="165" formatCode="0.00\ #&quot;M&quot;"/>
    <numFmt numFmtId="166" formatCode="0.000\ #&quot;M&quot;"/>
    <numFmt numFmtId="167" formatCode="0_ "/>
    <numFmt numFmtId="168" formatCode="0.00_ "/>
  </numFmts>
  <fonts count="15">
    <font>
      <sz val="11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charset val="134"/>
    </font>
    <font>
      <b/>
      <sz val="14"/>
      <color theme="1"/>
      <name val="宋体"/>
      <charset val="134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8"/>
      <color theme="1"/>
      <name val="Times New Roman"/>
      <family val="1"/>
    </font>
    <font>
      <b/>
      <sz val="14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3" fontId="6" fillId="4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4" fontId="6" fillId="0" borderId="1" xfId="0" applyNumberFormat="1" applyFont="1" applyBorder="1" applyAlignment="1">
      <alignment vertical="center"/>
    </xf>
    <xf numFmtId="4" fontId="6" fillId="0" borderId="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18" xfId="0" applyNumberFormat="1" applyFont="1" applyBorder="1" applyAlignment="1">
      <alignment horizontal="center"/>
    </xf>
    <xf numFmtId="164" fontId="2" fillId="0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167" fontId="9" fillId="0" borderId="9" xfId="0" applyNumberFormat="1" applyFont="1" applyFill="1" applyBorder="1" applyAlignment="1">
      <alignment horizontal="center"/>
    </xf>
    <xf numFmtId="168" fontId="9" fillId="5" borderId="9" xfId="0" applyNumberFormat="1" applyFont="1" applyFill="1" applyBorder="1" applyAlignment="1">
      <alignment horizontal="center"/>
    </xf>
    <xf numFmtId="168" fontId="9" fillId="0" borderId="4" xfId="0" applyNumberFormat="1" applyFont="1" applyFill="1" applyBorder="1" applyAlignment="1">
      <alignment horizontal="center"/>
    </xf>
    <xf numFmtId="168" fontId="9" fillId="5" borderId="4" xfId="0" applyNumberFormat="1" applyFont="1" applyFill="1" applyBorder="1" applyAlignment="1">
      <alignment horizontal="center"/>
    </xf>
    <xf numFmtId="168" fontId="9" fillId="0" borderId="2" xfId="0" applyNumberFormat="1" applyFont="1" applyFill="1" applyBorder="1" applyAlignment="1">
      <alignment horizontal="center"/>
    </xf>
    <xf numFmtId="168" fontId="9" fillId="5" borderId="2" xfId="0" applyNumberFormat="1" applyFont="1" applyFill="1" applyBorder="1" applyAlignment="1">
      <alignment horizontal="center"/>
    </xf>
    <xf numFmtId="167" fontId="9" fillId="0" borderId="1" xfId="0" applyNumberFormat="1" applyFont="1" applyFill="1" applyBorder="1" applyAlignment="1">
      <alignment horizontal="center"/>
    </xf>
    <xf numFmtId="168" fontId="9" fillId="5" borderId="1" xfId="0" applyNumberFormat="1" applyFont="1" applyFill="1" applyBorder="1" applyAlignment="1">
      <alignment horizontal="center"/>
    </xf>
    <xf numFmtId="168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/>
    </xf>
    <xf numFmtId="2" fontId="9" fillId="5" borderId="9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168" fontId="9" fillId="7" borderId="9" xfId="0" applyNumberFormat="1" applyFont="1" applyFill="1" applyBorder="1" applyAlignment="1">
      <alignment horizontal="center"/>
    </xf>
    <xf numFmtId="168" fontId="9" fillId="7" borderId="4" xfId="0" applyNumberFormat="1" applyFont="1" applyFill="1" applyBorder="1" applyAlignment="1">
      <alignment horizontal="center"/>
    </xf>
    <xf numFmtId="168" fontId="9" fillId="7" borderId="2" xfId="0" applyNumberFormat="1" applyFont="1" applyFill="1" applyBorder="1" applyAlignment="1">
      <alignment horizontal="center"/>
    </xf>
    <xf numFmtId="168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168" fontId="9" fillId="5" borderId="20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 vertical="center"/>
    </xf>
    <xf numFmtId="168" fontId="9" fillId="5" borderId="21" xfId="0" applyNumberFormat="1" applyFont="1" applyFill="1" applyBorder="1" applyAlignment="1">
      <alignment horizontal="center"/>
    </xf>
    <xf numFmtId="168" fontId="9" fillId="5" borderId="22" xfId="0" applyNumberFormat="1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vertic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1" fontId="9" fillId="5" borderId="22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1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2" fontId="9" fillId="5" borderId="4" xfId="0" applyNumberFormat="1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2" fontId="9" fillId="5" borderId="21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" fontId="9" fillId="5" borderId="2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1" fontId="9" fillId="5" borderId="21" xfId="0" applyNumberFormat="1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1" fontId="9" fillId="5" borderId="19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9" fillId="7" borderId="0" xfId="0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  <xf numFmtId="3" fontId="2" fillId="5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6" borderId="13" xfId="0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8" fontId="9" fillId="8" borderId="9" xfId="0" applyNumberFormat="1" applyFont="1" applyFill="1" applyBorder="1" applyAlignment="1">
      <alignment horizontal="center" vertical="center"/>
    </xf>
    <xf numFmtId="168" fontId="9" fillId="9" borderId="9" xfId="0" applyNumberFormat="1" applyFont="1" applyFill="1" applyBorder="1" applyAlignment="1">
      <alignment horizontal="center" vertical="center"/>
    </xf>
    <xf numFmtId="168" fontId="9" fillId="5" borderId="9" xfId="0" applyNumberFormat="1" applyFont="1" applyFill="1" applyBorder="1" applyAlignment="1">
      <alignment horizontal="center" vertical="center"/>
    </xf>
    <xf numFmtId="168" fontId="9" fillId="8" borderId="4" xfId="0" applyNumberFormat="1" applyFont="1" applyFill="1" applyBorder="1" applyAlignment="1">
      <alignment horizontal="center" vertical="center"/>
    </xf>
    <xf numFmtId="168" fontId="9" fillId="9" borderId="4" xfId="0" applyNumberFormat="1" applyFont="1" applyFill="1" applyBorder="1" applyAlignment="1">
      <alignment horizontal="center" vertical="center"/>
    </xf>
    <xf numFmtId="168" fontId="9" fillId="5" borderId="4" xfId="0" applyNumberFormat="1" applyFont="1" applyFill="1" applyBorder="1" applyAlignment="1">
      <alignment horizontal="center" vertical="center"/>
    </xf>
    <xf numFmtId="168" fontId="9" fillId="9" borderId="1" xfId="0" applyNumberFormat="1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168" fontId="9" fillId="8" borderId="1" xfId="0" applyNumberFormat="1" applyFont="1" applyFill="1" applyBorder="1" applyAlignment="1">
      <alignment horizontal="center" vertical="center"/>
    </xf>
    <xf numFmtId="168" fontId="9" fillId="0" borderId="2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2" fontId="9" fillId="8" borderId="9" xfId="0" applyNumberFormat="1" applyFont="1" applyFill="1" applyBorder="1" applyAlignment="1">
      <alignment horizontal="center" vertical="center"/>
    </xf>
    <xf numFmtId="2" fontId="9" fillId="9" borderId="9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2" fontId="9" fillId="9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" fontId="9" fillId="8" borderId="1" xfId="0" applyNumberFormat="1" applyFon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68" fontId="9" fillId="10" borderId="9" xfId="0" applyNumberFormat="1" applyFont="1" applyFill="1" applyBorder="1" applyAlignment="1">
      <alignment horizontal="center" vertical="center"/>
    </xf>
    <xf numFmtId="168" fontId="9" fillId="10" borderId="4" xfId="0" applyNumberFormat="1" applyFont="1" applyFill="1" applyBorder="1" applyAlignment="1">
      <alignment horizontal="center" vertical="center"/>
    </xf>
    <xf numFmtId="168" fontId="9" fillId="10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2" fontId="9" fillId="10" borderId="9" xfId="0" applyNumberFormat="1" applyFont="1" applyFill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168" fontId="9" fillId="10" borderId="20" xfId="0" applyNumberFormat="1" applyFont="1" applyFill="1" applyBorder="1" applyAlignment="1">
      <alignment horizontal="center" vertical="center"/>
    </xf>
    <xf numFmtId="3" fontId="2" fillId="0" borderId="29" xfId="0" applyNumberFormat="1" applyFont="1" applyFill="1" applyBorder="1" applyAlignment="1">
      <alignment horizontal="center" vertical="center"/>
    </xf>
    <xf numFmtId="168" fontId="9" fillId="10" borderId="21" xfId="0" applyNumberFormat="1" applyFont="1" applyFill="1" applyBorder="1" applyAlignment="1">
      <alignment horizontal="center" vertical="center"/>
    </xf>
    <xf numFmtId="3" fontId="2" fillId="0" borderId="30" xfId="0" applyNumberFormat="1" applyFont="1" applyFill="1" applyBorder="1" applyAlignment="1">
      <alignment horizontal="center" vertical="center"/>
    </xf>
    <xf numFmtId="168" fontId="9" fillId="10" borderId="22" xfId="0" applyNumberFormat="1" applyFont="1" applyFill="1" applyBorder="1" applyAlignment="1">
      <alignment horizontal="center" vertical="center"/>
    </xf>
    <xf numFmtId="0" fontId="9" fillId="10" borderId="22" xfId="0" applyFont="1" applyFill="1" applyBorder="1" applyAlignment="1">
      <alignment horizontal="center" vertical="center"/>
    </xf>
    <xf numFmtId="3" fontId="2" fillId="8" borderId="30" xfId="0" applyNumberFormat="1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2" fontId="9" fillId="10" borderId="20" xfId="0" applyNumberFormat="1" applyFont="1" applyFill="1" applyBorder="1" applyAlignment="1">
      <alignment horizontal="center" vertical="center"/>
    </xf>
    <xf numFmtId="2" fontId="9" fillId="10" borderId="22" xfId="0" applyNumberFormat="1" applyFont="1" applyFill="1" applyBorder="1" applyAlignment="1">
      <alignment horizontal="center" vertical="center"/>
    </xf>
    <xf numFmtId="0" fontId="9" fillId="10" borderId="21" xfId="0" applyFont="1" applyFill="1" applyBorder="1" applyAlignment="1">
      <alignment horizontal="center" vertical="center"/>
    </xf>
    <xf numFmtId="0" fontId="9" fillId="10" borderId="19" xfId="0" applyFont="1" applyFill="1" applyBorder="1" applyAlignment="1">
      <alignment horizontal="center" vertical="center"/>
    </xf>
    <xf numFmtId="3" fontId="2" fillId="0" borderId="3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2" fontId="9" fillId="8" borderId="4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3" fontId="2" fillId="0" borderId="27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4" fontId="6" fillId="6" borderId="2" xfId="0" applyNumberFormat="1" applyFont="1" applyFill="1" applyBorder="1" applyAlignment="1">
      <alignment horizontal="center" vertical="center"/>
    </xf>
    <xf numFmtId="1" fontId="9" fillId="8" borderId="4" xfId="0" applyNumberFormat="1" applyFont="1" applyFill="1" applyBorder="1" applyAlignment="1">
      <alignment horizontal="center" vertical="center"/>
    </xf>
    <xf numFmtId="1" fontId="9" fillId="9" borderId="4" xfId="0" applyNumberFormat="1" applyFont="1" applyFill="1" applyBorder="1" applyAlignment="1">
      <alignment horizontal="center" vertical="center"/>
    </xf>
    <xf numFmtId="1" fontId="9" fillId="5" borderId="4" xfId="0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9" fillId="8" borderId="2" xfId="0" applyNumberFormat="1" applyFont="1" applyFill="1" applyBorder="1" applyAlignment="1">
      <alignment horizontal="center" vertical="center"/>
    </xf>
    <xf numFmtId="1" fontId="9" fillId="9" borderId="2" xfId="0" applyNumberFormat="1" applyFont="1" applyFill="1" applyBorder="1" applyAlignment="1">
      <alignment horizontal="center" vertical="center"/>
    </xf>
    <xf numFmtId="1" fontId="9" fillId="5" borderId="2" xfId="0" applyNumberFormat="1" applyFont="1" applyFill="1" applyBorder="1" applyAlignment="1">
      <alignment horizontal="center" vertical="center"/>
    </xf>
    <xf numFmtId="1" fontId="9" fillId="10" borderId="4" xfId="0" applyNumberFormat="1" applyFont="1" applyFill="1" applyBorder="1" applyAlignment="1">
      <alignment horizontal="center" vertical="center"/>
    </xf>
    <xf numFmtId="1" fontId="9" fillId="10" borderId="2" xfId="0" applyNumberFormat="1" applyFont="1" applyFill="1" applyBorder="1" applyAlignment="1">
      <alignment horizontal="center" vertical="center"/>
    </xf>
    <xf numFmtId="1" fontId="9" fillId="10" borderId="21" xfId="0" applyNumberFormat="1" applyFont="1" applyFill="1" applyBorder="1" applyAlignment="1">
      <alignment horizontal="center" vertical="center"/>
    </xf>
    <xf numFmtId="1" fontId="9" fillId="10" borderId="22" xfId="0" applyNumberFormat="1" applyFont="1" applyFill="1" applyBorder="1" applyAlignment="1">
      <alignment horizontal="center" vertical="center"/>
    </xf>
    <xf numFmtId="1" fontId="9" fillId="10" borderId="19" xfId="0" applyNumberFormat="1" applyFont="1" applyFill="1" applyBorder="1" applyAlignment="1">
      <alignment horizontal="center" vertical="center"/>
    </xf>
    <xf numFmtId="3" fontId="2" fillId="0" borderId="32" xfId="0" applyNumberFormat="1" applyFont="1" applyFill="1" applyBorder="1" applyAlignment="1">
      <alignment horizontal="center" vertical="center"/>
    </xf>
    <xf numFmtId="4" fontId="3" fillId="8" borderId="29" xfId="0" applyNumberFormat="1" applyFont="1" applyFill="1" applyBorder="1" applyAlignment="1">
      <alignment horizontal="center" vertical="center"/>
    </xf>
    <xf numFmtId="4" fontId="3" fillId="0" borderId="30" xfId="0" applyNumberFormat="1" applyFont="1" applyFill="1" applyBorder="1" applyAlignment="1">
      <alignment horizontal="center" vertical="center"/>
    </xf>
    <xf numFmtId="4" fontId="3" fillId="8" borderId="30" xfId="0" applyNumberFormat="1" applyFont="1" applyFill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3" fontId="6" fillId="0" borderId="0" xfId="0" applyNumberFormat="1" applyFont="1" applyFill="1" applyBorder="1" applyAlignment="1">
      <alignment vertical="center"/>
    </xf>
    <xf numFmtId="3" fontId="7" fillId="8" borderId="33" xfId="0" applyNumberFormat="1" applyFont="1" applyFill="1" applyBorder="1" applyAlignment="1">
      <alignment horizontal="center" vertical="center"/>
    </xf>
    <xf numFmtId="3" fontId="7" fillId="8" borderId="34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4" fontId="6" fillId="4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8" fontId="9" fillId="9" borderId="2" xfId="0" applyNumberFormat="1" applyFont="1" applyFill="1" applyBorder="1" applyAlignment="1">
      <alignment horizontal="center" vertical="center"/>
    </xf>
    <xf numFmtId="168" fontId="9" fillId="5" borderId="2" xfId="0" applyNumberFormat="1" applyFont="1" applyFill="1" applyBorder="1" applyAlignment="1">
      <alignment horizontal="center" vertical="center"/>
    </xf>
    <xf numFmtId="2" fontId="13" fillId="8" borderId="14" xfId="0" applyNumberFormat="1" applyFont="1" applyFill="1" applyBorder="1" applyAlignment="1">
      <alignment horizontal="center" vertical="center"/>
    </xf>
    <xf numFmtId="2" fontId="13" fillId="9" borderId="36" xfId="0" applyNumberFormat="1" applyFont="1" applyFill="1" applyBorder="1" applyAlignment="1">
      <alignment horizontal="center" vertical="center"/>
    </xf>
    <xf numFmtId="2" fontId="13" fillId="5" borderId="36" xfId="0" applyNumberFormat="1" applyFont="1" applyFill="1" applyBorder="1" applyAlignment="1">
      <alignment horizontal="center" vertical="center"/>
    </xf>
    <xf numFmtId="2" fontId="13" fillId="8" borderId="36" xfId="0" applyNumberFormat="1" applyFont="1" applyFill="1" applyBorder="1" applyAlignment="1">
      <alignment horizontal="center" vertical="center"/>
    </xf>
    <xf numFmtId="168" fontId="13" fillId="0" borderId="17" xfId="0" applyNumberFormat="1" applyFont="1" applyFill="1" applyBorder="1" applyAlignment="1">
      <alignment horizontal="center" vertical="center"/>
    </xf>
    <xf numFmtId="168" fontId="13" fillId="9" borderId="37" xfId="0" applyNumberFormat="1" applyFont="1" applyFill="1" applyBorder="1" applyAlignment="1">
      <alignment horizontal="center" vertical="center"/>
    </xf>
    <xf numFmtId="168" fontId="13" fillId="5" borderId="37" xfId="0" applyNumberFormat="1" applyFont="1" applyFill="1" applyBorder="1" applyAlignment="1">
      <alignment horizontal="center" vertical="center"/>
    </xf>
    <xf numFmtId="168" fontId="13" fillId="0" borderId="37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168" fontId="13" fillId="8" borderId="14" xfId="0" applyNumberFormat="1" applyFont="1" applyFill="1" applyBorder="1" applyAlignment="1">
      <alignment horizontal="center" vertical="center"/>
    </xf>
    <xf numFmtId="168" fontId="13" fillId="9" borderId="36" xfId="0" applyNumberFormat="1" applyFont="1" applyFill="1" applyBorder="1" applyAlignment="1">
      <alignment horizontal="center" vertical="center"/>
    </xf>
    <xf numFmtId="168" fontId="13" fillId="5" borderId="36" xfId="0" applyNumberFormat="1" applyFont="1" applyFill="1" applyBorder="1" applyAlignment="1">
      <alignment horizontal="center" vertical="center"/>
    </xf>
    <xf numFmtId="168" fontId="13" fillId="8" borderId="36" xfId="0" applyNumberFormat="1" applyFont="1" applyFill="1" applyBorder="1" applyAlignment="1">
      <alignment horizontal="center" vertical="center"/>
    </xf>
    <xf numFmtId="4" fontId="13" fillId="0" borderId="17" xfId="0" applyNumberFormat="1" applyFont="1" applyFill="1" applyBorder="1" applyAlignment="1">
      <alignment horizontal="center" vertical="center"/>
    </xf>
    <xf numFmtId="4" fontId="13" fillId="9" borderId="37" xfId="0" applyNumberFormat="1" applyFont="1" applyFill="1" applyBorder="1" applyAlignment="1">
      <alignment horizontal="center" vertical="center"/>
    </xf>
    <xf numFmtId="4" fontId="13" fillId="5" borderId="37" xfId="0" applyNumberFormat="1" applyFont="1" applyFill="1" applyBorder="1" applyAlignment="1">
      <alignment horizontal="center" vertical="center"/>
    </xf>
    <xf numFmtId="4" fontId="13" fillId="0" borderId="3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5" borderId="0" xfId="0" applyNumberFormat="1" applyFont="1" applyFill="1" applyAlignment="1">
      <alignment horizontal="center" vertical="center"/>
    </xf>
    <xf numFmtId="1" fontId="6" fillId="9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8" fontId="9" fillId="10" borderId="2" xfId="0" applyNumberFormat="1" applyFont="1" applyFill="1" applyBorder="1" applyAlignment="1">
      <alignment horizontal="center" vertical="center"/>
    </xf>
    <xf numFmtId="2" fontId="13" fillId="10" borderId="36" xfId="0" applyNumberFormat="1" applyFont="1" applyFill="1" applyBorder="1" applyAlignment="1">
      <alignment horizontal="center" vertical="center"/>
    </xf>
    <xf numFmtId="168" fontId="13" fillId="10" borderId="37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168" fontId="13" fillId="10" borderId="36" xfId="0" applyNumberFormat="1" applyFont="1" applyFill="1" applyBorder="1" applyAlignment="1">
      <alignment horizontal="center" vertical="center"/>
    </xf>
    <xf numFmtId="4" fontId="13" fillId="10" borderId="37" xfId="0" applyNumberFormat="1" applyFont="1" applyFill="1" applyBorder="1" applyAlignment="1">
      <alignment horizontal="center" vertical="center"/>
    </xf>
    <xf numFmtId="4" fontId="6" fillId="10" borderId="0" xfId="0" applyNumberFormat="1" applyFont="1" applyFill="1" applyAlignment="1">
      <alignment horizontal="center" vertical="center"/>
    </xf>
    <xf numFmtId="1" fontId="6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68" fontId="9" fillId="0" borderId="3" xfId="0" applyNumberFormat="1" applyFont="1" applyFill="1" applyBorder="1" applyAlignment="1">
      <alignment horizontal="center" vertical="center"/>
    </xf>
    <xf numFmtId="168" fontId="9" fillId="10" borderId="26" xfId="0" applyNumberFormat="1" applyFont="1" applyFill="1" applyBorder="1" applyAlignment="1">
      <alignment horizontal="center" vertical="center"/>
    </xf>
    <xf numFmtId="4" fontId="3" fillId="0" borderId="38" xfId="0" applyNumberFormat="1" applyFont="1" applyFill="1" applyBorder="1" applyAlignment="1">
      <alignment horizontal="center" vertical="center"/>
    </xf>
    <xf numFmtId="2" fontId="13" fillId="10" borderId="39" xfId="0" applyNumberFormat="1" applyFont="1" applyFill="1" applyBorder="1" applyAlignment="1">
      <alignment horizontal="center" vertical="center"/>
    </xf>
    <xf numFmtId="168" fontId="13" fillId="10" borderId="40" xfId="0" applyNumberFormat="1" applyFont="1" applyFill="1" applyBorder="1" applyAlignment="1">
      <alignment horizontal="center" vertical="center"/>
    </xf>
    <xf numFmtId="4" fontId="3" fillId="0" borderId="32" xfId="0" applyNumberFormat="1" applyFont="1" applyFill="1" applyBorder="1" applyAlignment="1">
      <alignment horizontal="center" vertical="center"/>
    </xf>
    <xf numFmtId="3" fontId="3" fillId="8" borderId="30" xfId="0" applyNumberFormat="1" applyFont="1" applyFill="1" applyBorder="1" applyAlignment="1">
      <alignment horizontal="center" vertical="center"/>
    </xf>
    <xf numFmtId="168" fontId="9" fillId="10" borderId="19" xfId="0" applyNumberFormat="1" applyFont="1" applyFill="1" applyBorder="1" applyAlignment="1">
      <alignment horizontal="center" vertical="center"/>
    </xf>
    <xf numFmtId="4" fontId="3" fillId="0" borderId="31" xfId="0" applyNumberFormat="1" applyFont="1" applyFill="1" applyBorder="1" applyAlignment="1">
      <alignment horizontal="center" vertical="center"/>
    </xf>
    <xf numFmtId="168" fontId="13" fillId="10" borderId="39" xfId="0" applyNumberFormat="1" applyFont="1" applyFill="1" applyBorder="1" applyAlignment="1">
      <alignment horizontal="center" vertical="center"/>
    </xf>
    <xf numFmtId="168" fontId="3" fillId="8" borderId="29" xfId="0" applyNumberFormat="1" applyFont="1" applyFill="1" applyBorder="1" applyAlignment="1">
      <alignment horizontal="center" vertical="center"/>
    </xf>
    <xf numFmtId="4" fontId="13" fillId="10" borderId="40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168" fontId="9" fillId="7" borderId="9" xfId="0" applyNumberFormat="1" applyFont="1" applyFill="1" applyBorder="1" applyAlignment="1">
      <alignment horizontal="center" vertical="center"/>
    </xf>
    <xf numFmtId="168" fontId="9" fillId="7" borderId="4" xfId="0" applyNumberFormat="1" applyFont="1" applyFill="1" applyBorder="1" applyAlignment="1">
      <alignment horizontal="center" vertical="center"/>
    </xf>
    <xf numFmtId="168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168" fontId="9" fillId="8" borderId="20" xfId="0" applyNumberFormat="1" applyFont="1" applyFill="1" applyBorder="1" applyAlignment="1">
      <alignment horizontal="center" vertical="center"/>
    </xf>
    <xf numFmtId="168" fontId="9" fillId="8" borderId="21" xfId="0" applyNumberFormat="1" applyFont="1" applyFill="1" applyBorder="1" applyAlignment="1">
      <alignment horizontal="center" vertical="center"/>
    </xf>
    <xf numFmtId="168" fontId="9" fillId="0" borderId="22" xfId="0" applyNumberFormat="1" applyFont="1" applyFill="1" applyBorder="1" applyAlignment="1">
      <alignment horizontal="center" vertical="center"/>
    </xf>
    <xf numFmtId="168" fontId="9" fillId="8" borderId="22" xfId="0" applyNumberFormat="1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2" fontId="9" fillId="8" borderId="20" xfId="0" applyNumberFormat="1" applyFont="1" applyFill="1" applyBorder="1" applyAlignment="1">
      <alignment horizontal="center" vertical="center"/>
    </xf>
    <xf numFmtId="2" fontId="9" fillId="8" borderId="22" xfId="0" applyNumberFormat="1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1" fontId="9" fillId="8" borderId="21" xfId="0" applyNumberFormat="1" applyFont="1" applyFill="1" applyBorder="1" applyAlignment="1">
      <alignment horizontal="center" vertical="center"/>
    </xf>
    <xf numFmtId="1" fontId="9" fillId="8" borderId="22" xfId="0" applyNumberFormat="1" applyFont="1" applyFill="1" applyBorder="1" applyAlignment="1">
      <alignment horizontal="center" vertical="center"/>
    </xf>
    <xf numFmtId="1" fontId="9" fillId="0" borderId="22" xfId="0" applyNumberFormat="1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1" fontId="9" fillId="8" borderId="19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4" fontId="6" fillId="7" borderId="0" xfId="0" applyNumberFormat="1" applyFont="1" applyFill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68" fontId="9" fillId="0" borderId="26" xfId="0" applyNumberFormat="1" applyFont="1" applyFill="1" applyBorder="1" applyAlignment="1">
      <alignment horizontal="center" vertical="center"/>
    </xf>
    <xf numFmtId="2" fontId="13" fillId="8" borderId="41" xfId="0" applyNumberFormat="1" applyFont="1" applyFill="1" applyBorder="1" applyAlignment="1">
      <alignment horizontal="center" vertical="center"/>
    </xf>
    <xf numFmtId="168" fontId="13" fillId="0" borderId="42" xfId="0" applyNumberFormat="1" applyFont="1" applyFill="1" applyBorder="1" applyAlignment="1">
      <alignment horizontal="center" vertical="center"/>
    </xf>
    <xf numFmtId="168" fontId="9" fillId="0" borderId="19" xfId="0" applyNumberFormat="1" applyFont="1" applyFill="1" applyBorder="1" applyAlignment="1">
      <alignment horizontal="center" vertical="center"/>
    </xf>
    <xf numFmtId="168" fontId="13" fillId="8" borderId="41" xfId="0" applyNumberFormat="1" applyFont="1" applyFill="1" applyBorder="1" applyAlignment="1">
      <alignment horizontal="center" vertical="center"/>
    </xf>
    <xf numFmtId="4" fontId="13" fillId="0" borderId="42" xfId="0" applyNumberFormat="1" applyFont="1" applyFill="1" applyBorder="1" applyAlignment="1">
      <alignment horizontal="center" vertical="center"/>
    </xf>
    <xf numFmtId="4" fontId="2" fillId="7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168" fontId="9" fillId="12" borderId="1" xfId="0" applyNumberFormat="1" applyFont="1" applyFill="1" applyBorder="1" applyAlignment="1">
      <alignment horizontal="center" vertical="center"/>
    </xf>
    <xf numFmtId="168" fontId="9" fillId="12" borderId="2" xfId="0" applyNumberFormat="1" applyFont="1" applyFill="1" applyBorder="1" applyAlignment="1">
      <alignment horizontal="center" vertical="center"/>
    </xf>
    <xf numFmtId="168" fontId="13" fillId="12" borderId="36" xfId="0" applyNumberFormat="1" applyFont="1" applyFill="1" applyBorder="1" applyAlignment="1">
      <alignment horizontal="center" vertical="center"/>
    </xf>
    <xf numFmtId="4" fontId="13" fillId="12" borderId="37" xfId="0" applyNumberFormat="1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0" fontId="2" fillId="8" borderId="7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2" fillId="8" borderId="25" xfId="0" applyNumberFormat="1" applyFont="1" applyFill="1" applyBorder="1" applyAlignment="1">
      <alignment horizontal="center" vertical="center"/>
    </xf>
    <xf numFmtId="0" fontId="2" fillId="8" borderId="28" xfId="0" applyNumberFormat="1" applyFont="1" applyFill="1" applyBorder="1" applyAlignment="1">
      <alignment horizontal="center" vertical="center"/>
    </xf>
    <xf numFmtId="0" fontId="2" fillId="8" borderId="11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3" xfId="0" applyNumberFormat="1" applyFont="1" applyFill="1" applyBorder="1" applyAlignment="1">
      <alignment horizontal="center" vertical="center"/>
    </xf>
    <xf numFmtId="164" fontId="2" fillId="8" borderId="12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64" fontId="5" fillId="8" borderId="8" xfId="0" applyNumberFormat="1" applyFont="1" applyFill="1" applyBorder="1" applyAlignment="1">
      <alignment horizontal="center" vertical="center" wrapText="1"/>
    </xf>
    <xf numFmtId="164" fontId="5" fillId="8" borderId="3" xfId="0" applyNumberFormat="1" applyFont="1" applyFill="1" applyBorder="1" applyAlignment="1">
      <alignment horizontal="center" vertical="center" wrapText="1"/>
    </xf>
    <xf numFmtId="164" fontId="2" fillId="8" borderId="3" xfId="0" applyNumberFormat="1" applyFont="1" applyFill="1" applyBorder="1" applyAlignment="1">
      <alignment horizontal="center" vertical="center" wrapText="1"/>
    </xf>
    <xf numFmtId="164" fontId="2" fillId="8" borderId="12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12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>
      <alignment horizontal="center" vertical="center"/>
    </xf>
    <xf numFmtId="166" fontId="2" fillId="8" borderId="24" xfId="0" applyNumberFormat="1" applyFont="1" applyFill="1" applyBorder="1" applyAlignment="1">
      <alignment horizontal="center" vertical="center" wrapText="1"/>
    </xf>
    <xf numFmtId="166" fontId="2" fillId="8" borderId="6" xfId="0" applyNumberFormat="1" applyFont="1" applyFill="1" applyBorder="1" applyAlignment="1">
      <alignment horizontal="center" vertical="center" wrapText="1"/>
    </xf>
    <xf numFmtId="166" fontId="2" fillId="8" borderId="27" xfId="0" applyNumberFormat="1" applyFont="1" applyFill="1" applyBorder="1" applyAlignment="1">
      <alignment horizontal="center" vertical="center" wrapText="1"/>
    </xf>
    <xf numFmtId="166" fontId="2" fillId="0" borderId="24" xfId="0" applyNumberFormat="1" applyFont="1" applyFill="1" applyBorder="1" applyAlignment="1">
      <alignment horizontal="center" vertical="center"/>
    </xf>
    <xf numFmtId="166" fontId="2" fillId="0" borderId="6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 wrapText="1"/>
    </xf>
    <xf numFmtId="166" fontId="2" fillId="0" borderId="13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 wrapText="1"/>
    </xf>
    <xf numFmtId="165" fontId="2" fillId="0" borderId="24" xfId="0" applyNumberFormat="1" applyFont="1" applyFill="1" applyBorder="1" applyAlignment="1">
      <alignment horizontal="center" vertical="center" wrapText="1"/>
    </xf>
    <xf numFmtId="165" fontId="2" fillId="0" borderId="6" xfId="0" applyNumberFormat="1" applyFont="1" applyFill="1" applyBorder="1" applyAlignment="1">
      <alignment horizontal="center" vertical="center" wrapText="1"/>
    </xf>
    <xf numFmtId="165" fontId="2" fillId="0" borderId="27" xfId="0" applyNumberFormat="1" applyFont="1" applyFill="1" applyBorder="1" applyAlignment="1">
      <alignment horizontal="center" vertical="center" wrapText="1"/>
    </xf>
    <xf numFmtId="166" fontId="2" fillId="0" borderId="24" xfId="0" applyNumberFormat="1" applyFont="1" applyFill="1" applyBorder="1" applyAlignment="1">
      <alignment horizontal="center" vertical="center" wrapText="1"/>
    </xf>
    <xf numFmtId="166" fontId="2" fillId="0" borderId="6" xfId="0" applyNumberFormat="1" applyFont="1" applyFill="1" applyBorder="1" applyAlignment="1">
      <alignment horizontal="center" vertical="center" wrapText="1"/>
    </xf>
    <xf numFmtId="166" fontId="2" fillId="0" borderId="27" xfId="0" applyNumberFormat="1" applyFont="1" applyFill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164" fontId="2" fillId="8" borderId="13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165" fontId="2" fillId="8" borderId="8" xfId="0" applyNumberFormat="1" applyFont="1" applyFill="1" applyBorder="1" applyAlignment="1">
      <alignment horizontal="center" vertical="center" wrapText="1"/>
    </xf>
    <xf numFmtId="165" fontId="2" fillId="8" borderId="3" xfId="0" applyNumberFormat="1" applyFont="1" applyFill="1" applyBorder="1" applyAlignment="1">
      <alignment horizontal="center" vertical="center" wrapText="1"/>
    </xf>
    <xf numFmtId="165" fontId="2" fillId="8" borderId="12" xfId="0" applyNumberFormat="1" applyFont="1" applyFill="1" applyBorder="1" applyAlignment="1">
      <alignment horizontal="center" vertical="center" wrapText="1"/>
    </xf>
    <xf numFmtId="166" fontId="2" fillId="0" borderId="8" xfId="0" applyNumberFormat="1" applyFont="1" applyFill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12" xfId="0" applyNumberFormat="1" applyFont="1" applyFill="1" applyBorder="1" applyAlignment="1">
      <alignment horizontal="center" vertical="center"/>
    </xf>
    <xf numFmtId="166" fontId="2" fillId="0" borderId="8" xfId="0" applyNumberFormat="1" applyFont="1" applyFill="1" applyBorder="1" applyAlignment="1">
      <alignment horizontal="center" vertical="center" wrapText="1"/>
    </xf>
    <xf numFmtId="166" fontId="2" fillId="0" borderId="3" xfId="0" applyNumberFormat="1" applyFont="1" applyFill="1" applyBorder="1" applyAlignment="1">
      <alignment horizontal="center" vertical="center" wrapText="1"/>
    </xf>
    <xf numFmtId="166" fontId="2" fillId="0" borderId="12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center" vertical="center" wrapText="1"/>
    </xf>
    <xf numFmtId="165" fontId="2" fillId="0" borderId="12" xfId="0" applyNumberFormat="1" applyFont="1" applyFill="1" applyBorder="1" applyAlignment="1">
      <alignment horizontal="center" vertical="center" wrapText="1"/>
    </xf>
    <xf numFmtId="164" fontId="2" fillId="8" borderId="8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4" fontId="6" fillId="0" borderId="2" xfId="0" applyNumberFormat="1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4"/>
  <sheetViews>
    <sheetView showGridLines="0" topLeftCell="G1" workbookViewId="0">
      <pane xSplit="1" ySplit="237" topLeftCell="W238" activePane="bottomRight" state="frozen"/>
      <selection pane="topRight"/>
      <selection pane="bottomLeft"/>
      <selection pane="bottomRight" activeCell="AK271" sqref="AK271"/>
    </sheetView>
  </sheetViews>
  <sheetFormatPr defaultColWidth="9.140625" defaultRowHeight="15"/>
  <cols>
    <col min="1" max="1" width="13.7109375" style="20" hidden="1" customWidth="1"/>
    <col min="2" max="2" width="18.140625" style="20" hidden="1" customWidth="1"/>
    <col min="3" max="5" width="12" style="178" hidden="1" customWidth="1"/>
    <col min="6" max="6" width="11.5703125" style="178" hidden="1" customWidth="1"/>
    <col min="7" max="7" width="19.28515625" style="20" customWidth="1"/>
    <col min="8" max="8" width="36.28515625" style="20" customWidth="1"/>
    <col min="9" max="11" width="7.7109375" style="20" customWidth="1"/>
    <col min="12" max="12" width="7.7109375" style="371" customWidth="1"/>
    <col min="13" max="15" width="7.7109375" style="20" customWidth="1"/>
    <col min="16" max="19" width="7.7109375" style="371" customWidth="1"/>
    <col min="20" max="21" width="7.7109375" style="20" customWidth="1"/>
    <col min="22" max="22" width="7.7109375" style="371" customWidth="1"/>
    <col min="23" max="25" width="7.7109375" style="20" customWidth="1"/>
    <col min="26" max="26" width="7.7109375" style="371" customWidth="1"/>
    <col min="27" max="32" width="7.7109375" style="20" customWidth="1"/>
    <col min="33" max="33" width="7.7109375" style="371" customWidth="1"/>
    <col min="34" max="37" width="7.7109375" style="20" customWidth="1"/>
    <col min="38" max="39" width="11.7109375" style="178" customWidth="1"/>
    <col min="40" max="40" width="13.42578125" style="178" customWidth="1"/>
    <col min="41" max="48" width="11.7109375" style="178" customWidth="1"/>
    <col min="49" max="16384" width="9.140625" style="20"/>
  </cols>
  <sheetData>
    <row r="1" spans="1:50" ht="41.45" customHeight="1">
      <c r="G1" s="372" t="s">
        <v>0</v>
      </c>
      <c r="J1" s="199"/>
      <c r="K1" s="199"/>
      <c r="L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</row>
    <row r="2" spans="1:50" s="177" customFormat="1" ht="41.45" hidden="1" customHeight="1">
      <c r="A2" s="38" t="s">
        <v>1</v>
      </c>
      <c r="B2" s="38" t="s">
        <v>2</v>
      </c>
      <c r="C2" s="182" t="s">
        <v>3</v>
      </c>
      <c r="D2" s="40" t="s">
        <v>4</v>
      </c>
      <c r="E2" s="41" t="s">
        <v>5</v>
      </c>
      <c r="F2" s="41" t="s">
        <v>6</v>
      </c>
      <c r="G2" s="38" t="s">
        <v>7</v>
      </c>
      <c r="H2" s="42" t="s">
        <v>8</v>
      </c>
      <c r="I2" s="38">
        <v>1</v>
      </c>
      <c r="J2" s="38">
        <v>2</v>
      </c>
      <c r="K2" s="38">
        <v>3</v>
      </c>
      <c r="L2" s="91">
        <v>4</v>
      </c>
      <c r="M2" s="38">
        <v>5</v>
      </c>
      <c r="N2" s="38">
        <v>6</v>
      </c>
      <c r="O2" s="38">
        <v>7</v>
      </c>
      <c r="P2" s="91">
        <v>8</v>
      </c>
      <c r="Q2" s="91">
        <v>9</v>
      </c>
      <c r="R2" s="91">
        <v>10</v>
      </c>
      <c r="S2" s="91">
        <v>11</v>
      </c>
      <c r="T2" s="38">
        <v>12</v>
      </c>
      <c r="U2" s="38">
        <v>13</v>
      </c>
      <c r="V2" s="91">
        <v>14</v>
      </c>
      <c r="W2" s="38">
        <v>15</v>
      </c>
      <c r="X2" s="38">
        <v>16</v>
      </c>
      <c r="Y2" s="38">
        <v>17</v>
      </c>
      <c r="Z2" s="91">
        <v>18</v>
      </c>
      <c r="AA2" s="38">
        <v>19</v>
      </c>
      <c r="AB2" s="38">
        <v>20</v>
      </c>
      <c r="AC2" s="38">
        <v>21</v>
      </c>
      <c r="AD2" s="38">
        <v>22</v>
      </c>
      <c r="AE2" s="38">
        <v>23</v>
      </c>
      <c r="AF2" s="38">
        <v>24</v>
      </c>
      <c r="AG2" s="383">
        <v>25</v>
      </c>
      <c r="AH2" s="38">
        <v>26</v>
      </c>
      <c r="AI2" s="38">
        <v>27</v>
      </c>
      <c r="AJ2" s="38">
        <v>28</v>
      </c>
      <c r="AK2" s="38">
        <v>29</v>
      </c>
      <c r="AL2" s="38" t="s">
        <v>9</v>
      </c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268"/>
      <c r="AX2" s="268"/>
    </row>
    <row r="3" spans="1:50" hidden="1">
      <c r="A3" s="183"/>
      <c r="B3" s="496" t="s">
        <v>10</v>
      </c>
      <c r="C3" s="508">
        <v>8000</v>
      </c>
      <c r="D3" s="464">
        <v>1.59</v>
      </c>
      <c r="E3" s="440"/>
      <c r="F3" s="450" t="s">
        <v>11</v>
      </c>
      <c r="G3" s="184">
        <v>0.08</v>
      </c>
      <c r="H3" s="185" t="s">
        <v>12</v>
      </c>
      <c r="I3" s="201">
        <v>101.64</v>
      </c>
      <c r="J3" s="201">
        <v>101.64</v>
      </c>
      <c r="K3" s="201">
        <v>101.64</v>
      </c>
      <c r="L3" s="373"/>
      <c r="M3" s="201">
        <v>101.64</v>
      </c>
      <c r="N3" s="201">
        <v>101.64</v>
      </c>
      <c r="O3" s="201">
        <v>101.64</v>
      </c>
      <c r="P3" s="373"/>
      <c r="Q3" s="373"/>
      <c r="R3" s="373"/>
      <c r="S3" s="373"/>
      <c r="T3" s="201">
        <v>101.64</v>
      </c>
      <c r="U3" s="201">
        <v>101.64</v>
      </c>
      <c r="V3" s="373"/>
      <c r="W3" s="201">
        <v>101.64</v>
      </c>
      <c r="X3" s="201">
        <v>101.64</v>
      </c>
      <c r="Y3" s="201">
        <v>101.64</v>
      </c>
      <c r="Z3" s="373"/>
      <c r="AA3" s="201">
        <v>101.64</v>
      </c>
      <c r="AB3" s="201">
        <v>101.64</v>
      </c>
      <c r="AC3" s="201">
        <v>101.64</v>
      </c>
      <c r="AD3" s="201">
        <v>101.64</v>
      </c>
      <c r="AE3" s="201">
        <v>101.64</v>
      </c>
      <c r="AF3" s="201">
        <v>101.64</v>
      </c>
      <c r="AG3" s="373"/>
      <c r="AH3" s="201">
        <v>101.64</v>
      </c>
      <c r="AI3" s="201">
        <v>101.64</v>
      </c>
      <c r="AJ3" s="201">
        <v>101.64</v>
      </c>
      <c r="AK3" s="384">
        <v>101.64</v>
      </c>
      <c r="AL3" s="251"/>
      <c r="AM3" s="428"/>
      <c r="AN3" s="428"/>
      <c r="AO3" s="108"/>
      <c r="AP3" s="108"/>
      <c r="AQ3" s="108"/>
      <c r="AR3" s="108"/>
      <c r="AS3" s="428"/>
      <c r="AT3" s="121"/>
      <c r="AU3" s="121"/>
      <c r="AV3" s="428"/>
    </row>
    <row r="4" spans="1:50" hidden="1">
      <c r="A4" s="482" t="s">
        <v>13</v>
      </c>
      <c r="B4" s="497"/>
      <c r="C4" s="509"/>
      <c r="D4" s="465"/>
      <c r="E4" s="441"/>
      <c r="F4" s="451"/>
      <c r="G4" s="186"/>
      <c r="H4" s="187" t="s">
        <v>14</v>
      </c>
      <c r="I4" s="204">
        <v>1.5</v>
      </c>
      <c r="J4" s="204">
        <v>1.5</v>
      </c>
      <c r="K4" s="204">
        <v>1.5</v>
      </c>
      <c r="L4" s="374"/>
      <c r="M4" s="204">
        <v>1.5</v>
      </c>
      <c r="N4" s="204">
        <v>1.5</v>
      </c>
      <c r="O4" s="204">
        <v>1.5</v>
      </c>
      <c r="P4" s="374"/>
      <c r="Q4" s="374"/>
      <c r="R4" s="374"/>
      <c r="S4" s="374"/>
      <c r="T4" s="204">
        <v>1.5</v>
      </c>
      <c r="U4" s="204">
        <v>1.5</v>
      </c>
      <c r="V4" s="374"/>
      <c r="W4" s="204">
        <v>1.5</v>
      </c>
      <c r="X4" s="204">
        <v>1.5</v>
      </c>
      <c r="Y4" s="204">
        <v>1.5</v>
      </c>
      <c r="Z4" s="374"/>
      <c r="AA4" s="204">
        <v>1.5</v>
      </c>
      <c r="AB4" s="204">
        <v>1.5</v>
      </c>
      <c r="AC4" s="204">
        <v>1.5</v>
      </c>
      <c r="AD4" s="204">
        <v>1.5</v>
      </c>
      <c r="AE4" s="204">
        <v>1.5</v>
      </c>
      <c r="AF4" s="204">
        <v>1.5</v>
      </c>
      <c r="AG4" s="374"/>
      <c r="AH4" s="204">
        <v>1.5</v>
      </c>
      <c r="AI4" s="204">
        <v>1.5</v>
      </c>
      <c r="AJ4" s="204">
        <v>1.5</v>
      </c>
      <c r="AK4" s="385">
        <v>1.5</v>
      </c>
      <c r="AL4" s="253"/>
      <c r="AM4" s="428"/>
      <c r="AN4" s="428"/>
      <c r="AO4" s="108"/>
      <c r="AP4" s="108"/>
      <c r="AQ4" s="108"/>
      <c r="AR4" s="108"/>
      <c r="AS4" s="428"/>
      <c r="AT4" s="121"/>
      <c r="AU4" s="121"/>
      <c r="AV4" s="428"/>
    </row>
    <row r="5" spans="1:50" hidden="1">
      <c r="A5" s="482"/>
      <c r="B5" s="497"/>
      <c r="C5" s="509"/>
      <c r="D5" s="465"/>
      <c r="E5" s="441"/>
      <c r="F5" s="451"/>
      <c r="G5" s="134"/>
      <c r="H5" s="188" t="s">
        <v>15</v>
      </c>
      <c r="I5" s="197"/>
      <c r="J5" s="209"/>
      <c r="K5" s="209"/>
      <c r="L5" s="375"/>
      <c r="M5" s="209"/>
      <c r="N5" s="209"/>
      <c r="O5" s="209"/>
      <c r="P5" s="375"/>
      <c r="Q5" s="375"/>
      <c r="R5" s="375"/>
      <c r="S5" s="375"/>
      <c r="T5" s="209"/>
      <c r="U5" s="209"/>
      <c r="V5" s="375"/>
      <c r="W5" s="209"/>
      <c r="X5" s="209"/>
      <c r="Y5" s="209"/>
      <c r="Z5" s="375"/>
      <c r="AA5" s="209"/>
      <c r="AB5" s="209"/>
      <c r="AC5" s="209"/>
      <c r="AD5" s="209"/>
      <c r="AE5" s="209"/>
      <c r="AF5" s="209"/>
      <c r="AG5" s="375"/>
      <c r="AH5" s="209"/>
      <c r="AI5" s="209"/>
      <c r="AJ5" s="209"/>
      <c r="AK5" s="386"/>
      <c r="AL5" s="253"/>
      <c r="AM5" s="428"/>
      <c r="AN5" s="428"/>
      <c r="AO5" s="108"/>
      <c r="AP5" s="108"/>
      <c r="AQ5" s="108"/>
      <c r="AR5" s="108"/>
      <c r="AS5" s="428"/>
      <c r="AT5" s="121"/>
      <c r="AU5" s="121"/>
      <c r="AV5" s="428"/>
    </row>
    <row r="6" spans="1:50" hidden="1">
      <c r="A6" s="482"/>
      <c r="B6" s="497"/>
      <c r="C6" s="509"/>
      <c r="D6" s="465"/>
      <c r="E6" s="441"/>
      <c r="F6" s="451"/>
      <c r="G6" s="186" t="s">
        <v>16</v>
      </c>
      <c r="H6" s="189" t="s">
        <v>17</v>
      </c>
      <c r="I6" s="210">
        <v>101.64</v>
      </c>
      <c r="J6" s="210">
        <v>101.64</v>
      </c>
      <c r="K6" s="210">
        <v>101.64</v>
      </c>
      <c r="L6" s="375"/>
      <c r="M6" s="210">
        <v>101.64</v>
      </c>
      <c r="N6" s="210">
        <v>101.64</v>
      </c>
      <c r="O6" s="210">
        <v>101.64</v>
      </c>
      <c r="P6" s="375"/>
      <c r="Q6" s="375"/>
      <c r="R6" s="375"/>
      <c r="S6" s="375"/>
      <c r="T6" s="210">
        <v>101.64</v>
      </c>
      <c r="U6" s="210">
        <v>101.64</v>
      </c>
      <c r="V6" s="375"/>
      <c r="W6" s="210">
        <v>101.64</v>
      </c>
      <c r="X6" s="210">
        <v>101.64</v>
      </c>
      <c r="Y6" s="210">
        <v>101.64</v>
      </c>
      <c r="Z6" s="375"/>
      <c r="AA6" s="210">
        <v>101.64</v>
      </c>
      <c r="AB6" s="210">
        <v>101.64</v>
      </c>
      <c r="AC6" s="210">
        <v>101.64</v>
      </c>
      <c r="AD6" s="210">
        <v>101.64</v>
      </c>
      <c r="AE6" s="210">
        <v>101.64</v>
      </c>
      <c r="AF6" s="210">
        <v>101.64</v>
      </c>
      <c r="AG6" s="375"/>
      <c r="AH6" s="210">
        <v>101.64</v>
      </c>
      <c r="AI6" s="210">
        <v>101.64</v>
      </c>
      <c r="AJ6" s="210">
        <v>101.64</v>
      </c>
      <c r="AK6" s="387">
        <v>101.64</v>
      </c>
      <c r="AL6" s="253"/>
      <c r="AM6" s="428"/>
      <c r="AN6" s="428"/>
      <c r="AO6" s="108"/>
      <c r="AP6" s="108"/>
      <c r="AQ6" s="108"/>
      <c r="AR6" s="108"/>
      <c r="AS6" s="428"/>
      <c r="AT6" s="121"/>
      <c r="AU6" s="121"/>
      <c r="AV6" s="428"/>
    </row>
    <row r="7" spans="1:50" hidden="1">
      <c r="A7" s="482"/>
      <c r="B7" s="497"/>
      <c r="C7" s="509"/>
      <c r="D7" s="465"/>
      <c r="E7" s="441"/>
      <c r="F7" s="451"/>
      <c r="G7" s="186"/>
      <c r="H7" s="187" t="s">
        <v>14</v>
      </c>
      <c r="I7" s="210">
        <v>0.5</v>
      </c>
      <c r="J7" s="210">
        <v>0.5</v>
      </c>
      <c r="K7" s="210">
        <v>0.5</v>
      </c>
      <c r="L7" s="375"/>
      <c r="M7" s="210">
        <v>0.5</v>
      </c>
      <c r="N7" s="210">
        <v>0.5</v>
      </c>
      <c r="O7" s="210">
        <v>0.5</v>
      </c>
      <c r="P7" s="375"/>
      <c r="Q7" s="375"/>
      <c r="R7" s="375"/>
      <c r="S7" s="375"/>
      <c r="T7" s="210">
        <v>0.5</v>
      </c>
      <c r="U7" s="210">
        <v>0.5</v>
      </c>
      <c r="V7" s="375"/>
      <c r="W7" s="210">
        <v>0.5</v>
      </c>
      <c r="X7" s="210">
        <v>0.5</v>
      </c>
      <c r="Y7" s="210">
        <v>0.5</v>
      </c>
      <c r="Z7" s="375"/>
      <c r="AA7" s="210">
        <v>0.5</v>
      </c>
      <c r="AB7" s="210">
        <v>0.5</v>
      </c>
      <c r="AC7" s="210">
        <v>0.5</v>
      </c>
      <c r="AD7" s="210">
        <v>0.5</v>
      </c>
      <c r="AE7" s="210">
        <v>0.5</v>
      </c>
      <c r="AF7" s="210">
        <v>0.5</v>
      </c>
      <c r="AG7" s="375"/>
      <c r="AH7" s="210">
        <v>0.5</v>
      </c>
      <c r="AI7" s="210">
        <v>0.5</v>
      </c>
      <c r="AJ7" s="210">
        <v>0.5</v>
      </c>
      <c r="AK7" s="387">
        <v>0.5</v>
      </c>
      <c r="AL7" s="253"/>
      <c r="AM7" s="428"/>
      <c r="AN7" s="428"/>
      <c r="AO7" s="108"/>
      <c r="AP7" s="108"/>
      <c r="AQ7" s="108"/>
      <c r="AR7" s="108"/>
      <c r="AS7" s="428"/>
      <c r="AT7" s="121"/>
      <c r="AU7" s="121"/>
      <c r="AV7" s="428"/>
    </row>
    <row r="8" spans="1:50" hidden="1">
      <c r="A8" s="482"/>
      <c r="B8" s="497"/>
      <c r="C8" s="509"/>
      <c r="D8" s="465"/>
      <c r="E8" s="441"/>
      <c r="F8" s="451"/>
      <c r="G8" s="133"/>
      <c r="H8" s="188" t="s">
        <v>15</v>
      </c>
      <c r="I8" s="211"/>
      <c r="J8" s="209"/>
      <c r="K8" s="209"/>
      <c r="L8" s="375"/>
      <c r="M8" s="209"/>
      <c r="N8" s="209"/>
      <c r="O8" s="209"/>
      <c r="P8" s="375"/>
      <c r="Q8" s="375"/>
      <c r="R8" s="375"/>
      <c r="S8" s="375"/>
      <c r="T8" s="209"/>
      <c r="U8" s="209"/>
      <c r="V8" s="375"/>
      <c r="W8" s="209"/>
      <c r="X8" s="209"/>
      <c r="Y8" s="209"/>
      <c r="Z8" s="375"/>
      <c r="AA8" s="209"/>
      <c r="AB8" s="209"/>
      <c r="AC8" s="209"/>
      <c r="AD8" s="209"/>
      <c r="AE8" s="209"/>
      <c r="AF8" s="209"/>
      <c r="AG8" s="375"/>
      <c r="AH8" s="209"/>
      <c r="AI8" s="209"/>
      <c r="AJ8" s="209"/>
      <c r="AK8" s="386"/>
      <c r="AL8" s="253"/>
      <c r="AM8" s="428"/>
      <c r="AN8" s="428"/>
      <c r="AO8" s="108"/>
      <c r="AP8" s="108"/>
      <c r="AQ8" s="108"/>
      <c r="AR8" s="108"/>
      <c r="AS8" s="428"/>
      <c r="AT8" s="121"/>
      <c r="AU8" s="121"/>
      <c r="AV8" s="428"/>
    </row>
    <row r="9" spans="1:50" hidden="1">
      <c r="A9" s="482"/>
      <c r="B9" s="497"/>
      <c r="C9" s="509"/>
      <c r="D9" s="465"/>
      <c r="E9" s="441"/>
      <c r="F9" s="452"/>
      <c r="G9" s="186" t="s">
        <v>18</v>
      </c>
      <c r="H9" s="187" t="s">
        <v>19</v>
      </c>
      <c r="I9" s="212">
        <f>($M$27*$D$3/3)*4</f>
        <v>50880</v>
      </c>
      <c r="J9" s="212">
        <f>(($M$27*$D$3/3)*4)-(I11)</f>
        <v>66445</v>
      </c>
      <c r="K9" s="212">
        <f>(($M$27*$D$3/3)*4)-(J11)</f>
        <v>82344</v>
      </c>
      <c r="L9" s="376"/>
      <c r="M9" s="212">
        <f>(($M$27*$D$3/3)*4)-(K11)</f>
        <v>106341</v>
      </c>
      <c r="N9" s="212">
        <f>(($M$27*$D$3/3)*4)-(M11)</f>
        <v>126014</v>
      </c>
      <c r="O9" s="212">
        <f>(($M$27*$D$3/3)*4)-(N11)</f>
        <v>137684</v>
      </c>
      <c r="P9" s="376"/>
      <c r="Q9" s="376"/>
      <c r="R9" s="376"/>
      <c r="S9" s="376"/>
      <c r="T9" s="212">
        <f>($M$27*$D$3/3)*4</f>
        <v>50880</v>
      </c>
      <c r="U9" s="212">
        <f>($M$27*$D$3/3)*4</f>
        <v>50880</v>
      </c>
      <c r="V9" s="376"/>
      <c r="W9" s="212">
        <f>($M$27*$D$3/3)*4</f>
        <v>50880</v>
      </c>
      <c r="X9" s="212">
        <f>($M$27*$D$3/3)*4</f>
        <v>50880</v>
      </c>
      <c r="Y9" s="212">
        <f>($M$27*$D$3/3)*4</f>
        <v>50880</v>
      </c>
      <c r="Z9" s="376"/>
      <c r="AA9" s="212">
        <f t="shared" ref="AA9:AF9" si="0">($M$27*$D$3/3)*4</f>
        <v>50880</v>
      </c>
      <c r="AB9" s="212">
        <f t="shared" si="0"/>
        <v>50880</v>
      </c>
      <c r="AC9" s="212">
        <f t="shared" si="0"/>
        <v>50880</v>
      </c>
      <c r="AD9" s="212">
        <f t="shared" si="0"/>
        <v>50880</v>
      </c>
      <c r="AE9" s="212">
        <f t="shared" si="0"/>
        <v>50880</v>
      </c>
      <c r="AF9" s="212">
        <f t="shared" si="0"/>
        <v>50880</v>
      </c>
      <c r="AG9" s="376"/>
      <c r="AH9" s="212">
        <f>($M$27*$D$3/3)*4</f>
        <v>50880</v>
      </c>
      <c r="AI9" s="212">
        <f>($M$27*$D$3/3)*4</f>
        <v>50880</v>
      </c>
      <c r="AJ9" s="212">
        <f>($M$27*$D$3/3)*4</f>
        <v>50880</v>
      </c>
      <c r="AK9" s="388">
        <f>($M$27*$D$3/3)*4</f>
        <v>50880</v>
      </c>
      <c r="AL9" s="256">
        <f>SUM(I9:AK9)</f>
        <v>1332908</v>
      </c>
      <c r="AM9" s="428"/>
      <c r="AN9" s="428"/>
      <c r="AO9" s="108"/>
      <c r="AP9" s="108"/>
      <c r="AQ9" s="108"/>
      <c r="AR9" s="108"/>
      <c r="AS9" s="428"/>
      <c r="AT9" s="121"/>
      <c r="AU9" s="121"/>
      <c r="AV9" s="428"/>
    </row>
    <row r="10" spans="1:50" hidden="1">
      <c r="A10" s="482"/>
      <c r="B10" s="497"/>
      <c r="C10" s="509"/>
      <c r="D10" s="465"/>
      <c r="E10" s="441"/>
      <c r="F10" s="452"/>
      <c r="G10" s="190"/>
      <c r="H10" s="187" t="s">
        <v>20</v>
      </c>
      <c r="I10" s="212">
        <v>2</v>
      </c>
      <c r="J10" s="212">
        <v>2</v>
      </c>
      <c r="K10" s="212">
        <v>2</v>
      </c>
      <c r="L10" s="376"/>
      <c r="M10" s="212">
        <v>3</v>
      </c>
      <c r="N10" s="212">
        <v>3</v>
      </c>
      <c r="O10" s="212">
        <v>3</v>
      </c>
      <c r="P10" s="376"/>
      <c r="Q10" s="376"/>
      <c r="R10" s="376"/>
      <c r="S10" s="376"/>
      <c r="T10" s="212">
        <v>3</v>
      </c>
      <c r="U10" s="212">
        <v>3</v>
      </c>
      <c r="V10" s="376"/>
      <c r="W10" s="212">
        <v>3</v>
      </c>
      <c r="X10" s="212">
        <v>3</v>
      </c>
      <c r="Y10" s="212">
        <v>3</v>
      </c>
      <c r="Z10" s="376"/>
      <c r="AA10" s="212">
        <v>3</v>
      </c>
      <c r="AB10" s="212">
        <v>3</v>
      </c>
      <c r="AC10" s="212">
        <v>3</v>
      </c>
      <c r="AD10" s="212">
        <v>3</v>
      </c>
      <c r="AE10" s="212">
        <v>3</v>
      </c>
      <c r="AF10" s="212">
        <v>3</v>
      </c>
      <c r="AG10" s="376"/>
      <c r="AH10" s="212">
        <v>3</v>
      </c>
      <c r="AI10" s="212">
        <v>3</v>
      </c>
      <c r="AJ10" s="212">
        <v>3</v>
      </c>
      <c r="AK10" s="388">
        <v>3</v>
      </c>
      <c r="AL10" s="256"/>
      <c r="AM10" s="108"/>
      <c r="AN10" s="108"/>
      <c r="AO10" s="108"/>
      <c r="AP10" s="108"/>
      <c r="AQ10" s="108"/>
      <c r="AR10" s="108"/>
      <c r="AS10" s="428"/>
      <c r="AT10" s="121"/>
      <c r="AU10" s="121"/>
      <c r="AV10" s="428"/>
    </row>
    <row r="11" spans="1:50" hidden="1">
      <c r="A11" s="482"/>
      <c r="B11" s="497"/>
      <c r="C11" s="509"/>
      <c r="D11" s="465"/>
      <c r="E11" s="441"/>
      <c r="F11" s="452"/>
      <c r="G11" s="190"/>
      <c r="H11" s="187"/>
      <c r="I11" s="212">
        <f>I12-I9</f>
        <v>-15565</v>
      </c>
      <c r="J11" s="212">
        <f>J12-J9</f>
        <v>-31464</v>
      </c>
      <c r="K11" s="212">
        <f>K12-K9</f>
        <v>-55461</v>
      </c>
      <c r="L11" s="376"/>
      <c r="M11" s="212">
        <f>M12-M9</f>
        <v>-75134</v>
      </c>
      <c r="N11" s="212">
        <f>N12-N9</f>
        <v>-86804</v>
      </c>
      <c r="O11" s="212">
        <f>O12-O9</f>
        <v>-106403</v>
      </c>
      <c r="P11" s="376"/>
      <c r="Q11" s="376"/>
      <c r="R11" s="376"/>
      <c r="S11" s="376"/>
      <c r="T11" s="212"/>
      <c r="U11" s="212"/>
      <c r="V11" s="376"/>
      <c r="W11" s="212"/>
      <c r="X11" s="212"/>
      <c r="Y11" s="212"/>
      <c r="Z11" s="376"/>
      <c r="AA11" s="212"/>
      <c r="AB11" s="212"/>
      <c r="AC11" s="212"/>
      <c r="AD11" s="212"/>
      <c r="AE11" s="212"/>
      <c r="AF11" s="212"/>
      <c r="AG11" s="376"/>
      <c r="AH11" s="212"/>
      <c r="AI11" s="212"/>
      <c r="AJ11" s="212"/>
      <c r="AK11" s="388"/>
      <c r="AL11" s="256"/>
      <c r="AM11" s="108"/>
      <c r="AN11" s="108"/>
      <c r="AO11" s="108"/>
      <c r="AP11" s="108"/>
      <c r="AQ11" s="108"/>
      <c r="AR11" s="108"/>
      <c r="AS11" s="428"/>
      <c r="AT11" s="121"/>
      <c r="AU11" s="121"/>
      <c r="AV11" s="428"/>
    </row>
    <row r="12" spans="1:50" hidden="1">
      <c r="A12" s="482"/>
      <c r="B12" s="497"/>
      <c r="C12" s="509"/>
      <c r="D12" s="465"/>
      <c r="E12" s="441"/>
      <c r="F12" s="452"/>
      <c r="G12" s="134"/>
      <c r="H12" s="188" t="s">
        <v>15</v>
      </c>
      <c r="I12" s="215">
        <f>9674+6802+9575+9264</f>
        <v>35315</v>
      </c>
      <c r="J12" s="215">
        <f>8810+8935+9469+7767</f>
        <v>34981</v>
      </c>
      <c r="K12" s="215">
        <f>5480+5550+4121+6234+5498</f>
        <v>26883</v>
      </c>
      <c r="L12" s="376"/>
      <c r="M12" s="215">
        <f>8984+6391+8970+6862</f>
        <v>31207</v>
      </c>
      <c r="N12" s="215">
        <f>10854+9741+9346+9269</f>
        <v>39210</v>
      </c>
      <c r="O12" s="215">
        <f>8918+3748+9346+9269</f>
        <v>31281</v>
      </c>
      <c r="P12" s="376"/>
      <c r="Q12" s="376"/>
      <c r="R12" s="376"/>
      <c r="S12" s="376"/>
      <c r="T12" s="215">
        <f>8979+9437+8197+9515</f>
        <v>36128</v>
      </c>
      <c r="U12" s="215">
        <v>34638</v>
      </c>
      <c r="V12" s="376"/>
      <c r="W12" s="215">
        <f>9373+8709+8516+9500</f>
        <v>36098</v>
      </c>
      <c r="X12" s="215">
        <v>36002</v>
      </c>
      <c r="Y12" s="215"/>
      <c r="Z12" s="376"/>
      <c r="AA12" s="215"/>
      <c r="AB12" s="215"/>
      <c r="AC12" s="215"/>
      <c r="AD12" s="215"/>
      <c r="AE12" s="215"/>
      <c r="AF12" s="215"/>
      <c r="AG12" s="376"/>
      <c r="AH12" s="215"/>
      <c r="AI12" s="215"/>
      <c r="AJ12" s="215"/>
      <c r="AK12" s="389"/>
      <c r="AL12" s="253">
        <f>SUM(I12:AK12)</f>
        <v>341743</v>
      </c>
      <c r="AM12" s="108"/>
      <c r="AN12" s="108"/>
      <c r="AO12" s="108"/>
      <c r="AP12" s="108"/>
      <c r="AQ12" s="108"/>
      <c r="AR12" s="108"/>
      <c r="AS12" s="428"/>
      <c r="AT12" s="121"/>
      <c r="AU12" s="121"/>
      <c r="AV12" s="428"/>
    </row>
    <row r="13" spans="1:50" hidden="1">
      <c r="A13" s="482"/>
      <c r="B13" s="497"/>
      <c r="C13" s="509"/>
      <c r="D13" s="465"/>
      <c r="E13" s="441"/>
      <c r="F13" s="452"/>
      <c r="G13" s="190" t="s">
        <v>21</v>
      </c>
      <c r="H13" s="187" t="s">
        <v>22</v>
      </c>
      <c r="I13" s="212">
        <f>$M$27*$D$3/3</f>
        <v>12720</v>
      </c>
      <c r="J13" s="212">
        <f>$M$27*$D$3/3</f>
        <v>12720</v>
      </c>
      <c r="K13" s="212">
        <f>$M$27*$D$3/3</f>
        <v>12720</v>
      </c>
      <c r="L13" s="377"/>
      <c r="M13" s="212">
        <f>$M$27*$D$3/3</f>
        <v>12720</v>
      </c>
      <c r="N13" s="212">
        <f>$M$27*$D$3/3</f>
        <v>12720</v>
      </c>
      <c r="O13" s="212">
        <f>$M$27*$D$3/3</f>
        <v>12720</v>
      </c>
      <c r="P13" s="377"/>
      <c r="Q13" s="377"/>
      <c r="R13" s="377"/>
      <c r="S13" s="377"/>
      <c r="T13" s="212">
        <f>$M$27*$D$3/3</f>
        <v>12720</v>
      </c>
      <c r="U13" s="212">
        <f>$M$27*$D$3/3</f>
        <v>12720</v>
      </c>
      <c r="V13" s="377"/>
      <c r="W13" s="212">
        <f>$M$27*$D$3/3</f>
        <v>12720</v>
      </c>
      <c r="X13" s="212">
        <f>$M$27*$D$3/3</f>
        <v>12720</v>
      </c>
      <c r="Y13" s="212">
        <f>$M$27*$D$3/3</f>
        <v>12720</v>
      </c>
      <c r="Z13" s="377"/>
      <c r="AA13" s="212">
        <f t="shared" ref="AA13:AF13" si="1">$M$27*$D$3/3</f>
        <v>12720</v>
      </c>
      <c r="AB13" s="212">
        <f t="shared" si="1"/>
        <v>12720</v>
      </c>
      <c r="AC13" s="212">
        <f t="shared" si="1"/>
        <v>12720</v>
      </c>
      <c r="AD13" s="212">
        <f t="shared" si="1"/>
        <v>12720</v>
      </c>
      <c r="AE13" s="212">
        <f t="shared" si="1"/>
        <v>12720</v>
      </c>
      <c r="AF13" s="212">
        <f t="shared" si="1"/>
        <v>12720</v>
      </c>
      <c r="AG13" s="377"/>
      <c r="AH13" s="212">
        <f>$M$27*$D$3/3</f>
        <v>12720</v>
      </c>
      <c r="AI13" s="212">
        <f>$M$27*$D$3/3</f>
        <v>12720</v>
      </c>
      <c r="AJ13" s="212">
        <f>$M$27*$D$3/3</f>
        <v>12720</v>
      </c>
      <c r="AK13" s="388">
        <f>$M$27*$D$3/3</f>
        <v>12720</v>
      </c>
      <c r="AL13" s="256">
        <f>SUM(I13:AK13)</f>
        <v>267120</v>
      </c>
      <c r="AM13" s="108"/>
      <c r="AN13" s="108"/>
      <c r="AO13" s="108"/>
      <c r="AP13" s="108"/>
      <c r="AQ13" s="108"/>
      <c r="AR13" s="108"/>
      <c r="AS13" s="428"/>
      <c r="AT13" s="121"/>
      <c r="AU13" s="121"/>
      <c r="AV13" s="428"/>
    </row>
    <row r="14" spans="1:50" hidden="1">
      <c r="A14" s="482"/>
      <c r="B14" s="497"/>
      <c r="C14" s="509"/>
      <c r="D14" s="465"/>
      <c r="E14" s="441"/>
      <c r="F14" s="452"/>
      <c r="G14" s="190"/>
      <c r="H14" s="187" t="s">
        <v>20</v>
      </c>
      <c r="I14" s="212">
        <v>2</v>
      </c>
      <c r="J14" s="212">
        <v>2</v>
      </c>
      <c r="K14" s="212">
        <v>2</v>
      </c>
      <c r="L14" s="377"/>
      <c r="M14" s="212">
        <v>2</v>
      </c>
      <c r="N14" s="212">
        <v>2</v>
      </c>
      <c r="O14" s="212">
        <v>2</v>
      </c>
      <c r="P14" s="377"/>
      <c r="Q14" s="377"/>
      <c r="R14" s="377"/>
      <c r="S14" s="377"/>
      <c r="T14" s="212">
        <v>2</v>
      </c>
      <c r="U14" s="212">
        <v>2</v>
      </c>
      <c r="V14" s="377"/>
      <c r="W14" s="212">
        <v>2</v>
      </c>
      <c r="X14" s="212">
        <v>2</v>
      </c>
      <c r="Y14" s="212">
        <v>2</v>
      </c>
      <c r="Z14" s="377"/>
      <c r="AA14" s="212">
        <v>2</v>
      </c>
      <c r="AB14" s="212">
        <v>2</v>
      </c>
      <c r="AC14" s="212">
        <v>2</v>
      </c>
      <c r="AD14" s="212">
        <v>2</v>
      </c>
      <c r="AE14" s="212">
        <v>2</v>
      </c>
      <c r="AF14" s="212">
        <v>2</v>
      </c>
      <c r="AG14" s="377"/>
      <c r="AH14" s="212">
        <v>2</v>
      </c>
      <c r="AI14" s="212">
        <v>2</v>
      </c>
      <c r="AJ14" s="212">
        <v>2</v>
      </c>
      <c r="AK14" s="388">
        <v>2</v>
      </c>
      <c r="AL14" s="256"/>
      <c r="AM14" s="108"/>
      <c r="AN14" s="108"/>
      <c r="AO14" s="108"/>
      <c r="AP14" s="108"/>
      <c r="AQ14" s="108"/>
      <c r="AR14" s="108"/>
      <c r="AS14" s="428"/>
      <c r="AT14" s="121"/>
      <c r="AU14" s="121"/>
      <c r="AV14" s="428"/>
    </row>
    <row r="15" spans="1:50" hidden="1">
      <c r="A15" s="482"/>
      <c r="B15" s="497"/>
      <c r="C15" s="509"/>
      <c r="D15" s="465"/>
      <c r="E15" s="441"/>
      <c r="F15" s="452"/>
      <c r="G15" s="134"/>
      <c r="H15" s="188" t="s">
        <v>15</v>
      </c>
      <c r="I15" s="216">
        <f>5951+6056</f>
        <v>12007</v>
      </c>
      <c r="J15" s="215">
        <f>6333+6085</f>
        <v>12418</v>
      </c>
      <c r="K15" s="215">
        <f>3759+3971+3269</f>
        <v>10999</v>
      </c>
      <c r="L15" s="377"/>
      <c r="M15" s="215">
        <f>6601+5996</f>
        <v>12597</v>
      </c>
      <c r="N15" s="215">
        <f>6742+6181</f>
        <v>12923</v>
      </c>
      <c r="O15" s="215">
        <f>6185+3951</f>
        <v>10136</v>
      </c>
      <c r="P15" s="377"/>
      <c r="Q15" s="377"/>
      <c r="R15" s="377"/>
      <c r="S15" s="377"/>
      <c r="T15" s="215">
        <f>4845+6409</f>
        <v>11254</v>
      </c>
      <c r="U15" s="215">
        <f>6654+6302</f>
        <v>12956</v>
      </c>
      <c r="V15" s="377"/>
      <c r="W15" s="215">
        <f>6311+6521</f>
        <v>12832</v>
      </c>
      <c r="X15" s="215">
        <f>5981+6083</f>
        <v>12064</v>
      </c>
      <c r="Y15" s="215"/>
      <c r="Z15" s="377"/>
      <c r="AA15" s="215"/>
      <c r="AB15" s="215"/>
      <c r="AC15" s="215"/>
      <c r="AD15" s="215"/>
      <c r="AE15" s="215"/>
      <c r="AF15" s="215"/>
      <c r="AG15" s="377"/>
      <c r="AH15" s="215"/>
      <c r="AI15" s="215"/>
      <c r="AJ15" s="215"/>
      <c r="AK15" s="389"/>
      <c r="AL15" s="253">
        <f>SUM(I15:AK15)</f>
        <v>120186</v>
      </c>
      <c r="AM15" s="108"/>
      <c r="AN15" s="108"/>
      <c r="AO15" s="108"/>
      <c r="AP15" s="108"/>
      <c r="AQ15" s="108"/>
      <c r="AR15" s="108"/>
      <c r="AS15" s="428"/>
      <c r="AT15" s="121"/>
      <c r="AU15" s="121"/>
      <c r="AV15" s="428"/>
    </row>
    <row r="16" spans="1:50" hidden="1">
      <c r="A16" s="482"/>
      <c r="B16" s="497"/>
      <c r="C16" s="509"/>
      <c r="D16" s="465"/>
      <c r="E16" s="441"/>
      <c r="F16" s="452"/>
      <c r="G16" s="190" t="s">
        <v>23</v>
      </c>
      <c r="H16" s="187" t="s">
        <v>24</v>
      </c>
      <c r="I16" s="212">
        <f>($M$27*$D$3/3)*2</f>
        <v>25440</v>
      </c>
      <c r="J16" s="212">
        <f>($M$27*$D$3/3)*2</f>
        <v>25440</v>
      </c>
      <c r="K16" s="212">
        <f>($M$27*$D$3/3)*2</f>
        <v>25440</v>
      </c>
      <c r="L16" s="377"/>
      <c r="M16" s="212">
        <f>($M$27*$D$3/3)*2</f>
        <v>25440</v>
      </c>
      <c r="N16" s="212">
        <f>($M$27*$D$3/3)*2</f>
        <v>25440</v>
      </c>
      <c r="O16" s="212">
        <f>($M$27*$D$3/3)*2</f>
        <v>25440</v>
      </c>
      <c r="P16" s="377"/>
      <c r="Q16" s="377"/>
      <c r="R16" s="377"/>
      <c r="S16" s="377"/>
      <c r="T16" s="212">
        <f>($M$27*$D$3/3)*2</f>
        <v>25440</v>
      </c>
      <c r="U16" s="212">
        <f>($M$27*$D$3/3)*2</f>
        <v>25440</v>
      </c>
      <c r="V16" s="377"/>
      <c r="W16" s="212">
        <f>($M$27*$D$3/3)*2</f>
        <v>25440</v>
      </c>
      <c r="X16" s="212">
        <f>($M$27*$D$3/3)*2</f>
        <v>25440</v>
      </c>
      <c r="Y16" s="212">
        <f>($M$27*$D$3/3)*2</f>
        <v>25440</v>
      </c>
      <c r="Z16" s="377"/>
      <c r="AA16" s="212">
        <f t="shared" ref="AA16:AF16" si="2">($M$27*$D$3/3)*2</f>
        <v>25440</v>
      </c>
      <c r="AB16" s="212">
        <f t="shared" si="2"/>
        <v>25440</v>
      </c>
      <c r="AC16" s="212">
        <f t="shared" si="2"/>
        <v>25440</v>
      </c>
      <c r="AD16" s="212">
        <f t="shared" si="2"/>
        <v>25440</v>
      </c>
      <c r="AE16" s="212">
        <f t="shared" si="2"/>
        <v>25440</v>
      </c>
      <c r="AF16" s="212">
        <f t="shared" si="2"/>
        <v>25440</v>
      </c>
      <c r="AG16" s="377"/>
      <c r="AH16" s="212">
        <f>($M$27*$D$3/3)*2</f>
        <v>25440</v>
      </c>
      <c r="AI16" s="212">
        <f>($M$27*$D$3/3)*2</f>
        <v>25440</v>
      </c>
      <c r="AJ16" s="212">
        <f>($M$27*$D$3/3)*2</f>
        <v>25440</v>
      </c>
      <c r="AK16" s="388">
        <f>($M$27*$D$3/3)*2</f>
        <v>25440</v>
      </c>
      <c r="AL16" s="256">
        <f>SUM(I16:AK16)</f>
        <v>534240</v>
      </c>
      <c r="AM16" s="112"/>
      <c r="AN16" s="122"/>
      <c r="AO16" s="122"/>
      <c r="AP16" s="121"/>
      <c r="AQ16" s="108"/>
      <c r="AR16" s="108"/>
      <c r="AS16" s="428"/>
      <c r="AT16" s="121"/>
      <c r="AU16" s="121"/>
      <c r="AV16" s="428"/>
    </row>
    <row r="17" spans="1:48" hidden="1">
      <c r="A17" s="482"/>
      <c r="B17" s="497"/>
      <c r="C17" s="509"/>
      <c r="D17" s="465"/>
      <c r="E17" s="441"/>
      <c r="F17" s="452"/>
      <c r="G17" s="134"/>
      <c r="H17" s="188" t="s">
        <v>15</v>
      </c>
      <c r="I17" s="134"/>
      <c r="J17" s="215">
        <v>39168</v>
      </c>
      <c r="K17" s="134"/>
      <c r="L17" s="377"/>
      <c r="M17" s="215">
        <f>4675+35202</f>
        <v>39877</v>
      </c>
      <c r="N17" s="197"/>
      <c r="O17" s="215"/>
      <c r="P17" s="377"/>
      <c r="Q17" s="377"/>
      <c r="R17" s="377"/>
      <c r="S17" s="377"/>
      <c r="T17" s="215">
        <f>59551</f>
        <v>59551</v>
      </c>
      <c r="U17" s="134"/>
      <c r="V17" s="377"/>
      <c r="W17" s="215"/>
      <c r="X17" s="134"/>
      <c r="Y17" s="215"/>
      <c r="Z17" s="377"/>
      <c r="AA17" s="134"/>
      <c r="AB17" s="215"/>
      <c r="AC17" s="134"/>
      <c r="AD17" s="215"/>
      <c r="AE17" s="134"/>
      <c r="AF17" s="215"/>
      <c r="AG17" s="377"/>
      <c r="AH17" s="215"/>
      <c r="AI17" s="215"/>
      <c r="AJ17" s="134"/>
      <c r="AK17" s="389"/>
      <c r="AL17" s="253">
        <f>SUM(I17:AK17)</f>
        <v>138596</v>
      </c>
      <c r="AM17" s="112"/>
      <c r="AN17" s="122"/>
      <c r="AO17" s="122"/>
      <c r="AP17" s="121"/>
      <c r="AQ17" s="108"/>
      <c r="AR17" s="108"/>
      <c r="AS17" s="428"/>
      <c r="AT17" s="121"/>
      <c r="AU17" s="121"/>
      <c r="AV17" s="428"/>
    </row>
    <row r="18" spans="1:48" hidden="1">
      <c r="A18" s="482"/>
      <c r="B18" s="497"/>
      <c r="C18" s="509"/>
      <c r="D18" s="465"/>
      <c r="E18" s="441"/>
      <c r="F18" s="452"/>
      <c r="G18" s="190" t="s">
        <v>25</v>
      </c>
      <c r="H18" s="187" t="s">
        <v>26</v>
      </c>
      <c r="I18" s="212">
        <f>($M$27*$D$3/3)*2</f>
        <v>25440</v>
      </c>
      <c r="J18" s="212">
        <f>($M$27*$D$3/3)*2</f>
        <v>25440</v>
      </c>
      <c r="K18" s="212">
        <f>($M$27*$D$3/3)*2</f>
        <v>25440</v>
      </c>
      <c r="L18" s="377"/>
      <c r="M18" s="212">
        <f>($M$27*$D$3/3)*2</f>
        <v>25440</v>
      </c>
      <c r="N18" s="212">
        <f>($M$27*$D$3/3)*2</f>
        <v>25440</v>
      </c>
      <c r="O18" s="212">
        <f>($M$27*$D$3/3)*2</f>
        <v>25440</v>
      </c>
      <c r="P18" s="377"/>
      <c r="Q18" s="377"/>
      <c r="R18" s="377"/>
      <c r="S18" s="377"/>
      <c r="T18" s="212">
        <f>($M$27*$D$3/3)*2</f>
        <v>25440</v>
      </c>
      <c r="U18" s="212">
        <f>($M$27*$D$3/3)*2</f>
        <v>25440</v>
      </c>
      <c r="V18" s="377"/>
      <c r="W18" s="212">
        <f>($M$27*$D$3/3)*2</f>
        <v>25440</v>
      </c>
      <c r="X18" s="212">
        <f>($M$27*$D$3/3)*2</f>
        <v>25440</v>
      </c>
      <c r="Y18" s="212">
        <f>($M$27*$D$3/3)*2</f>
        <v>25440</v>
      </c>
      <c r="Z18" s="377"/>
      <c r="AA18" s="212">
        <f t="shared" ref="AA18:AF18" si="3">($M$27*$D$3/3)*2</f>
        <v>25440</v>
      </c>
      <c r="AB18" s="212">
        <f t="shared" si="3"/>
        <v>25440</v>
      </c>
      <c r="AC18" s="212">
        <f t="shared" si="3"/>
        <v>25440</v>
      </c>
      <c r="AD18" s="212">
        <f t="shared" si="3"/>
        <v>25440</v>
      </c>
      <c r="AE18" s="212">
        <f t="shared" si="3"/>
        <v>25440</v>
      </c>
      <c r="AF18" s="212">
        <f t="shared" si="3"/>
        <v>25440</v>
      </c>
      <c r="AG18" s="377"/>
      <c r="AH18" s="212">
        <f>($M$27*$D$3/3)*2</f>
        <v>25440</v>
      </c>
      <c r="AI18" s="212">
        <f>($M$27*$D$3/3)*2</f>
        <v>25440</v>
      </c>
      <c r="AJ18" s="212">
        <f>($M$27*$D$3/3)*2</f>
        <v>25440</v>
      </c>
      <c r="AK18" s="388">
        <f>($M$27*$D$3/3)*2</f>
        <v>25440</v>
      </c>
      <c r="AL18" s="256">
        <f>SUM(I18:AK18)</f>
        <v>534240</v>
      </c>
      <c r="AM18" s="112"/>
      <c r="AN18" s="122"/>
      <c r="AO18" s="122"/>
      <c r="AP18" s="121"/>
      <c r="AQ18" s="108"/>
      <c r="AR18" s="108"/>
      <c r="AS18" s="428"/>
      <c r="AT18" s="121"/>
      <c r="AU18" s="121"/>
      <c r="AV18" s="428"/>
    </row>
    <row r="19" spans="1:48" hidden="1">
      <c r="A19" s="482"/>
      <c r="B19" s="497"/>
      <c r="C19" s="509"/>
      <c r="D19" s="465"/>
      <c r="E19" s="441"/>
      <c r="F19" s="452"/>
      <c r="G19" s="190"/>
      <c r="H19" s="187" t="s">
        <v>27</v>
      </c>
      <c r="I19" s="212">
        <v>1</v>
      </c>
      <c r="J19" s="212">
        <v>1</v>
      </c>
      <c r="K19" s="212">
        <v>1</v>
      </c>
      <c r="L19" s="377"/>
      <c r="M19" s="212">
        <v>1</v>
      </c>
      <c r="N19" s="212">
        <v>1</v>
      </c>
      <c r="O19" s="212">
        <v>1</v>
      </c>
      <c r="P19" s="377"/>
      <c r="Q19" s="377"/>
      <c r="R19" s="377"/>
      <c r="S19" s="377"/>
      <c r="T19" s="212">
        <v>1</v>
      </c>
      <c r="U19" s="212">
        <v>1</v>
      </c>
      <c r="V19" s="377"/>
      <c r="W19" s="212">
        <v>1</v>
      </c>
      <c r="X19" s="212">
        <v>1</v>
      </c>
      <c r="Y19" s="212">
        <v>1</v>
      </c>
      <c r="Z19" s="377"/>
      <c r="AA19" s="212">
        <v>1</v>
      </c>
      <c r="AB19" s="212">
        <v>1</v>
      </c>
      <c r="AC19" s="212">
        <v>1</v>
      </c>
      <c r="AD19" s="212">
        <v>1</v>
      </c>
      <c r="AE19" s="212">
        <v>1</v>
      </c>
      <c r="AF19" s="212">
        <v>1</v>
      </c>
      <c r="AG19" s="377"/>
      <c r="AH19" s="212">
        <v>1</v>
      </c>
      <c r="AI19" s="212">
        <v>1</v>
      </c>
      <c r="AJ19" s="212">
        <v>1</v>
      </c>
      <c r="AK19" s="388">
        <v>1</v>
      </c>
      <c r="AL19" s="256"/>
      <c r="AM19" s="112"/>
      <c r="AN19" s="122"/>
      <c r="AO19" s="122"/>
      <c r="AP19" s="121"/>
      <c r="AQ19" s="108"/>
      <c r="AR19" s="108"/>
      <c r="AS19" s="428"/>
      <c r="AT19" s="121"/>
      <c r="AU19" s="121"/>
      <c r="AV19" s="428"/>
    </row>
    <row r="20" spans="1:48" hidden="1">
      <c r="A20" s="482"/>
      <c r="B20" s="497"/>
      <c r="C20" s="509"/>
      <c r="D20" s="465"/>
      <c r="E20" s="441"/>
      <c r="F20" s="452"/>
      <c r="G20" s="134"/>
      <c r="H20" s="188" t="s">
        <v>15</v>
      </c>
      <c r="I20" s="134"/>
      <c r="J20" s="215"/>
      <c r="K20" s="134"/>
      <c r="L20" s="377"/>
      <c r="M20" s="215">
        <f>73834</f>
        <v>73834</v>
      </c>
      <c r="N20" s="134"/>
      <c r="O20" s="215"/>
      <c r="P20" s="377"/>
      <c r="Q20" s="377"/>
      <c r="R20" s="377"/>
      <c r="S20" s="377"/>
      <c r="T20" s="215"/>
      <c r="U20" s="134"/>
      <c r="V20" s="377"/>
      <c r="W20" s="215">
        <f>24221+30054</f>
        <v>54275</v>
      </c>
      <c r="X20" s="134"/>
      <c r="Y20" s="215"/>
      <c r="Z20" s="377"/>
      <c r="AA20" s="134"/>
      <c r="AB20" s="215"/>
      <c r="AC20" s="134"/>
      <c r="AD20" s="215"/>
      <c r="AE20" s="134"/>
      <c r="AF20" s="215"/>
      <c r="AG20" s="377"/>
      <c r="AH20" s="134"/>
      <c r="AI20" s="215"/>
      <c r="AJ20" s="134"/>
      <c r="AK20" s="389"/>
      <c r="AL20" s="253">
        <f>SUM(I20:AK20)</f>
        <v>128109</v>
      </c>
      <c r="AM20" s="112"/>
      <c r="AN20" s="122"/>
      <c r="AO20" s="122"/>
      <c r="AP20" s="121"/>
      <c r="AQ20" s="108"/>
      <c r="AR20" s="108"/>
      <c r="AS20" s="428"/>
      <c r="AT20" s="121"/>
      <c r="AU20" s="121"/>
      <c r="AV20" s="428"/>
    </row>
    <row r="21" spans="1:48" hidden="1">
      <c r="A21" s="482"/>
      <c r="B21" s="497"/>
      <c r="C21" s="509"/>
      <c r="D21" s="465"/>
      <c r="E21" s="441"/>
      <c r="F21" s="452"/>
      <c r="G21" s="190" t="s">
        <v>28</v>
      </c>
      <c r="H21" s="187" t="s">
        <v>29</v>
      </c>
      <c r="I21" s="212">
        <f>$M$27*$D$3/3</f>
        <v>12720</v>
      </c>
      <c r="J21" s="212">
        <f>$M$27*$D$3/3</f>
        <v>12720</v>
      </c>
      <c r="K21" s="212">
        <f>$M$27*$D$3/3</f>
        <v>12720</v>
      </c>
      <c r="L21" s="377"/>
      <c r="M21" s="212">
        <f>$M$27*$D$3/3</f>
        <v>12720</v>
      </c>
      <c r="N21" s="212">
        <f>$M$27*$D$3/3</f>
        <v>12720</v>
      </c>
      <c r="O21" s="212">
        <f>$M$27*$D$3/3</f>
        <v>12720</v>
      </c>
      <c r="P21" s="377"/>
      <c r="Q21" s="377"/>
      <c r="R21" s="377"/>
      <c r="S21" s="377"/>
      <c r="T21" s="212">
        <f>$M$27*$D$3/3</f>
        <v>12720</v>
      </c>
      <c r="U21" s="212">
        <f>$M$27*$D$3/3</f>
        <v>12720</v>
      </c>
      <c r="V21" s="377"/>
      <c r="W21" s="212">
        <f>$M$27*$D$3/3</f>
        <v>12720</v>
      </c>
      <c r="X21" s="212">
        <f>$M$27*$D$3/3</f>
        <v>12720</v>
      </c>
      <c r="Y21" s="212">
        <f>$M$27*$D$3/3</f>
        <v>12720</v>
      </c>
      <c r="Z21" s="377"/>
      <c r="AA21" s="212">
        <f t="shared" ref="AA21:AF21" si="4">$M$27*$D$3/3</f>
        <v>12720</v>
      </c>
      <c r="AB21" s="212">
        <f t="shared" si="4"/>
        <v>12720</v>
      </c>
      <c r="AC21" s="212">
        <f t="shared" si="4"/>
        <v>12720</v>
      </c>
      <c r="AD21" s="212">
        <f t="shared" si="4"/>
        <v>12720</v>
      </c>
      <c r="AE21" s="212">
        <f t="shared" si="4"/>
        <v>12720</v>
      </c>
      <c r="AF21" s="212">
        <f t="shared" si="4"/>
        <v>12720</v>
      </c>
      <c r="AG21" s="377"/>
      <c r="AH21" s="212">
        <f>$M$27*$D$3/3</f>
        <v>12720</v>
      </c>
      <c r="AI21" s="212">
        <f>$M$27*$D$3/3</f>
        <v>12720</v>
      </c>
      <c r="AJ21" s="212">
        <f>$M$27*$D$3/3</f>
        <v>12720</v>
      </c>
      <c r="AK21" s="388">
        <f>$M$27*$D$3/3</f>
        <v>12720</v>
      </c>
      <c r="AL21" s="256">
        <f>SUM(I21:AK21)</f>
        <v>267120</v>
      </c>
      <c r="AM21" s="112"/>
      <c r="AN21" s="122"/>
      <c r="AO21" s="122"/>
      <c r="AP21" s="121"/>
      <c r="AQ21" s="108"/>
      <c r="AR21" s="108"/>
      <c r="AS21" s="428"/>
      <c r="AT21" s="121"/>
      <c r="AU21" s="121"/>
      <c r="AV21" s="428"/>
    </row>
    <row r="22" spans="1:48" hidden="1">
      <c r="A22" s="482"/>
      <c r="B22" s="497"/>
      <c r="C22" s="509"/>
      <c r="D22" s="465"/>
      <c r="E22" s="441"/>
      <c r="F22" s="452"/>
      <c r="G22" s="190"/>
      <c r="H22" s="187" t="s">
        <v>27</v>
      </c>
      <c r="I22" s="212">
        <v>1</v>
      </c>
      <c r="J22" s="212">
        <v>1</v>
      </c>
      <c r="K22" s="212">
        <v>1</v>
      </c>
      <c r="L22" s="377"/>
      <c r="M22" s="212">
        <v>1</v>
      </c>
      <c r="N22" s="212">
        <v>1</v>
      </c>
      <c r="O22" s="212">
        <v>1</v>
      </c>
      <c r="P22" s="377"/>
      <c r="Q22" s="377"/>
      <c r="R22" s="377"/>
      <c r="S22" s="377"/>
      <c r="T22" s="212">
        <v>1</v>
      </c>
      <c r="U22" s="212">
        <v>1</v>
      </c>
      <c r="V22" s="377"/>
      <c r="W22" s="212">
        <v>1</v>
      </c>
      <c r="X22" s="212">
        <v>1</v>
      </c>
      <c r="Y22" s="212">
        <v>1</v>
      </c>
      <c r="Z22" s="377"/>
      <c r="AA22" s="212">
        <v>1</v>
      </c>
      <c r="AB22" s="212">
        <v>1</v>
      </c>
      <c r="AC22" s="212">
        <v>1</v>
      </c>
      <c r="AD22" s="212">
        <v>1</v>
      </c>
      <c r="AE22" s="212">
        <v>1</v>
      </c>
      <c r="AF22" s="212">
        <v>1</v>
      </c>
      <c r="AG22" s="377"/>
      <c r="AH22" s="212">
        <v>1</v>
      </c>
      <c r="AI22" s="212">
        <v>1</v>
      </c>
      <c r="AJ22" s="212">
        <v>1</v>
      </c>
      <c r="AK22" s="388">
        <v>1</v>
      </c>
      <c r="AL22" s="256"/>
      <c r="AM22" s="112"/>
      <c r="AN22" s="122"/>
      <c r="AO22" s="122"/>
      <c r="AP22" s="121"/>
      <c r="AQ22" s="108"/>
      <c r="AR22" s="108"/>
      <c r="AS22" s="428"/>
      <c r="AT22" s="121"/>
      <c r="AU22" s="121"/>
      <c r="AV22" s="428"/>
    </row>
    <row r="23" spans="1:48" hidden="1">
      <c r="A23" s="482"/>
      <c r="B23" s="497"/>
      <c r="C23" s="509"/>
      <c r="D23" s="465"/>
      <c r="E23" s="441"/>
      <c r="F23" s="452"/>
      <c r="G23" s="134"/>
      <c r="H23" s="188" t="s">
        <v>15</v>
      </c>
      <c r="I23" s="218">
        <f>39236</f>
        <v>39236</v>
      </c>
      <c r="J23" s="215"/>
      <c r="K23" s="134"/>
      <c r="L23" s="377"/>
      <c r="M23" s="215">
        <f>27053+7020</f>
        <v>34073</v>
      </c>
      <c r="N23" s="197"/>
      <c r="O23" s="215"/>
      <c r="P23" s="377"/>
      <c r="Q23" s="377"/>
      <c r="R23" s="377"/>
      <c r="S23" s="377"/>
      <c r="T23" s="215"/>
      <c r="U23" s="215">
        <f>27392+17240</f>
        <v>44632</v>
      </c>
      <c r="V23" s="377"/>
      <c r="W23" s="215"/>
      <c r="X23" s="134"/>
      <c r="Y23" s="215"/>
      <c r="Z23" s="377"/>
      <c r="AA23" s="134"/>
      <c r="AB23" s="215"/>
      <c r="AC23" s="134"/>
      <c r="AD23" s="215"/>
      <c r="AE23" s="134"/>
      <c r="AF23" s="215"/>
      <c r="AG23" s="377"/>
      <c r="AH23" s="134"/>
      <c r="AI23" s="215"/>
      <c r="AJ23" s="134"/>
      <c r="AK23" s="389"/>
      <c r="AL23" s="253">
        <f>SUM(I23:AK23)</f>
        <v>117941</v>
      </c>
      <c r="AM23" s="112"/>
      <c r="AN23" s="122"/>
      <c r="AO23" s="122"/>
      <c r="AP23" s="121"/>
      <c r="AQ23" s="108"/>
      <c r="AR23" s="108"/>
      <c r="AS23" s="428"/>
      <c r="AT23" s="121"/>
      <c r="AU23" s="121"/>
      <c r="AV23" s="428"/>
    </row>
    <row r="24" spans="1:48" hidden="1">
      <c r="A24" s="482"/>
      <c r="B24" s="497"/>
      <c r="C24" s="509"/>
      <c r="D24" s="465"/>
      <c r="E24" s="441"/>
      <c r="F24" s="452"/>
      <c r="G24" s="190"/>
      <c r="H24" s="187" t="s">
        <v>30</v>
      </c>
      <c r="I24" s="212">
        <f>$M$27*$D$3/3</f>
        <v>12720</v>
      </c>
      <c r="J24" s="212">
        <f>$M$27*$D$3/3</f>
        <v>12720</v>
      </c>
      <c r="K24" s="212">
        <f>$M$27*$D$3/3</f>
        <v>12720</v>
      </c>
      <c r="L24" s="377"/>
      <c r="M24" s="212">
        <f>$M$27*$D$3/3</f>
        <v>12720</v>
      </c>
      <c r="N24" s="212">
        <f>$M$27*$D$3/3</f>
        <v>12720</v>
      </c>
      <c r="O24" s="212">
        <f>$M$27*$D$3/3</f>
        <v>12720</v>
      </c>
      <c r="P24" s="377"/>
      <c r="Q24" s="377"/>
      <c r="R24" s="377"/>
      <c r="S24" s="377"/>
      <c r="T24" s="212">
        <f>$M$27*$D$3/3</f>
        <v>12720</v>
      </c>
      <c r="U24" s="212">
        <f>$M$27*$D$3/3</f>
        <v>12720</v>
      </c>
      <c r="V24" s="377"/>
      <c r="W24" s="212">
        <f>$M$27*$D$3/3</f>
        <v>12720</v>
      </c>
      <c r="X24" s="212">
        <f>$M$27*$D$3/3</f>
        <v>12720</v>
      </c>
      <c r="Y24" s="212">
        <f>$M$27*$D$3/3</f>
        <v>12720</v>
      </c>
      <c r="Z24" s="377"/>
      <c r="AA24" s="212">
        <f t="shared" ref="AA24:AF24" si="5">$M$27*$D$3/3</f>
        <v>12720</v>
      </c>
      <c r="AB24" s="212">
        <f t="shared" si="5"/>
        <v>12720</v>
      </c>
      <c r="AC24" s="212">
        <f t="shared" si="5"/>
        <v>12720</v>
      </c>
      <c r="AD24" s="212">
        <f t="shared" si="5"/>
        <v>12720</v>
      </c>
      <c r="AE24" s="212">
        <f t="shared" si="5"/>
        <v>12720</v>
      </c>
      <c r="AF24" s="212">
        <f t="shared" si="5"/>
        <v>12720</v>
      </c>
      <c r="AG24" s="377"/>
      <c r="AH24" s="212">
        <f>$M$27*$D$3/3</f>
        <v>12720</v>
      </c>
      <c r="AI24" s="212">
        <f>$M$27*$D$3/3</f>
        <v>12720</v>
      </c>
      <c r="AJ24" s="212">
        <f>$M$27*$D$3/3</f>
        <v>12720</v>
      </c>
      <c r="AK24" s="388">
        <f>$M$27*$D$3/3</f>
        <v>12720</v>
      </c>
      <c r="AL24" s="256">
        <f>SUM(I24:AK24)</f>
        <v>267120</v>
      </c>
      <c r="AM24" s="112"/>
      <c r="AN24" s="122"/>
      <c r="AO24" s="122"/>
      <c r="AP24" s="121"/>
      <c r="AQ24" s="108"/>
      <c r="AR24" s="108"/>
      <c r="AS24" s="428"/>
      <c r="AT24" s="121"/>
      <c r="AU24" s="121"/>
      <c r="AV24" s="428"/>
    </row>
    <row r="25" spans="1:48" hidden="1">
      <c r="A25" s="482"/>
      <c r="B25" s="497"/>
      <c r="C25" s="509"/>
      <c r="D25" s="465"/>
      <c r="E25" s="441"/>
      <c r="F25" s="452"/>
      <c r="G25" s="190"/>
      <c r="H25" s="187" t="s">
        <v>31</v>
      </c>
      <c r="I25" s="212">
        <v>1</v>
      </c>
      <c r="J25" s="212">
        <v>1</v>
      </c>
      <c r="K25" s="212">
        <v>1</v>
      </c>
      <c r="L25" s="376"/>
      <c r="M25" s="212">
        <v>1</v>
      </c>
      <c r="N25" s="212">
        <v>1</v>
      </c>
      <c r="O25" s="212">
        <v>1</v>
      </c>
      <c r="P25" s="376"/>
      <c r="Q25" s="376"/>
      <c r="R25" s="376"/>
      <c r="S25" s="376"/>
      <c r="T25" s="212">
        <v>1</v>
      </c>
      <c r="U25" s="212">
        <v>1</v>
      </c>
      <c r="V25" s="376"/>
      <c r="W25" s="212">
        <v>1</v>
      </c>
      <c r="X25" s="212">
        <v>1</v>
      </c>
      <c r="Y25" s="212">
        <v>1</v>
      </c>
      <c r="Z25" s="376"/>
      <c r="AA25" s="212">
        <v>1</v>
      </c>
      <c r="AB25" s="212">
        <v>1</v>
      </c>
      <c r="AC25" s="212">
        <v>1</v>
      </c>
      <c r="AD25" s="212">
        <v>1</v>
      </c>
      <c r="AE25" s="212">
        <v>1</v>
      </c>
      <c r="AF25" s="212">
        <v>1</v>
      </c>
      <c r="AG25" s="376"/>
      <c r="AH25" s="212">
        <v>1</v>
      </c>
      <c r="AI25" s="212">
        <v>1</v>
      </c>
      <c r="AJ25" s="212">
        <v>1</v>
      </c>
      <c r="AK25" s="388">
        <v>1</v>
      </c>
      <c r="AL25" s="256"/>
      <c r="AM25" s="112"/>
      <c r="AN25" s="122"/>
      <c r="AO25" s="122"/>
      <c r="AP25" s="121"/>
      <c r="AQ25" s="108"/>
      <c r="AR25" s="108"/>
      <c r="AS25" s="428"/>
      <c r="AT25" s="121"/>
      <c r="AU25" s="121"/>
      <c r="AV25" s="428"/>
    </row>
    <row r="26" spans="1:48" hidden="1">
      <c r="A26" s="482"/>
      <c r="B26" s="497"/>
      <c r="C26" s="509"/>
      <c r="D26" s="465"/>
      <c r="E26" s="441"/>
      <c r="F26" s="452"/>
      <c r="G26" s="134"/>
      <c r="H26" s="188" t="s">
        <v>15</v>
      </c>
      <c r="I26" s="215">
        <f>3090+1670</f>
        <v>4760</v>
      </c>
      <c r="J26" s="215">
        <f>2525+1786+4125</f>
        <v>8436</v>
      </c>
      <c r="K26" s="215">
        <f>400+2100+2278+514</f>
        <v>5292</v>
      </c>
      <c r="L26" s="377"/>
      <c r="M26" s="215">
        <f>3311+3864</f>
        <v>7175</v>
      </c>
      <c r="N26" s="215">
        <f>1635+1119+2771+2009</f>
        <v>7534</v>
      </c>
      <c r="O26" s="215">
        <f>4095+1523</f>
        <v>5618</v>
      </c>
      <c r="P26" s="377"/>
      <c r="Q26" s="377"/>
      <c r="R26" s="377"/>
      <c r="S26" s="377"/>
      <c r="T26" s="215">
        <f>550+4498+500+3570+1212</f>
        <v>10330</v>
      </c>
      <c r="U26" s="134"/>
      <c r="V26" s="377"/>
      <c r="W26" s="215">
        <f>4501+2428+4096</f>
        <v>11025</v>
      </c>
      <c r="X26" s="134"/>
      <c r="Y26" s="134"/>
      <c r="Z26" s="377"/>
      <c r="AA26" s="134"/>
      <c r="AB26" s="134"/>
      <c r="AC26" s="134"/>
      <c r="AD26" s="134"/>
      <c r="AE26" s="134"/>
      <c r="AF26" s="134"/>
      <c r="AG26" s="377"/>
      <c r="AH26" s="134"/>
      <c r="AI26" s="134"/>
      <c r="AJ26" s="134"/>
      <c r="AK26" s="390"/>
      <c r="AL26" s="258">
        <v>1</v>
      </c>
      <c r="AM26" s="112"/>
      <c r="AN26" s="122"/>
      <c r="AO26" s="122"/>
      <c r="AP26" s="121"/>
      <c r="AQ26" s="108"/>
      <c r="AR26" s="108"/>
      <c r="AS26" s="428"/>
      <c r="AT26" s="121"/>
      <c r="AU26" s="121"/>
      <c r="AV26" s="428"/>
    </row>
    <row r="27" spans="1:48" hidden="1">
      <c r="A27" s="482"/>
      <c r="B27" s="497"/>
      <c r="C27" s="509"/>
      <c r="D27" s="465"/>
      <c r="E27" s="441"/>
      <c r="F27" s="452"/>
      <c r="G27" s="190"/>
      <c r="H27" s="187" t="s">
        <v>32</v>
      </c>
      <c r="I27" s="190"/>
      <c r="J27" s="190"/>
      <c r="K27" s="190"/>
      <c r="L27" s="377"/>
      <c r="M27" s="212">
        <f>$C$3*3</f>
        <v>24000</v>
      </c>
      <c r="N27" s="190"/>
      <c r="O27" s="190"/>
      <c r="P27" s="377"/>
      <c r="Q27" s="377"/>
      <c r="R27" s="377"/>
      <c r="S27" s="377"/>
      <c r="T27" s="212">
        <f>$C$3*3</f>
        <v>24000</v>
      </c>
      <c r="U27" s="190"/>
      <c r="V27" s="377"/>
      <c r="W27" s="190"/>
      <c r="X27" s="212">
        <f>$C$3*3</f>
        <v>24000</v>
      </c>
      <c r="Y27" s="190"/>
      <c r="Z27" s="377"/>
      <c r="AA27" s="190"/>
      <c r="AB27" s="212">
        <f>$C$3*3</f>
        <v>24000</v>
      </c>
      <c r="AC27" s="190"/>
      <c r="AD27" s="190"/>
      <c r="AE27" s="212">
        <f>$C$3*3</f>
        <v>24000</v>
      </c>
      <c r="AF27" s="190"/>
      <c r="AG27" s="377"/>
      <c r="AH27" s="190"/>
      <c r="AI27" s="212">
        <f>$C$3*3</f>
        <v>24000</v>
      </c>
      <c r="AJ27" s="190"/>
      <c r="AK27" s="391"/>
      <c r="AL27" s="256">
        <f>SUM(I27:AK27)</f>
        <v>144000</v>
      </c>
      <c r="AM27" s="112"/>
      <c r="AN27" s="122"/>
      <c r="AO27" s="122"/>
      <c r="AP27" s="121"/>
      <c r="AQ27" s="108"/>
      <c r="AR27" s="108"/>
      <c r="AS27" s="428"/>
      <c r="AT27" s="121"/>
      <c r="AU27" s="121"/>
      <c r="AV27" s="428"/>
    </row>
    <row r="28" spans="1:48" hidden="1">
      <c r="A28" s="482"/>
      <c r="B28" s="497"/>
      <c r="C28" s="509"/>
      <c r="D28" s="465"/>
      <c r="E28" s="441"/>
      <c r="F28" s="452"/>
      <c r="G28" s="190"/>
      <c r="H28" s="187" t="s">
        <v>33</v>
      </c>
      <c r="I28" s="190"/>
      <c r="J28" s="190"/>
      <c r="K28" s="190"/>
      <c r="L28" s="377"/>
      <c r="M28" s="190">
        <v>1</v>
      </c>
      <c r="N28" s="190"/>
      <c r="O28" s="190"/>
      <c r="P28" s="377"/>
      <c r="Q28" s="377"/>
      <c r="R28" s="377"/>
      <c r="S28" s="377"/>
      <c r="T28" s="190">
        <v>1</v>
      </c>
      <c r="U28" s="190"/>
      <c r="V28" s="377"/>
      <c r="W28" s="190"/>
      <c r="X28" s="190">
        <v>1</v>
      </c>
      <c r="Y28" s="190"/>
      <c r="Z28" s="377"/>
      <c r="AA28" s="190"/>
      <c r="AB28" s="190">
        <v>1</v>
      </c>
      <c r="AC28" s="190"/>
      <c r="AD28" s="190"/>
      <c r="AE28" s="190">
        <v>1</v>
      </c>
      <c r="AF28" s="190"/>
      <c r="AG28" s="377"/>
      <c r="AH28" s="190"/>
      <c r="AI28" s="190">
        <v>1</v>
      </c>
      <c r="AJ28" s="190"/>
      <c r="AK28" s="391"/>
      <c r="AL28" s="256"/>
      <c r="AM28" s="112"/>
      <c r="AN28" s="122"/>
      <c r="AO28" s="122"/>
      <c r="AP28" s="121"/>
      <c r="AQ28" s="108"/>
      <c r="AR28" s="108"/>
      <c r="AS28" s="428"/>
      <c r="AT28" s="121"/>
      <c r="AU28" s="121"/>
      <c r="AV28" s="428"/>
    </row>
    <row r="29" spans="1:48" hidden="1">
      <c r="A29" s="191"/>
      <c r="B29" s="498"/>
      <c r="C29" s="510"/>
      <c r="D29" s="466"/>
      <c r="E29" s="442"/>
      <c r="F29" s="453"/>
      <c r="G29" s="135"/>
      <c r="H29" s="192" t="s">
        <v>15</v>
      </c>
      <c r="I29" s="220">
        <v>12750</v>
      </c>
      <c r="J29" s="135"/>
      <c r="K29" s="135"/>
      <c r="L29" s="378"/>
      <c r="M29" s="220"/>
      <c r="N29" s="135"/>
      <c r="O29" s="220">
        <f>13221+3000</f>
        <v>16221</v>
      </c>
      <c r="P29" s="378"/>
      <c r="Q29" s="378"/>
      <c r="R29" s="378"/>
      <c r="S29" s="378"/>
      <c r="T29" s="135"/>
      <c r="U29" s="220">
        <v>10684</v>
      </c>
      <c r="V29" s="378"/>
      <c r="W29" s="135"/>
      <c r="X29" s="135"/>
      <c r="Y29" s="135"/>
      <c r="Z29" s="378"/>
      <c r="AA29" s="135"/>
      <c r="AB29" s="135"/>
      <c r="AC29" s="135"/>
      <c r="AD29" s="135"/>
      <c r="AE29" s="135"/>
      <c r="AF29" s="135"/>
      <c r="AG29" s="378"/>
      <c r="AH29" s="135"/>
      <c r="AI29" s="135"/>
      <c r="AJ29" s="135"/>
      <c r="AK29" s="392"/>
      <c r="AL29" s="253">
        <f>SUM(I29:AK29)</f>
        <v>39655</v>
      </c>
      <c r="AM29" s="112"/>
      <c r="AN29" s="122"/>
      <c r="AO29" s="122"/>
      <c r="AP29" s="121"/>
      <c r="AQ29" s="108"/>
      <c r="AR29" s="108"/>
      <c r="AS29" s="428"/>
      <c r="AT29" s="121"/>
      <c r="AU29" s="121"/>
      <c r="AV29" s="428"/>
    </row>
    <row r="30" spans="1:48" hidden="1">
      <c r="A30" s="483" t="s">
        <v>34</v>
      </c>
      <c r="B30" s="499" t="s">
        <v>35</v>
      </c>
      <c r="C30" s="461">
        <v>12000</v>
      </c>
      <c r="D30" s="467">
        <v>1.2749999999999999</v>
      </c>
      <c r="E30" s="193"/>
      <c r="F30" s="454" t="s">
        <v>11</v>
      </c>
      <c r="G30" s="184">
        <v>0.08</v>
      </c>
      <c r="H30" s="185" t="s">
        <v>12</v>
      </c>
      <c r="I30" s="223">
        <v>128.16999999999999</v>
      </c>
      <c r="J30" s="223">
        <v>128.16999999999999</v>
      </c>
      <c r="K30" s="223">
        <v>128.16999999999999</v>
      </c>
      <c r="L30" s="379"/>
      <c r="M30" s="223">
        <v>128.16999999999999</v>
      </c>
      <c r="N30" s="223">
        <v>128.16999999999999</v>
      </c>
      <c r="O30" s="223">
        <v>128.16999999999999</v>
      </c>
      <c r="P30" s="379"/>
      <c r="Q30" s="379"/>
      <c r="R30" s="379"/>
      <c r="S30" s="379"/>
      <c r="T30" s="223">
        <v>128.16999999999999</v>
      </c>
      <c r="U30" s="223">
        <v>128.16999999999999</v>
      </c>
      <c r="V30" s="379"/>
      <c r="W30" s="223">
        <v>128.16999999999999</v>
      </c>
      <c r="X30" s="223">
        <v>128.16999999999999</v>
      </c>
      <c r="Y30" s="223">
        <v>128.16999999999999</v>
      </c>
      <c r="Z30" s="379"/>
      <c r="AA30" s="223">
        <v>128.16999999999999</v>
      </c>
      <c r="AB30" s="223">
        <v>128.16999999999999</v>
      </c>
      <c r="AC30" s="223">
        <v>128.16999999999999</v>
      </c>
      <c r="AD30" s="223">
        <v>128.16999999999999</v>
      </c>
      <c r="AE30" s="223">
        <v>128.16999999999999</v>
      </c>
      <c r="AF30" s="223">
        <v>128.16999999999999</v>
      </c>
      <c r="AG30" s="379"/>
      <c r="AH30" s="223">
        <v>128.16999999999999</v>
      </c>
      <c r="AI30" s="223">
        <v>128.16999999999999</v>
      </c>
      <c r="AJ30" s="223">
        <v>128.16999999999999</v>
      </c>
      <c r="AK30" s="393">
        <v>128.16999999999999</v>
      </c>
      <c r="AL30" s="253"/>
      <c r="AM30" s="428"/>
      <c r="AN30" s="428"/>
      <c r="AO30" s="108"/>
      <c r="AP30" s="108"/>
      <c r="AQ30" s="108"/>
      <c r="AR30" s="108"/>
      <c r="AS30" s="428"/>
      <c r="AT30" s="121"/>
      <c r="AU30" s="121"/>
      <c r="AV30" s="428"/>
    </row>
    <row r="31" spans="1:48" hidden="1">
      <c r="A31" s="484"/>
      <c r="B31" s="500"/>
      <c r="C31" s="455"/>
      <c r="D31" s="468"/>
      <c r="E31" s="194"/>
      <c r="F31" s="433"/>
      <c r="G31" s="186"/>
      <c r="H31" s="187" t="s">
        <v>14</v>
      </c>
      <c r="I31" s="212">
        <v>1.5</v>
      </c>
      <c r="J31" s="212">
        <v>1.5</v>
      </c>
      <c r="K31" s="212">
        <v>1.5</v>
      </c>
      <c r="L31" s="376"/>
      <c r="M31" s="212">
        <v>1.5</v>
      </c>
      <c r="N31" s="212">
        <v>1.5</v>
      </c>
      <c r="O31" s="212">
        <v>1.5</v>
      </c>
      <c r="P31" s="376"/>
      <c r="Q31" s="376"/>
      <c r="R31" s="376"/>
      <c r="S31" s="376"/>
      <c r="T31" s="212">
        <v>1.5</v>
      </c>
      <c r="U31" s="212">
        <v>1.5</v>
      </c>
      <c r="V31" s="376"/>
      <c r="W31" s="212">
        <v>1.5</v>
      </c>
      <c r="X31" s="212">
        <v>1.5</v>
      </c>
      <c r="Y31" s="212">
        <v>1.5</v>
      </c>
      <c r="Z31" s="376"/>
      <c r="AA31" s="212">
        <v>1.5</v>
      </c>
      <c r="AB31" s="212">
        <v>1.5</v>
      </c>
      <c r="AC31" s="212">
        <v>1.5</v>
      </c>
      <c r="AD31" s="212">
        <v>1.5</v>
      </c>
      <c r="AE31" s="212">
        <v>1.5</v>
      </c>
      <c r="AF31" s="212">
        <v>1.5</v>
      </c>
      <c r="AG31" s="376"/>
      <c r="AH31" s="212">
        <v>1.5</v>
      </c>
      <c r="AI31" s="212">
        <v>1.5</v>
      </c>
      <c r="AJ31" s="212">
        <v>1.5</v>
      </c>
      <c r="AK31" s="388">
        <v>1.5</v>
      </c>
      <c r="AL31" s="253"/>
      <c r="AM31" s="428"/>
      <c r="AN31" s="428"/>
      <c r="AO31" s="108"/>
      <c r="AP31" s="108"/>
      <c r="AQ31" s="108"/>
      <c r="AR31" s="108"/>
      <c r="AS31" s="428"/>
      <c r="AT31" s="121"/>
      <c r="AU31" s="121"/>
      <c r="AV31" s="428"/>
    </row>
    <row r="32" spans="1:48" hidden="1">
      <c r="A32" s="484"/>
      <c r="B32" s="500"/>
      <c r="C32" s="455"/>
      <c r="D32" s="468"/>
      <c r="E32" s="194"/>
      <c r="F32" s="433"/>
      <c r="G32" s="195"/>
      <c r="H32" s="196" t="s">
        <v>15</v>
      </c>
      <c r="I32" s="226"/>
      <c r="J32" s="226"/>
      <c r="K32" s="226"/>
      <c r="L32" s="376"/>
      <c r="M32" s="215"/>
      <c r="N32" s="215"/>
      <c r="O32" s="215"/>
      <c r="P32" s="376"/>
      <c r="Q32" s="376"/>
      <c r="R32" s="376"/>
      <c r="S32" s="376"/>
      <c r="T32" s="215"/>
      <c r="U32" s="215"/>
      <c r="V32" s="376"/>
      <c r="W32" s="215"/>
      <c r="X32" s="215"/>
      <c r="Y32" s="215"/>
      <c r="Z32" s="376"/>
      <c r="AA32" s="215"/>
      <c r="AB32" s="215"/>
      <c r="AC32" s="215"/>
      <c r="AD32" s="215"/>
      <c r="AE32" s="215"/>
      <c r="AF32" s="215"/>
      <c r="AG32" s="376"/>
      <c r="AH32" s="215"/>
      <c r="AI32" s="215"/>
      <c r="AJ32" s="215"/>
      <c r="AK32" s="389"/>
      <c r="AL32" s="253"/>
      <c r="AM32" s="108"/>
      <c r="AN32" s="108"/>
      <c r="AO32" s="108"/>
      <c r="AP32" s="108"/>
      <c r="AQ32" s="108"/>
      <c r="AR32" s="108"/>
      <c r="AS32" s="428"/>
      <c r="AT32" s="121"/>
      <c r="AU32" s="121"/>
      <c r="AV32" s="428"/>
    </row>
    <row r="33" spans="1:48" hidden="1">
      <c r="A33" s="484"/>
      <c r="B33" s="500"/>
      <c r="C33" s="455"/>
      <c r="D33" s="468"/>
      <c r="E33" s="194"/>
      <c r="F33" s="433"/>
      <c r="G33" s="190" t="s">
        <v>16</v>
      </c>
      <c r="H33" s="187" t="s">
        <v>17</v>
      </c>
      <c r="I33" s="229">
        <v>128.16999999999999</v>
      </c>
      <c r="J33" s="229">
        <v>128.16999999999999</v>
      </c>
      <c r="K33" s="229">
        <v>128.16999999999999</v>
      </c>
      <c r="L33" s="376"/>
      <c r="M33" s="229">
        <v>128.16999999999999</v>
      </c>
      <c r="N33" s="229">
        <v>128.16999999999999</v>
      </c>
      <c r="O33" s="229">
        <v>128.16999999999999</v>
      </c>
      <c r="P33" s="376"/>
      <c r="Q33" s="376"/>
      <c r="R33" s="376"/>
      <c r="S33" s="376"/>
      <c r="T33" s="229">
        <v>128.16999999999999</v>
      </c>
      <c r="U33" s="229">
        <v>128.16999999999999</v>
      </c>
      <c r="V33" s="376"/>
      <c r="W33" s="229">
        <v>128.16999999999999</v>
      </c>
      <c r="X33" s="229">
        <v>128.16999999999999</v>
      </c>
      <c r="Y33" s="229">
        <v>128.16999999999999</v>
      </c>
      <c r="Z33" s="376"/>
      <c r="AA33" s="229">
        <v>128.16999999999999</v>
      </c>
      <c r="AB33" s="229">
        <v>128.16999999999999</v>
      </c>
      <c r="AC33" s="229">
        <v>128.16999999999999</v>
      </c>
      <c r="AD33" s="229">
        <v>128.16999999999999</v>
      </c>
      <c r="AE33" s="229">
        <v>128.16999999999999</v>
      </c>
      <c r="AF33" s="229">
        <v>128.16999999999999</v>
      </c>
      <c r="AG33" s="376"/>
      <c r="AH33" s="229">
        <v>128.16999999999999</v>
      </c>
      <c r="AI33" s="229">
        <v>128.16999999999999</v>
      </c>
      <c r="AJ33" s="229">
        <v>128.16999999999999</v>
      </c>
      <c r="AK33" s="394">
        <v>128.16999999999999</v>
      </c>
      <c r="AL33" s="253"/>
      <c r="AM33" s="108"/>
      <c r="AN33" s="108"/>
      <c r="AO33" s="108"/>
      <c r="AP33" s="108"/>
      <c r="AQ33" s="108"/>
      <c r="AR33" s="108"/>
      <c r="AS33" s="428"/>
      <c r="AT33" s="121"/>
      <c r="AU33" s="121"/>
      <c r="AV33" s="428"/>
    </row>
    <row r="34" spans="1:48" hidden="1">
      <c r="A34" s="484"/>
      <c r="B34" s="500"/>
      <c r="C34" s="455"/>
      <c r="D34" s="468"/>
      <c r="E34" s="194"/>
      <c r="F34" s="433"/>
      <c r="G34" s="186"/>
      <c r="H34" s="187" t="s">
        <v>14</v>
      </c>
      <c r="I34" s="212">
        <v>0.5</v>
      </c>
      <c r="J34" s="212">
        <v>0.5</v>
      </c>
      <c r="K34" s="212">
        <v>0.5</v>
      </c>
      <c r="L34" s="376"/>
      <c r="M34" s="212">
        <v>0.5</v>
      </c>
      <c r="N34" s="212">
        <v>0.5</v>
      </c>
      <c r="O34" s="212">
        <v>0.5</v>
      </c>
      <c r="P34" s="376"/>
      <c r="Q34" s="376"/>
      <c r="R34" s="376"/>
      <c r="S34" s="376"/>
      <c r="T34" s="212">
        <v>0.5</v>
      </c>
      <c r="U34" s="212">
        <v>0.5</v>
      </c>
      <c r="V34" s="376"/>
      <c r="W34" s="212">
        <v>0.5</v>
      </c>
      <c r="X34" s="212">
        <v>0.5</v>
      </c>
      <c r="Y34" s="212">
        <v>0.5</v>
      </c>
      <c r="Z34" s="376"/>
      <c r="AA34" s="212">
        <v>0.5</v>
      </c>
      <c r="AB34" s="212">
        <v>0.5</v>
      </c>
      <c r="AC34" s="212">
        <v>0.5</v>
      </c>
      <c r="AD34" s="212">
        <v>0.5</v>
      </c>
      <c r="AE34" s="212">
        <v>0.5</v>
      </c>
      <c r="AF34" s="212">
        <v>0.5</v>
      </c>
      <c r="AG34" s="376"/>
      <c r="AH34" s="212">
        <v>0.5</v>
      </c>
      <c r="AI34" s="212">
        <v>0.5</v>
      </c>
      <c r="AJ34" s="212">
        <v>0.5</v>
      </c>
      <c r="AK34" s="388">
        <v>0.5</v>
      </c>
      <c r="AL34" s="253"/>
      <c r="AM34" s="108"/>
      <c r="AN34" s="108"/>
      <c r="AO34" s="108"/>
      <c r="AP34" s="108"/>
      <c r="AQ34" s="108"/>
      <c r="AR34" s="108"/>
      <c r="AS34" s="428"/>
      <c r="AT34" s="121"/>
      <c r="AU34" s="121"/>
      <c r="AV34" s="428"/>
    </row>
    <row r="35" spans="1:48" hidden="1">
      <c r="A35" s="484"/>
      <c r="B35" s="500"/>
      <c r="C35" s="455"/>
      <c r="D35" s="468"/>
      <c r="E35" s="194"/>
      <c r="F35" s="433"/>
      <c r="G35" s="134"/>
      <c r="H35" s="188" t="s">
        <v>15</v>
      </c>
      <c r="I35" s="215"/>
      <c r="J35" s="215"/>
      <c r="K35" s="215"/>
      <c r="L35" s="376"/>
      <c r="M35" s="215"/>
      <c r="N35" s="215"/>
      <c r="O35" s="215"/>
      <c r="P35" s="376"/>
      <c r="Q35" s="376"/>
      <c r="R35" s="376"/>
      <c r="S35" s="376"/>
      <c r="T35" s="215"/>
      <c r="U35" s="215"/>
      <c r="V35" s="376"/>
      <c r="W35" s="215"/>
      <c r="X35" s="382"/>
      <c r="Y35" s="215"/>
      <c r="Z35" s="376"/>
      <c r="AA35" s="215"/>
      <c r="AB35" s="215"/>
      <c r="AC35" s="215"/>
      <c r="AD35" s="215"/>
      <c r="AE35" s="215"/>
      <c r="AF35" s="215"/>
      <c r="AG35" s="376"/>
      <c r="AH35" s="215"/>
      <c r="AI35" s="215"/>
      <c r="AJ35" s="215"/>
      <c r="AK35" s="389"/>
      <c r="AL35" s="253"/>
      <c r="AM35" s="108"/>
      <c r="AN35" s="108"/>
      <c r="AO35" s="108"/>
      <c r="AP35" s="108"/>
      <c r="AQ35" s="108"/>
      <c r="AR35" s="108"/>
      <c r="AS35" s="428"/>
      <c r="AT35" s="121"/>
      <c r="AU35" s="121"/>
      <c r="AV35" s="428"/>
    </row>
    <row r="36" spans="1:48" hidden="1">
      <c r="A36" s="484"/>
      <c r="B36" s="500"/>
      <c r="C36" s="455"/>
      <c r="D36" s="468"/>
      <c r="E36" s="194"/>
      <c r="F36" s="433"/>
      <c r="G36" s="186" t="s">
        <v>36</v>
      </c>
      <c r="H36" s="187" t="s">
        <v>19</v>
      </c>
      <c r="I36" s="212">
        <f>$I$42*2</f>
        <v>30600</v>
      </c>
      <c r="J36" s="212">
        <f>$I$42*2</f>
        <v>30600</v>
      </c>
      <c r="K36" s="212">
        <f>$I$42*2</f>
        <v>30600</v>
      </c>
      <c r="L36" s="376"/>
      <c r="M36" s="212">
        <f>$I$42*2</f>
        <v>30600</v>
      </c>
      <c r="N36" s="212">
        <f>$I$42*2</f>
        <v>30600</v>
      </c>
      <c r="O36" s="212">
        <f>$I$42*2</f>
        <v>30600</v>
      </c>
      <c r="P36" s="376"/>
      <c r="Q36" s="376"/>
      <c r="R36" s="376"/>
      <c r="S36" s="376"/>
      <c r="T36" s="212">
        <f>$I$42*2</f>
        <v>30600</v>
      </c>
      <c r="U36" s="212">
        <f>$I$42*2</f>
        <v>30600</v>
      </c>
      <c r="V36" s="376"/>
      <c r="W36" s="212">
        <f>$I$42*2</f>
        <v>30600</v>
      </c>
      <c r="X36" s="212">
        <f>$I$42*2</f>
        <v>30600</v>
      </c>
      <c r="Y36" s="212">
        <f>$I$42*2</f>
        <v>30600</v>
      </c>
      <c r="Z36" s="376"/>
      <c r="AA36" s="212">
        <f t="shared" ref="AA36:AF36" si="6">$I$42*2</f>
        <v>30600</v>
      </c>
      <c r="AB36" s="212">
        <f t="shared" si="6"/>
        <v>30600</v>
      </c>
      <c r="AC36" s="212">
        <f t="shared" si="6"/>
        <v>30600</v>
      </c>
      <c r="AD36" s="212">
        <f t="shared" si="6"/>
        <v>30600</v>
      </c>
      <c r="AE36" s="212">
        <f t="shared" si="6"/>
        <v>30600</v>
      </c>
      <c r="AF36" s="212">
        <f t="shared" si="6"/>
        <v>30600</v>
      </c>
      <c r="AG36" s="376"/>
      <c r="AH36" s="212">
        <f>$I$42*2</f>
        <v>30600</v>
      </c>
      <c r="AI36" s="212">
        <f>$I$42*2</f>
        <v>30600</v>
      </c>
      <c r="AJ36" s="212">
        <f>$I$42*2</f>
        <v>30600</v>
      </c>
      <c r="AK36" s="388">
        <f>$I$42*2</f>
        <v>30600</v>
      </c>
      <c r="AL36" s="256">
        <f>SUM(I36:AK36)</f>
        <v>642600</v>
      </c>
      <c r="AM36" s="108"/>
      <c r="AN36" s="108"/>
      <c r="AO36" s="108"/>
      <c r="AP36" s="108"/>
      <c r="AQ36" s="108"/>
      <c r="AR36" s="108"/>
      <c r="AS36" s="428"/>
      <c r="AT36" s="121"/>
      <c r="AU36" s="121"/>
      <c r="AV36" s="428"/>
    </row>
    <row r="37" spans="1:48" hidden="1">
      <c r="A37" s="484"/>
      <c r="B37" s="500"/>
      <c r="C37" s="455"/>
      <c r="D37" s="468"/>
      <c r="E37" s="194"/>
      <c r="F37" s="433"/>
      <c r="G37" s="190"/>
      <c r="H37" s="187" t="s">
        <v>20</v>
      </c>
      <c r="I37" s="212">
        <v>1</v>
      </c>
      <c r="J37" s="212">
        <v>1</v>
      </c>
      <c r="K37" s="212">
        <v>1</v>
      </c>
      <c r="L37" s="376"/>
      <c r="M37" s="212">
        <v>1</v>
      </c>
      <c r="N37" s="212">
        <v>1</v>
      </c>
      <c r="O37" s="212">
        <v>1</v>
      </c>
      <c r="P37" s="376"/>
      <c r="Q37" s="376"/>
      <c r="R37" s="376"/>
      <c r="S37" s="376"/>
      <c r="T37" s="212">
        <v>1</v>
      </c>
      <c r="U37" s="212">
        <v>1</v>
      </c>
      <c r="V37" s="376"/>
      <c r="W37" s="212">
        <v>1</v>
      </c>
      <c r="X37" s="212">
        <v>1</v>
      </c>
      <c r="Y37" s="212">
        <v>1</v>
      </c>
      <c r="Z37" s="376"/>
      <c r="AA37" s="212">
        <v>1</v>
      </c>
      <c r="AB37" s="212">
        <v>1</v>
      </c>
      <c r="AC37" s="212">
        <v>1</v>
      </c>
      <c r="AD37" s="212">
        <v>1</v>
      </c>
      <c r="AE37" s="212">
        <v>1</v>
      </c>
      <c r="AF37" s="212">
        <v>1</v>
      </c>
      <c r="AG37" s="376"/>
      <c r="AH37" s="212">
        <v>1</v>
      </c>
      <c r="AI37" s="212">
        <v>1</v>
      </c>
      <c r="AJ37" s="212">
        <v>1</v>
      </c>
      <c r="AK37" s="388">
        <v>1</v>
      </c>
      <c r="AL37" s="256"/>
      <c r="AM37" s="108"/>
      <c r="AN37" s="108"/>
      <c r="AO37" s="108"/>
      <c r="AP37" s="108"/>
      <c r="AQ37" s="108"/>
      <c r="AR37" s="108"/>
      <c r="AS37" s="428"/>
      <c r="AT37" s="121"/>
      <c r="AU37" s="121"/>
      <c r="AV37" s="428"/>
    </row>
    <row r="38" spans="1:48" hidden="1">
      <c r="A38" s="484"/>
      <c r="B38" s="500"/>
      <c r="C38" s="455"/>
      <c r="D38" s="468"/>
      <c r="E38" s="194"/>
      <c r="F38" s="433"/>
      <c r="G38" s="134"/>
      <c r="H38" s="188" t="s">
        <v>15</v>
      </c>
      <c r="I38" s="215">
        <f>10722+10053</f>
        <v>20775</v>
      </c>
      <c r="J38" s="215">
        <f>7594+10955</f>
        <v>18549</v>
      </c>
      <c r="K38" s="215">
        <f>6795+5480+2412</f>
        <v>14687</v>
      </c>
      <c r="L38" s="376"/>
      <c r="M38" s="215">
        <f>9845+9744</f>
        <v>19589</v>
      </c>
      <c r="N38" s="215">
        <f>11826+8169</f>
        <v>19995</v>
      </c>
      <c r="O38" s="215">
        <f>11818+8132</f>
        <v>19950</v>
      </c>
      <c r="P38" s="376"/>
      <c r="Q38" s="376"/>
      <c r="R38" s="376"/>
      <c r="S38" s="376"/>
      <c r="T38" s="215">
        <f>10193+11275</f>
        <v>21468</v>
      </c>
      <c r="U38" s="215">
        <f>10824+8177</f>
        <v>19001</v>
      </c>
      <c r="V38" s="376"/>
      <c r="W38" s="215">
        <f>6371+5506</f>
        <v>11877</v>
      </c>
      <c r="X38" s="215">
        <f>7221+9622</f>
        <v>16843</v>
      </c>
      <c r="Y38" s="215"/>
      <c r="Z38" s="376"/>
      <c r="AA38" s="215"/>
      <c r="AB38" s="215"/>
      <c r="AC38" s="215"/>
      <c r="AD38" s="215"/>
      <c r="AE38" s="215"/>
      <c r="AF38" s="215"/>
      <c r="AG38" s="376"/>
      <c r="AH38" s="215"/>
      <c r="AI38" s="215"/>
      <c r="AJ38" s="215"/>
      <c r="AK38" s="389"/>
      <c r="AL38" s="253">
        <f>SUM(I38:AK38)</f>
        <v>182734</v>
      </c>
      <c r="AM38" s="108"/>
      <c r="AN38" s="108"/>
      <c r="AO38" s="108"/>
      <c r="AP38" s="108"/>
      <c r="AQ38" s="108"/>
      <c r="AR38" s="108"/>
      <c r="AS38" s="428"/>
      <c r="AT38" s="121"/>
      <c r="AU38" s="121"/>
      <c r="AV38" s="428"/>
    </row>
    <row r="39" spans="1:48" hidden="1">
      <c r="A39" s="484"/>
      <c r="B39" s="500"/>
      <c r="C39" s="455"/>
      <c r="D39" s="468"/>
      <c r="E39" s="194"/>
      <c r="F39" s="433"/>
      <c r="G39" s="190" t="s">
        <v>37</v>
      </c>
      <c r="H39" s="187" t="s">
        <v>38</v>
      </c>
      <c r="I39" s="212">
        <f>$I$47*2</f>
        <v>30600</v>
      </c>
      <c r="J39" s="212">
        <f>$I$47*2</f>
        <v>30600</v>
      </c>
      <c r="K39" s="212">
        <f>$I$47*2</f>
        <v>30600</v>
      </c>
      <c r="L39" s="376"/>
      <c r="M39" s="212">
        <f>$I$47*2</f>
        <v>30600</v>
      </c>
      <c r="N39" s="212">
        <f>$I$47*2</f>
        <v>30600</v>
      </c>
      <c r="O39" s="212">
        <f>$I$47*2</f>
        <v>30600</v>
      </c>
      <c r="P39" s="376"/>
      <c r="Q39" s="376"/>
      <c r="R39" s="376"/>
      <c r="S39" s="376"/>
      <c r="T39" s="212">
        <f>$I$47*2</f>
        <v>30600</v>
      </c>
      <c r="U39" s="212">
        <f>$I$47*2</f>
        <v>30600</v>
      </c>
      <c r="V39" s="376"/>
      <c r="W39" s="212">
        <f>$I$47*2</f>
        <v>30600</v>
      </c>
      <c r="X39" s="212">
        <f>$I$47*2</f>
        <v>30600</v>
      </c>
      <c r="Y39" s="212">
        <f>$I$47*2</f>
        <v>30600</v>
      </c>
      <c r="Z39" s="376"/>
      <c r="AA39" s="212">
        <f t="shared" ref="AA39:AF39" si="7">$I$47*2</f>
        <v>30600</v>
      </c>
      <c r="AB39" s="212">
        <f t="shared" si="7"/>
        <v>30600</v>
      </c>
      <c r="AC39" s="212">
        <f t="shared" si="7"/>
        <v>30600</v>
      </c>
      <c r="AD39" s="212">
        <f t="shared" si="7"/>
        <v>30600</v>
      </c>
      <c r="AE39" s="212">
        <f t="shared" si="7"/>
        <v>30600</v>
      </c>
      <c r="AF39" s="212">
        <f t="shared" si="7"/>
        <v>30600</v>
      </c>
      <c r="AG39" s="376"/>
      <c r="AH39" s="212">
        <f>$I$47*2</f>
        <v>30600</v>
      </c>
      <c r="AI39" s="212">
        <f>$I$47*2</f>
        <v>30600</v>
      </c>
      <c r="AJ39" s="212">
        <f>$I$47*2</f>
        <v>30600</v>
      </c>
      <c r="AK39" s="388">
        <f>$I$47*2</f>
        <v>30600</v>
      </c>
      <c r="AL39" s="256">
        <f>SUM(I39:AK39)</f>
        <v>642600</v>
      </c>
      <c r="AM39" s="108"/>
      <c r="AN39" s="108"/>
      <c r="AO39" s="108"/>
      <c r="AP39" s="108"/>
      <c r="AQ39" s="108"/>
      <c r="AR39" s="108"/>
      <c r="AS39" s="428"/>
      <c r="AT39" s="121"/>
      <c r="AU39" s="121"/>
      <c r="AV39" s="428"/>
    </row>
    <row r="40" spans="1:48" hidden="1">
      <c r="A40" s="484"/>
      <c r="B40" s="500"/>
      <c r="C40" s="455"/>
      <c r="D40" s="468"/>
      <c r="E40" s="194"/>
      <c r="F40" s="433"/>
      <c r="G40" s="190"/>
      <c r="H40" s="187" t="s">
        <v>20</v>
      </c>
      <c r="I40" s="212">
        <v>4</v>
      </c>
      <c r="J40" s="212">
        <v>4</v>
      </c>
      <c r="K40" s="212">
        <v>4</v>
      </c>
      <c r="L40" s="376"/>
      <c r="M40" s="212">
        <v>4</v>
      </c>
      <c r="N40" s="212">
        <v>4</v>
      </c>
      <c r="O40" s="212">
        <v>4</v>
      </c>
      <c r="P40" s="376"/>
      <c r="Q40" s="376"/>
      <c r="R40" s="376"/>
      <c r="S40" s="376"/>
      <c r="T40" s="212">
        <v>4</v>
      </c>
      <c r="U40" s="212">
        <v>4</v>
      </c>
      <c r="V40" s="376"/>
      <c r="W40" s="212">
        <v>4</v>
      </c>
      <c r="X40" s="212">
        <v>4</v>
      </c>
      <c r="Y40" s="212">
        <v>4</v>
      </c>
      <c r="Z40" s="376"/>
      <c r="AA40" s="212">
        <v>4</v>
      </c>
      <c r="AB40" s="212">
        <v>4</v>
      </c>
      <c r="AC40" s="212">
        <v>4</v>
      </c>
      <c r="AD40" s="212">
        <v>4</v>
      </c>
      <c r="AE40" s="212">
        <v>4</v>
      </c>
      <c r="AF40" s="212">
        <v>4</v>
      </c>
      <c r="AG40" s="376"/>
      <c r="AH40" s="212">
        <v>4</v>
      </c>
      <c r="AI40" s="212">
        <v>4</v>
      </c>
      <c r="AJ40" s="212">
        <v>4</v>
      </c>
      <c r="AK40" s="388">
        <v>4</v>
      </c>
      <c r="AL40" s="256"/>
      <c r="AM40" s="108"/>
      <c r="AN40" s="108"/>
      <c r="AO40" s="108"/>
      <c r="AP40" s="108"/>
      <c r="AQ40" s="108"/>
      <c r="AR40" s="108"/>
      <c r="AS40" s="428"/>
      <c r="AT40" s="121"/>
      <c r="AU40" s="121"/>
      <c r="AV40" s="428"/>
    </row>
    <row r="41" spans="1:48" hidden="1">
      <c r="A41" s="484"/>
      <c r="B41" s="500"/>
      <c r="C41" s="455"/>
      <c r="D41" s="468"/>
      <c r="E41" s="194"/>
      <c r="F41" s="433"/>
      <c r="G41" s="134"/>
      <c r="H41" s="188" t="s">
        <v>15</v>
      </c>
      <c r="I41" s="215">
        <f>5888+6598+6952+6165</f>
        <v>25603</v>
      </c>
      <c r="J41" s="215">
        <v>27203</v>
      </c>
      <c r="K41" s="215">
        <v>21342</v>
      </c>
      <c r="L41" s="376"/>
      <c r="M41" s="215">
        <v>19919</v>
      </c>
      <c r="N41" s="215">
        <f>4161</f>
        <v>4161</v>
      </c>
      <c r="O41" s="215"/>
      <c r="P41" s="376"/>
      <c r="Q41" s="376"/>
      <c r="R41" s="376"/>
      <c r="S41" s="376"/>
      <c r="T41" s="215"/>
      <c r="U41" s="215">
        <v>7779</v>
      </c>
      <c r="V41" s="376"/>
      <c r="W41" s="215">
        <f>6401+6468+6288+6749</f>
        <v>25906</v>
      </c>
      <c r="X41" s="215">
        <v>25964</v>
      </c>
      <c r="Y41" s="215"/>
      <c r="Z41" s="376"/>
      <c r="AA41" s="215"/>
      <c r="AB41" s="215"/>
      <c r="AC41" s="215"/>
      <c r="AD41" s="215"/>
      <c r="AE41" s="215"/>
      <c r="AF41" s="215"/>
      <c r="AG41" s="376"/>
      <c r="AH41" s="215"/>
      <c r="AI41" s="215"/>
      <c r="AJ41" s="215"/>
      <c r="AK41" s="389"/>
      <c r="AL41" s="253">
        <f>SUM(I41:AK41)</f>
        <v>157877</v>
      </c>
      <c r="AM41" s="108"/>
      <c r="AN41" s="108"/>
      <c r="AO41" s="108"/>
      <c r="AP41" s="108"/>
      <c r="AQ41" s="108"/>
      <c r="AR41" s="108"/>
      <c r="AS41" s="428"/>
      <c r="AT41" s="121"/>
      <c r="AU41" s="121"/>
      <c r="AV41" s="428"/>
    </row>
    <row r="42" spans="1:48" hidden="1">
      <c r="A42" s="484"/>
      <c r="B42" s="500"/>
      <c r="C42" s="455"/>
      <c r="D42" s="468"/>
      <c r="E42" s="194"/>
      <c r="F42" s="433"/>
      <c r="G42" s="190" t="s">
        <v>23</v>
      </c>
      <c r="H42" s="187" t="s">
        <v>24</v>
      </c>
      <c r="I42" s="212">
        <f>$K$55*$D$30/2</f>
        <v>15300</v>
      </c>
      <c r="J42" s="212">
        <f>$K$55*$D$30/2</f>
        <v>15300</v>
      </c>
      <c r="K42" s="212">
        <f>$K$55*$D$30/2</f>
        <v>15300</v>
      </c>
      <c r="L42" s="376"/>
      <c r="M42" s="212">
        <f>$K$55*$D$30/2</f>
        <v>15300</v>
      </c>
      <c r="N42" s="212">
        <f>$K$55*$D$30/2</f>
        <v>15300</v>
      </c>
      <c r="O42" s="212">
        <f>$K$55*$D$30/2</f>
        <v>15300</v>
      </c>
      <c r="P42" s="376"/>
      <c r="Q42" s="376"/>
      <c r="R42" s="376"/>
      <c r="S42" s="376"/>
      <c r="T42" s="212">
        <f>$K$55*$D$30/2</f>
        <v>15300</v>
      </c>
      <c r="U42" s="212">
        <f>$K$55*$D$30/2</f>
        <v>15300</v>
      </c>
      <c r="V42" s="376"/>
      <c r="W42" s="212">
        <f>$K$55*$D$30/2</f>
        <v>15300</v>
      </c>
      <c r="X42" s="212">
        <f>$K$55*$D$30/2</f>
        <v>15300</v>
      </c>
      <c r="Y42" s="212">
        <f>$K$55*$D$30/2</f>
        <v>15300</v>
      </c>
      <c r="Z42" s="376"/>
      <c r="AA42" s="212">
        <f t="shared" ref="AA42:AF42" si="8">$K$55*$D$30/2</f>
        <v>15300</v>
      </c>
      <c r="AB42" s="212">
        <f t="shared" si="8"/>
        <v>15300</v>
      </c>
      <c r="AC42" s="212">
        <f t="shared" si="8"/>
        <v>15300</v>
      </c>
      <c r="AD42" s="212">
        <f t="shared" si="8"/>
        <v>15300</v>
      </c>
      <c r="AE42" s="212">
        <f t="shared" si="8"/>
        <v>15300</v>
      </c>
      <c r="AF42" s="212">
        <f t="shared" si="8"/>
        <v>15300</v>
      </c>
      <c r="AG42" s="376"/>
      <c r="AH42" s="212">
        <f>$K$55*$D$30/2</f>
        <v>15300</v>
      </c>
      <c r="AI42" s="212">
        <f>$K$55*$D$30/2</f>
        <v>15300</v>
      </c>
      <c r="AJ42" s="212">
        <f>$K$55*$D$30/2</f>
        <v>15300</v>
      </c>
      <c r="AK42" s="388">
        <f>$K$55*$D$30/2</f>
        <v>15300</v>
      </c>
      <c r="AL42" s="256">
        <f>SUM(I42:AK42)</f>
        <v>321300</v>
      </c>
      <c r="AM42" s="108"/>
      <c r="AN42" s="108"/>
      <c r="AO42" s="108"/>
      <c r="AP42" s="108"/>
      <c r="AQ42" s="108"/>
      <c r="AR42" s="108"/>
      <c r="AS42" s="428"/>
      <c r="AT42" s="121"/>
      <c r="AU42" s="121"/>
      <c r="AV42" s="428"/>
    </row>
    <row r="43" spans="1:48" hidden="1">
      <c r="A43" s="484"/>
      <c r="B43" s="500"/>
      <c r="C43" s="455"/>
      <c r="D43" s="468"/>
      <c r="E43" s="194"/>
      <c r="F43" s="433"/>
      <c r="G43" s="134"/>
      <c r="H43" s="188" t="s">
        <v>15</v>
      </c>
      <c r="I43" s="215">
        <f>16730</f>
        <v>16730</v>
      </c>
      <c r="J43" s="215"/>
      <c r="K43" s="215"/>
      <c r="L43" s="376"/>
      <c r="M43" s="215"/>
      <c r="N43" s="215"/>
      <c r="O43" s="215"/>
      <c r="P43" s="376"/>
      <c r="Q43" s="376"/>
      <c r="R43" s="376"/>
      <c r="S43" s="376"/>
      <c r="T43" s="215"/>
      <c r="U43" s="215">
        <f>11280+23744</f>
        <v>35024</v>
      </c>
      <c r="V43" s="376"/>
      <c r="W43" s="215"/>
      <c r="X43" s="215"/>
      <c r="Y43" s="215"/>
      <c r="Z43" s="376"/>
      <c r="AA43" s="215"/>
      <c r="AB43" s="215"/>
      <c r="AC43" s="215"/>
      <c r="AD43" s="215"/>
      <c r="AE43" s="215"/>
      <c r="AF43" s="215"/>
      <c r="AG43" s="376"/>
      <c r="AH43" s="215"/>
      <c r="AI43" s="215"/>
      <c r="AJ43" s="215"/>
      <c r="AK43" s="389"/>
      <c r="AL43" s="253">
        <f>SUM(I43:AK43)</f>
        <v>51754</v>
      </c>
      <c r="AM43" s="108"/>
      <c r="AN43" s="108"/>
      <c r="AO43" s="108"/>
      <c r="AP43" s="108"/>
      <c r="AQ43" s="108"/>
      <c r="AR43" s="108"/>
      <c r="AS43" s="428"/>
      <c r="AT43" s="121"/>
      <c r="AU43" s="121"/>
      <c r="AV43" s="428"/>
    </row>
    <row r="44" spans="1:48" hidden="1">
      <c r="A44" s="484"/>
      <c r="B44" s="500"/>
      <c r="C44" s="455"/>
      <c r="D44" s="468"/>
      <c r="E44" s="194"/>
      <c r="F44" s="433"/>
      <c r="G44" s="190" t="s">
        <v>25</v>
      </c>
      <c r="H44" s="187" t="s">
        <v>26</v>
      </c>
      <c r="I44" s="212">
        <f>$K$55*$D$30/2</f>
        <v>15300</v>
      </c>
      <c r="J44" s="212">
        <f>$K$55*$D$30/2</f>
        <v>15300</v>
      </c>
      <c r="K44" s="212">
        <f>$K$55*$D$30/2</f>
        <v>15300</v>
      </c>
      <c r="L44" s="376"/>
      <c r="M44" s="212">
        <f>$K$55*$D$30/2</f>
        <v>15300</v>
      </c>
      <c r="N44" s="212">
        <f>$K$55*$D$30/2</f>
        <v>15300</v>
      </c>
      <c r="O44" s="212">
        <f>$K$55*$D$30/2</f>
        <v>15300</v>
      </c>
      <c r="P44" s="376"/>
      <c r="Q44" s="376"/>
      <c r="R44" s="376"/>
      <c r="S44" s="376"/>
      <c r="T44" s="212">
        <f>$K$55*$D$30/2</f>
        <v>15300</v>
      </c>
      <c r="U44" s="212">
        <f>$K$55*$D$30/2</f>
        <v>15300</v>
      </c>
      <c r="V44" s="376"/>
      <c r="W44" s="212">
        <f>$K$55*$D$30/2</f>
        <v>15300</v>
      </c>
      <c r="X44" s="212">
        <f>$K$55*$D$30/2</f>
        <v>15300</v>
      </c>
      <c r="Y44" s="212">
        <f>$K$55*$D$30/2</f>
        <v>15300</v>
      </c>
      <c r="Z44" s="376"/>
      <c r="AA44" s="212">
        <f t="shared" ref="AA44:AF44" si="9">$K$55*$D$30/2</f>
        <v>15300</v>
      </c>
      <c r="AB44" s="212">
        <f t="shared" si="9"/>
        <v>15300</v>
      </c>
      <c r="AC44" s="212">
        <f t="shared" si="9"/>
        <v>15300</v>
      </c>
      <c r="AD44" s="212">
        <f t="shared" si="9"/>
        <v>15300</v>
      </c>
      <c r="AE44" s="212">
        <f t="shared" si="9"/>
        <v>15300</v>
      </c>
      <c r="AF44" s="212">
        <f t="shared" si="9"/>
        <v>15300</v>
      </c>
      <c r="AG44" s="376"/>
      <c r="AH44" s="212">
        <f>$K$55*$D$30/2</f>
        <v>15300</v>
      </c>
      <c r="AI44" s="212">
        <f>$K$55*$D$30/2</f>
        <v>15300</v>
      </c>
      <c r="AJ44" s="212">
        <f>$K$55*$D$30/2</f>
        <v>15300</v>
      </c>
      <c r="AK44" s="388">
        <f>$K$55*$D$30/2</f>
        <v>15300</v>
      </c>
      <c r="AL44" s="256">
        <f>SUM(I44:AK44)</f>
        <v>321300</v>
      </c>
      <c r="AM44" s="108"/>
      <c r="AN44" s="108"/>
      <c r="AO44" s="108"/>
      <c r="AP44" s="108"/>
      <c r="AQ44" s="108"/>
      <c r="AR44" s="108"/>
      <c r="AS44" s="428"/>
      <c r="AT44" s="121"/>
      <c r="AU44" s="121"/>
      <c r="AV44" s="428"/>
    </row>
    <row r="45" spans="1:48" hidden="1">
      <c r="A45" s="484"/>
      <c r="B45" s="500"/>
      <c r="C45" s="455"/>
      <c r="D45" s="468"/>
      <c r="E45" s="194"/>
      <c r="F45" s="433"/>
      <c r="G45" s="190"/>
      <c r="H45" s="187" t="s">
        <v>27</v>
      </c>
      <c r="I45" s="212">
        <v>1</v>
      </c>
      <c r="J45" s="212">
        <v>1</v>
      </c>
      <c r="K45" s="212">
        <v>1</v>
      </c>
      <c r="L45" s="376"/>
      <c r="M45" s="212">
        <v>1</v>
      </c>
      <c r="N45" s="212">
        <v>1</v>
      </c>
      <c r="O45" s="212">
        <v>1</v>
      </c>
      <c r="P45" s="376"/>
      <c r="Q45" s="376"/>
      <c r="R45" s="376"/>
      <c r="S45" s="376"/>
      <c r="T45" s="212">
        <v>1</v>
      </c>
      <c r="U45" s="212">
        <v>1</v>
      </c>
      <c r="V45" s="376"/>
      <c r="W45" s="212">
        <v>1</v>
      </c>
      <c r="X45" s="212">
        <v>1</v>
      </c>
      <c r="Y45" s="212">
        <v>1</v>
      </c>
      <c r="Z45" s="376"/>
      <c r="AA45" s="212">
        <v>1</v>
      </c>
      <c r="AB45" s="212">
        <v>1</v>
      </c>
      <c r="AC45" s="212">
        <v>1</v>
      </c>
      <c r="AD45" s="212">
        <v>1</v>
      </c>
      <c r="AE45" s="212">
        <v>1</v>
      </c>
      <c r="AF45" s="212">
        <v>1</v>
      </c>
      <c r="AG45" s="376"/>
      <c r="AH45" s="212">
        <v>1</v>
      </c>
      <c r="AI45" s="212">
        <v>1</v>
      </c>
      <c r="AJ45" s="212">
        <v>1</v>
      </c>
      <c r="AK45" s="388">
        <v>1</v>
      </c>
      <c r="AL45" s="256"/>
      <c r="AM45" s="108"/>
      <c r="AN45" s="108"/>
      <c r="AO45" s="108"/>
      <c r="AP45" s="108"/>
      <c r="AQ45" s="108"/>
      <c r="AR45" s="108"/>
      <c r="AS45" s="428"/>
      <c r="AT45" s="121"/>
      <c r="AU45" s="121"/>
      <c r="AV45" s="428"/>
    </row>
    <row r="46" spans="1:48" hidden="1">
      <c r="A46" s="484"/>
      <c r="B46" s="500"/>
      <c r="C46" s="455"/>
      <c r="D46" s="468"/>
      <c r="E46" s="194"/>
      <c r="F46" s="433"/>
      <c r="G46" s="197"/>
      <c r="H46" s="188" t="s">
        <v>15</v>
      </c>
      <c r="I46" s="215">
        <f>15130</f>
        <v>15130</v>
      </c>
      <c r="J46" s="215">
        <f>27685</f>
        <v>27685</v>
      </c>
      <c r="K46" s="215">
        <f>25905</f>
        <v>25905</v>
      </c>
      <c r="L46" s="376"/>
      <c r="M46" s="215">
        <f>25905</f>
        <v>25905</v>
      </c>
      <c r="N46" s="215"/>
      <c r="O46" s="215">
        <f>26779</f>
        <v>26779</v>
      </c>
      <c r="P46" s="376"/>
      <c r="Q46" s="376"/>
      <c r="R46" s="376"/>
      <c r="S46" s="376"/>
      <c r="T46" s="215"/>
      <c r="U46" s="215">
        <f>19530</f>
        <v>19530</v>
      </c>
      <c r="V46" s="376"/>
      <c r="W46" s="215"/>
      <c r="X46" s="215"/>
      <c r="Y46" s="215"/>
      <c r="Z46" s="376"/>
      <c r="AA46" s="215"/>
      <c r="AB46" s="215"/>
      <c r="AC46" s="215"/>
      <c r="AD46" s="215"/>
      <c r="AE46" s="215"/>
      <c r="AF46" s="215"/>
      <c r="AG46" s="376"/>
      <c r="AH46" s="215"/>
      <c r="AI46" s="215"/>
      <c r="AJ46" s="215"/>
      <c r="AK46" s="389"/>
      <c r="AL46" s="253">
        <f>SUM(I46:AK46)</f>
        <v>140934</v>
      </c>
      <c r="AM46" s="108"/>
      <c r="AN46" s="108"/>
      <c r="AO46" s="108"/>
      <c r="AP46" s="108"/>
      <c r="AQ46" s="108"/>
      <c r="AR46" s="108"/>
      <c r="AS46" s="428"/>
      <c r="AT46" s="121"/>
      <c r="AU46" s="121"/>
      <c r="AV46" s="428"/>
    </row>
    <row r="47" spans="1:48" hidden="1">
      <c r="A47" s="484"/>
      <c r="B47" s="500"/>
      <c r="C47" s="455"/>
      <c r="D47" s="468"/>
      <c r="E47" s="194"/>
      <c r="F47" s="433"/>
      <c r="G47" s="190" t="s">
        <v>28</v>
      </c>
      <c r="H47" s="187" t="s">
        <v>29</v>
      </c>
      <c r="I47" s="212">
        <f>$K$55*$D$30/2</f>
        <v>15300</v>
      </c>
      <c r="J47" s="212">
        <f>$K$55*$D$30/2</f>
        <v>15300</v>
      </c>
      <c r="K47" s="212">
        <f>$K$55*$D$30/2</f>
        <v>15300</v>
      </c>
      <c r="L47" s="376"/>
      <c r="M47" s="212">
        <f>$K$55*$D$30/2</f>
        <v>15300</v>
      </c>
      <c r="N47" s="212">
        <f>$K$55*$D$30/2</f>
        <v>15300</v>
      </c>
      <c r="O47" s="212">
        <f>$K$55*$D$30/2</f>
        <v>15300</v>
      </c>
      <c r="P47" s="376"/>
      <c r="Q47" s="376"/>
      <c r="R47" s="376"/>
      <c r="S47" s="376"/>
      <c r="T47" s="212">
        <f>$K$55*$D$30/2</f>
        <v>15300</v>
      </c>
      <c r="U47" s="212">
        <f>$K$55*$D$30/2</f>
        <v>15300</v>
      </c>
      <c r="V47" s="376"/>
      <c r="W47" s="212">
        <f>$K$55*$D$30/2</f>
        <v>15300</v>
      </c>
      <c r="X47" s="212">
        <f>$K$55*$D$30/2</f>
        <v>15300</v>
      </c>
      <c r="Y47" s="212">
        <f>$K$55*$D$30/2</f>
        <v>15300</v>
      </c>
      <c r="Z47" s="376"/>
      <c r="AA47" s="212">
        <f t="shared" ref="AA47:AF47" si="10">$K$55*$D$30/2</f>
        <v>15300</v>
      </c>
      <c r="AB47" s="212">
        <f t="shared" si="10"/>
        <v>15300</v>
      </c>
      <c r="AC47" s="212">
        <f t="shared" si="10"/>
        <v>15300</v>
      </c>
      <c r="AD47" s="212">
        <f t="shared" si="10"/>
        <v>15300</v>
      </c>
      <c r="AE47" s="212">
        <f t="shared" si="10"/>
        <v>15300</v>
      </c>
      <c r="AF47" s="212">
        <f t="shared" si="10"/>
        <v>15300</v>
      </c>
      <c r="AG47" s="376"/>
      <c r="AH47" s="212">
        <f>$K$55*$D$30/2</f>
        <v>15300</v>
      </c>
      <c r="AI47" s="212">
        <f>$K$55*$D$30/2</f>
        <v>15300</v>
      </c>
      <c r="AJ47" s="212">
        <f>$K$55*$D$30/2</f>
        <v>15300</v>
      </c>
      <c r="AK47" s="388">
        <f>$K$55*$D$30/2</f>
        <v>15300</v>
      </c>
      <c r="AL47" s="256">
        <f>SUM(I47:AK47)</f>
        <v>321300</v>
      </c>
      <c r="AM47" s="108"/>
      <c r="AN47" s="108"/>
      <c r="AO47" s="108"/>
      <c r="AP47" s="108"/>
      <c r="AQ47" s="108"/>
      <c r="AR47" s="108"/>
      <c r="AS47" s="428"/>
      <c r="AT47" s="121"/>
      <c r="AU47" s="121"/>
      <c r="AV47" s="428"/>
    </row>
    <row r="48" spans="1:48" hidden="1">
      <c r="A48" s="484"/>
      <c r="B48" s="500"/>
      <c r="C48" s="455"/>
      <c r="D48" s="468"/>
      <c r="E48" s="194"/>
      <c r="F48" s="433"/>
      <c r="G48" s="134"/>
      <c r="H48" s="188" t="s">
        <v>15</v>
      </c>
      <c r="I48" s="215">
        <f>41155</f>
        <v>41155</v>
      </c>
      <c r="J48" s="215">
        <f>45917</f>
        <v>45917</v>
      </c>
      <c r="K48" s="215"/>
      <c r="L48" s="376"/>
      <c r="M48" s="215"/>
      <c r="N48" s="215"/>
      <c r="O48" s="215"/>
      <c r="P48" s="376"/>
      <c r="Q48" s="376"/>
      <c r="R48" s="376"/>
      <c r="S48" s="376"/>
      <c r="T48" s="215"/>
      <c r="U48" s="215"/>
      <c r="V48" s="376"/>
      <c r="W48" s="215"/>
      <c r="X48" s="215"/>
      <c r="Y48" s="215"/>
      <c r="Z48" s="376"/>
      <c r="AA48" s="215"/>
      <c r="AB48" s="215"/>
      <c r="AC48" s="215"/>
      <c r="AD48" s="215"/>
      <c r="AE48" s="215"/>
      <c r="AF48" s="215"/>
      <c r="AG48" s="376"/>
      <c r="AH48" s="215"/>
      <c r="AI48" s="215"/>
      <c r="AJ48" s="215"/>
      <c r="AK48" s="389"/>
      <c r="AL48" s="253">
        <f>SUM(I48:AK48)</f>
        <v>87072</v>
      </c>
      <c r="AM48" s="108"/>
      <c r="AN48" s="108"/>
      <c r="AO48" s="108"/>
      <c r="AP48" s="108"/>
      <c r="AQ48" s="108"/>
      <c r="AR48" s="108"/>
      <c r="AS48" s="428"/>
      <c r="AT48" s="121"/>
      <c r="AU48" s="121"/>
      <c r="AV48" s="428"/>
    </row>
    <row r="49" spans="1:48" hidden="1">
      <c r="A49" s="484"/>
      <c r="B49" s="500"/>
      <c r="C49" s="455"/>
      <c r="D49" s="468"/>
      <c r="E49" s="194"/>
      <c r="F49" s="433"/>
      <c r="G49" s="190" t="s">
        <v>39</v>
      </c>
      <c r="H49" s="187" t="s">
        <v>40</v>
      </c>
      <c r="I49" s="212">
        <f>$K$55*$D$30/2</f>
        <v>15300</v>
      </c>
      <c r="J49" s="212">
        <f>$K$55*$D$30/2</f>
        <v>15300</v>
      </c>
      <c r="K49" s="212">
        <f>$K$55*$D$30/2</f>
        <v>15300</v>
      </c>
      <c r="L49" s="376"/>
      <c r="M49" s="212">
        <f>$K$55*$D$30/2</f>
        <v>15300</v>
      </c>
      <c r="N49" s="212">
        <f>$K$55*$D$30/2</f>
        <v>15300</v>
      </c>
      <c r="O49" s="212">
        <f>$K$55*$D$30/2</f>
        <v>15300</v>
      </c>
      <c r="P49" s="376"/>
      <c r="Q49" s="376"/>
      <c r="R49" s="376"/>
      <c r="S49" s="376"/>
      <c r="T49" s="212">
        <f>$K$55*$D$30/2</f>
        <v>15300</v>
      </c>
      <c r="U49" s="212">
        <f>$K$55*$D$30/2</f>
        <v>15300</v>
      </c>
      <c r="V49" s="376"/>
      <c r="W49" s="212">
        <f>$K$55*$D$30/2</f>
        <v>15300</v>
      </c>
      <c r="X49" s="212">
        <f>$K$55*$D$30/2</f>
        <v>15300</v>
      </c>
      <c r="Y49" s="212">
        <f>$K$55*$D$30/2</f>
        <v>15300</v>
      </c>
      <c r="Z49" s="376"/>
      <c r="AA49" s="212">
        <f t="shared" ref="AA49:AF49" si="11">$K$55*$D$30/2</f>
        <v>15300</v>
      </c>
      <c r="AB49" s="212">
        <f t="shared" si="11"/>
        <v>15300</v>
      </c>
      <c r="AC49" s="212">
        <f t="shared" si="11"/>
        <v>15300</v>
      </c>
      <c r="AD49" s="212">
        <f t="shared" si="11"/>
        <v>15300</v>
      </c>
      <c r="AE49" s="212">
        <f t="shared" si="11"/>
        <v>15300</v>
      </c>
      <c r="AF49" s="212">
        <f t="shared" si="11"/>
        <v>15300</v>
      </c>
      <c r="AG49" s="376"/>
      <c r="AH49" s="212">
        <f>$K$55*$D$30/2</f>
        <v>15300</v>
      </c>
      <c r="AI49" s="212">
        <f>$K$55*$D$30/2</f>
        <v>15300</v>
      </c>
      <c r="AJ49" s="212">
        <f>$K$55*$D$30/2</f>
        <v>15300</v>
      </c>
      <c r="AK49" s="388">
        <f>$K$55*$D$30/2</f>
        <v>15300</v>
      </c>
      <c r="AL49" s="256">
        <f>SUM(I49:AK49)</f>
        <v>321300</v>
      </c>
      <c r="AM49" s="108"/>
      <c r="AN49" s="108"/>
      <c r="AO49" s="108"/>
      <c r="AP49" s="108"/>
      <c r="AQ49" s="108"/>
      <c r="AR49" s="108"/>
      <c r="AS49" s="428"/>
      <c r="AT49" s="121"/>
      <c r="AU49" s="121"/>
      <c r="AV49" s="428"/>
    </row>
    <row r="50" spans="1:48" hidden="1">
      <c r="A50" s="484"/>
      <c r="B50" s="500"/>
      <c r="C50" s="455"/>
      <c r="D50" s="468"/>
      <c r="E50" s="194"/>
      <c r="F50" s="433"/>
      <c r="G50" s="190"/>
      <c r="H50" s="187" t="s">
        <v>27</v>
      </c>
      <c r="I50" s="212">
        <v>1</v>
      </c>
      <c r="J50" s="212">
        <v>1</v>
      </c>
      <c r="K50" s="212">
        <v>1</v>
      </c>
      <c r="L50" s="376"/>
      <c r="M50" s="212">
        <v>1</v>
      </c>
      <c r="N50" s="212">
        <v>1</v>
      </c>
      <c r="O50" s="212">
        <v>1</v>
      </c>
      <c r="P50" s="376"/>
      <c r="Q50" s="376"/>
      <c r="R50" s="376"/>
      <c r="S50" s="376"/>
      <c r="T50" s="212">
        <v>1</v>
      </c>
      <c r="U50" s="212">
        <v>1</v>
      </c>
      <c r="V50" s="376"/>
      <c r="W50" s="212">
        <v>1</v>
      </c>
      <c r="X50" s="212">
        <v>1</v>
      </c>
      <c r="Y50" s="212">
        <v>1</v>
      </c>
      <c r="Z50" s="376"/>
      <c r="AA50" s="212">
        <v>1</v>
      </c>
      <c r="AB50" s="212">
        <v>1</v>
      </c>
      <c r="AC50" s="212">
        <v>1</v>
      </c>
      <c r="AD50" s="212">
        <v>1</v>
      </c>
      <c r="AE50" s="212">
        <v>1</v>
      </c>
      <c r="AF50" s="212">
        <v>1</v>
      </c>
      <c r="AG50" s="376"/>
      <c r="AH50" s="212">
        <v>1</v>
      </c>
      <c r="AI50" s="212">
        <v>1</v>
      </c>
      <c r="AJ50" s="212">
        <v>1</v>
      </c>
      <c r="AK50" s="388">
        <v>1</v>
      </c>
      <c r="AL50" s="256"/>
      <c r="AM50" s="267"/>
      <c r="AN50" s="267"/>
      <c r="AO50" s="267"/>
      <c r="AP50" s="428"/>
      <c r="AQ50" s="108"/>
      <c r="AR50" s="108"/>
      <c r="AS50" s="428"/>
      <c r="AT50" s="121"/>
      <c r="AU50" s="121"/>
      <c r="AV50" s="428"/>
    </row>
    <row r="51" spans="1:48" hidden="1">
      <c r="A51" s="484"/>
      <c r="B51" s="500"/>
      <c r="C51" s="455"/>
      <c r="D51" s="468"/>
      <c r="E51" s="194"/>
      <c r="F51" s="433"/>
      <c r="G51" s="134"/>
      <c r="H51" s="188" t="s">
        <v>15</v>
      </c>
      <c r="I51" s="215"/>
      <c r="J51" s="215"/>
      <c r="K51" s="215"/>
      <c r="L51" s="376"/>
      <c r="M51" s="215"/>
      <c r="N51" s="215">
        <f>23609</f>
        <v>23609</v>
      </c>
      <c r="O51" s="215">
        <f>33783</f>
        <v>33783</v>
      </c>
      <c r="P51" s="376"/>
      <c r="Q51" s="376"/>
      <c r="R51" s="376"/>
      <c r="S51" s="376"/>
      <c r="T51" s="215"/>
      <c r="U51" s="215"/>
      <c r="V51" s="376"/>
      <c r="W51" s="215"/>
      <c r="X51" s="215"/>
      <c r="Y51" s="215"/>
      <c r="Z51" s="376"/>
      <c r="AA51" s="215"/>
      <c r="AB51" s="215"/>
      <c r="AC51" s="215"/>
      <c r="AD51" s="215"/>
      <c r="AE51" s="215"/>
      <c r="AF51" s="215"/>
      <c r="AG51" s="376"/>
      <c r="AH51" s="215"/>
      <c r="AI51" s="215"/>
      <c r="AJ51" s="215"/>
      <c r="AK51" s="389"/>
      <c r="AL51" s="253">
        <f>SUM(I51:AK51)</f>
        <v>57392</v>
      </c>
      <c r="AM51" s="267"/>
      <c r="AN51" s="267"/>
      <c r="AO51" s="267"/>
      <c r="AP51" s="428"/>
      <c r="AQ51" s="108"/>
      <c r="AR51" s="108"/>
      <c r="AS51" s="428"/>
      <c r="AT51" s="121"/>
      <c r="AU51" s="121"/>
      <c r="AV51" s="428"/>
    </row>
    <row r="52" spans="1:48" hidden="1">
      <c r="A52" s="484"/>
      <c r="B52" s="500"/>
      <c r="C52" s="455"/>
      <c r="D52" s="468"/>
      <c r="E52" s="194"/>
      <c r="F52" s="433"/>
      <c r="G52" s="190"/>
      <c r="H52" s="187" t="s">
        <v>30</v>
      </c>
      <c r="I52" s="212">
        <f>$K$55*$D$30/2</f>
        <v>15300</v>
      </c>
      <c r="J52" s="212">
        <f>$K$55*$D$30/2</f>
        <v>15300</v>
      </c>
      <c r="K52" s="212">
        <f>$K$55*$D$30/2</f>
        <v>15300</v>
      </c>
      <c r="L52" s="376"/>
      <c r="M52" s="212">
        <f>$K$55*$D$30/2</f>
        <v>15300</v>
      </c>
      <c r="N52" s="212">
        <f>$K$55*$D$30/2</f>
        <v>15300</v>
      </c>
      <c r="O52" s="212">
        <f>$K$55*$D$30/2</f>
        <v>15300</v>
      </c>
      <c r="P52" s="376"/>
      <c r="Q52" s="376"/>
      <c r="R52" s="376"/>
      <c r="S52" s="376"/>
      <c r="T52" s="212">
        <f>$K$55*$D$30/2</f>
        <v>15300</v>
      </c>
      <c r="U52" s="212">
        <f>$K$55*$D$30/2</f>
        <v>15300</v>
      </c>
      <c r="V52" s="376"/>
      <c r="W52" s="212">
        <f>$K$55*$D$30/2</f>
        <v>15300</v>
      </c>
      <c r="X52" s="212">
        <f>$K$55*$D$30/2</f>
        <v>15300</v>
      </c>
      <c r="Y52" s="212">
        <f>$K$55*$D$30/2</f>
        <v>15300</v>
      </c>
      <c r="Z52" s="376"/>
      <c r="AA52" s="212">
        <f t="shared" ref="AA52:AF52" si="12">$K$55*$D$30/2</f>
        <v>15300</v>
      </c>
      <c r="AB52" s="212">
        <f t="shared" si="12"/>
        <v>15300</v>
      </c>
      <c r="AC52" s="212">
        <f t="shared" si="12"/>
        <v>15300</v>
      </c>
      <c r="AD52" s="212">
        <f t="shared" si="12"/>
        <v>15300</v>
      </c>
      <c r="AE52" s="212">
        <f t="shared" si="12"/>
        <v>15300</v>
      </c>
      <c r="AF52" s="212">
        <f t="shared" si="12"/>
        <v>15300</v>
      </c>
      <c r="AG52" s="376"/>
      <c r="AH52" s="212">
        <f>$K$55*$D$30/2</f>
        <v>15300</v>
      </c>
      <c r="AI52" s="212">
        <f>$K$55*$D$30/2</f>
        <v>15300</v>
      </c>
      <c r="AJ52" s="212">
        <f>$K$55*$D$30/2</f>
        <v>15300</v>
      </c>
      <c r="AK52" s="388">
        <f>$K$55*$D$30/2</f>
        <v>15300</v>
      </c>
      <c r="AL52" s="256">
        <f>SUM(I52:AK52)</f>
        <v>321300</v>
      </c>
      <c r="AM52" s="267"/>
      <c r="AN52" s="267"/>
      <c r="AO52" s="267"/>
      <c r="AP52" s="428"/>
      <c r="AQ52" s="108"/>
      <c r="AR52" s="108"/>
      <c r="AS52" s="428"/>
      <c r="AT52" s="121"/>
      <c r="AU52" s="121"/>
      <c r="AV52" s="428"/>
    </row>
    <row r="53" spans="1:48" hidden="1">
      <c r="A53" s="484"/>
      <c r="B53" s="500"/>
      <c r="C53" s="455"/>
      <c r="D53" s="468"/>
      <c r="E53" s="194"/>
      <c r="F53" s="433"/>
      <c r="G53" s="190"/>
      <c r="H53" s="187" t="s">
        <v>31</v>
      </c>
      <c r="I53" s="212">
        <v>1</v>
      </c>
      <c r="J53" s="212">
        <v>1</v>
      </c>
      <c r="K53" s="212">
        <v>1</v>
      </c>
      <c r="L53" s="376"/>
      <c r="M53" s="212">
        <v>1</v>
      </c>
      <c r="N53" s="212">
        <v>1</v>
      </c>
      <c r="O53" s="212">
        <v>1</v>
      </c>
      <c r="P53" s="376"/>
      <c r="Q53" s="376"/>
      <c r="R53" s="376"/>
      <c r="S53" s="376"/>
      <c r="T53" s="212">
        <v>1</v>
      </c>
      <c r="U53" s="212">
        <v>1</v>
      </c>
      <c r="V53" s="376"/>
      <c r="W53" s="215">
        <v>1</v>
      </c>
      <c r="X53" s="215">
        <v>1</v>
      </c>
      <c r="Y53" s="215">
        <v>1</v>
      </c>
      <c r="Z53" s="376"/>
      <c r="AA53" s="212">
        <v>1</v>
      </c>
      <c r="AB53" s="212">
        <v>1</v>
      </c>
      <c r="AC53" s="212">
        <v>1</v>
      </c>
      <c r="AD53" s="212">
        <v>1</v>
      </c>
      <c r="AE53" s="212">
        <v>1</v>
      </c>
      <c r="AF53" s="212">
        <v>1</v>
      </c>
      <c r="AG53" s="376"/>
      <c r="AH53" s="212">
        <v>1</v>
      </c>
      <c r="AI53" s="212">
        <v>1</v>
      </c>
      <c r="AJ53" s="212">
        <v>1</v>
      </c>
      <c r="AK53" s="388">
        <v>1</v>
      </c>
      <c r="AL53" s="256"/>
      <c r="AM53" s="267"/>
      <c r="AN53" s="267"/>
      <c r="AO53" s="267"/>
      <c r="AP53" s="428"/>
      <c r="AQ53" s="108"/>
      <c r="AR53" s="108"/>
      <c r="AS53" s="428"/>
      <c r="AT53" s="121"/>
      <c r="AU53" s="121"/>
      <c r="AV53" s="428"/>
    </row>
    <row r="54" spans="1:48" hidden="1">
      <c r="A54" s="484"/>
      <c r="B54" s="500"/>
      <c r="C54" s="455"/>
      <c r="D54" s="468"/>
      <c r="E54" s="194"/>
      <c r="F54" s="433"/>
      <c r="G54" s="134"/>
      <c r="H54" s="188" t="s">
        <v>15</v>
      </c>
      <c r="I54" s="215">
        <f>2180+4000+510+3646</f>
        <v>10336</v>
      </c>
      <c r="J54" s="215">
        <f>864+3537+4510+1309</f>
        <v>10220</v>
      </c>
      <c r="K54" s="215">
        <f>3200+3203+2056</f>
        <v>8459</v>
      </c>
      <c r="L54" s="376"/>
      <c r="M54" s="215">
        <f>2735+3624+4463+1775</f>
        <v>12597</v>
      </c>
      <c r="N54" s="215">
        <f>895+3143+1365+4480</f>
        <v>9883</v>
      </c>
      <c r="O54" s="215">
        <f>750+1746+30+3832</f>
        <v>6358</v>
      </c>
      <c r="P54" s="376"/>
      <c r="Q54" s="376"/>
      <c r="R54" s="376"/>
      <c r="S54" s="376"/>
      <c r="T54" s="215">
        <f>2768+2062+1197+2933</f>
        <v>8960</v>
      </c>
      <c r="U54" s="215">
        <f>2909+1004+3664+1599</f>
        <v>9176</v>
      </c>
      <c r="V54" s="376"/>
      <c r="W54" s="215">
        <f>2503+2004+3107+2009</f>
        <v>9623</v>
      </c>
      <c r="X54" s="215"/>
      <c r="Y54" s="215"/>
      <c r="Z54" s="376"/>
      <c r="AA54" s="215"/>
      <c r="AB54" s="215"/>
      <c r="AC54" s="215"/>
      <c r="AD54" s="215"/>
      <c r="AE54" s="215"/>
      <c r="AF54" s="215"/>
      <c r="AG54" s="376"/>
      <c r="AH54" s="215"/>
      <c r="AI54" s="215"/>
      <c r="AJ54" s="215"/>
      <c r="AK54" s="389"/>
      <c r="AL54" s="253">
        <f>SUM(I54:AK54)</f>
        <v>85612</v>
      </c>
      <c r="AM54" s="267"/>
      <c r="AN54" s="267"/>
      <c r="AO54" s="267"/>
      <c r="AP54" s="428"/>
      <c r="AQ54" s="108"/>
      <c r="AR54" s="108"/>
      <c r="AS54" s="428"/>
      <c r="AT54" s="121"/>
      <c r="AU54" s="121"/>
      <c r="AV54" s="428"/>
    </row>
    <row r="55" spans="1:48" hidden="1">
      <c r="A55" s="484"/>
      <c r="B55" s="500"/>
      <c r="C55" s="455"/>
      <c r="D55" s="468"/>
      <c r="E55" s="194"/>
      <c r="F55" s="433"/>
      <c r="G55" s="190"/>
      <c r="H55" s="187" t="s">
        <v>32</v>
      </c>
      <c r="I55" s="212"/>
      <c r="J55" s="212"/>
      <c r="K55" s="212">
        <f>($C$30*2)</f>
        <v>24000</v>
      </c>
      <c r="L55" s="376"/>
      <c r="M55" s="212"/>
      <c r="N55" s="212">
        <f>($C$30*2)</f>
        <v>24000</v>
      </c>
      <c r="O55" s="212"/>
      <c r="P55" s="376"/>
      <c r="Q55" s="376"/>
      <c r="R55" s="376"/>
      <c r="S55" s="376"/>
      <c r="T55" s="212">
        <f>($C$30*2)</f>
        <v>24000</v>
      </c>
      <c r="U55" s="212"/>
      <c r="V55" s="376"/>
      <c r="W55" s="212">
        <f>($C$30*2)</f>
        <v>24000</v>
      </c>
      <c r="X55" s="190"/>
      <c r="Y55" s="212">
        <f>($C$30*2)</f>
        <v>24000</v>
      </c>
      <c r="Z55" s="376"/>
      <c r="AA55" s="212"/>
      <c r="AB55" s="212">
        <f>($C$30*2)</f>
        <v>24000</v>
      </c>
      <c r="AC55" s="212"/>
      <c r="AD55" s="212">
        <f>($C$30*2)</f>
        <v>24000</v>
      </c>
      <c r="AE55" s="190"/>
      <c r="AF55" s="212">
        <f>($C$30*2)</f>
        <v>24000</v>
      </c>
      <c r="AG55" s="376"/>
      <c r="AH55" s="212"/>
      <c r="AI55" s="212">
        <f>($C$30*2)</f>
        <v>24000</v>
      </c>
      <c r="AJ55" s="212"/>
      <c r="AK55" s="388">
        <f>($C$30*2)</f>
        <v>24000</v>
      </c>
      <c r="AL55" s="256">
        <f>SUM(I55:AK55)</f>
        <v>240000</v>
      </c>
      <c r="AM55" s="267"/>
      <c r="AN55" s="267"/>
      <c r="AO55" s="267"/>
      <c r="AP55" s="428"/>
      <c r="AQ55" s="108"/>
      <c r="AR55" s="108"/>
      <c r="AS55" s="428"/>
      <c r="AT55" s="121"/>
      <c r="AU55" s="121"/>
      <c r="AV55" s="428"/>
    </row>
    <row r="56" spans="1:48" hidden="1">
      <c r="A56" s="484"/>
      <c r="B56" s="500"/>
      <c r="C56" s="455"/>
      <c r="D56" s="468"/>
      <c r="E56" s="194"/>
      <c r="F56" s="433"/>
      <c r="G56" s="190"/>
      <c r="H56" s="187" t="s">
        <v>33</v>
      </c>
      <c r="I56" s="212"/>
      <c r="J56" s="212"/>
      <c r="K56" s="233">
        <v>1</v>
      </c>
      <c r="L56" s="376"/>
      <c r="M56" s="212"/>
      <c r="N56" s="233">
        <v>1</v>
      </c>
      <c r="O56" s="212"/>
      <c r="P56" s="376"/>
      <c r="Q56" s="376"/>
      <c r="R56" s="376"/>
      <c r="S56" s="376"/>
      <c r="T56" s="233">
        <v>1</v>
      </c>
      <c r="U56" s="212"/>
      <c r="V56" s="376"/>
      <c r="W56" s="233">
        <v>1</v>
      </c>
      <c r="X56" s="190"/>
      <c r="Y56" s="233">
        <v>1</v>
      </c>
      <c r="Z56" s="376"/>
      <c r="AA56" s="212"/>
      <c r="AB56" s="233">
        <v>1</v>
      </c>
      <c r="AC56" s="212"/>
      <c r="AD56" s="233">
        <v>1</v>
      </c>
      <c r="AE56" s="190"/>
      <c r="AF56" s="233">
        <v>1</v>
      </c>
      <c r="AG56" s="376"/>
      <c r="AH56" s="212"/>
      <c r="AI56" s="233">
        <v>1</v>
      </c>
      <c r="AJ56" s="212"/>
      <c r="AK56" s="395">
        <v>1</v>
      </c>
      <c r="AL56" s="256"/>
      <c r="AM56" s="267"/>
      <c r="AN56" s="267"/>
      <c r="AO56" s="267"/>
      <c r="AP56" s="428"/>
      <c r="AQ56" s="108"/>
      <c r="AR56" s="108"/>
      <c r="AS56" s="428"/>
      <c r="AT56" s="121"/>
      <c r="AU56" s="121"/>
      <c r="AV56" s="428"/>
    </row>
    <row r="57" spans="1:48" hidden="1">
      <c r="A57" s="485"/>
      <c r="B57" s="500"/>
      <c r="C57" s="462"/>
      <c r="D57" s="468"/>
      <c r="E57" s="194"/>
      <c r="F57" s="433"/>
      <c r="G57" s="195"/>
      <c r="H57" s="196" t="s">
        <v>15</v>
      </c>
      <c r="I57" s="226"/>
      <c r="J57" s="226">
        <f>5800+6000+9632+5646</f>
        <v>27078</v>
      </c>
      <c r="K57" s="14"/>
      <c r="L57" s="380"/>
      <c r="M57" s="226"/>
      <c r="N57" s="226">
        <f>15783+4500</f>
        <v>20283</v>
      </c>
      <c r="O57" s="226"/>
      <c r="P57" s="380"/>
      <c r="Q57" s="380"/>
      <c r="R57" s="380"/>
      <c r="S57" s="380"/>
      <c r="T57" s="226">
        <f>7500+5899</f>
        <v>13399</v>
      </c>
      <c r="U57" s="226"/>
      <c r="V57" s="380"/>
      <c r="W57" s="226"/>
      <c r="X57" s="226"/>
      <c r="Y57" s="226">
        <v>12527</v>
      </c>
      <c r="Z57" s="380"/>
      <c r="AA57" s="226"/>
      <c r="AB57" s="226"/>
      <c r="AC57" s="226"/>
      <c r="AD57" s="226"/>
      <c r="AE57" s="226"/>
      <c r="AF57" s="226"/>
      <c r="AG57" s="380"/>
      <c r="AH57" s="226"/>
      <c r="AI57" s="226"/>
      <c r="AJ57" s="226"/>
      <c r="AK57" s="396"/>
      <c r="AL57" s="264">
        <f>SUM(I57:AK57)</f>
        <v>73287</v>
      </c>
      <c r="AM57" s="267"/>
      <c r="AN57" s="267"/>
      <c r="AO57" s="267"/>
      <c r="AP57" s="428"/>
      <c r="AQ57" s="108"/>
      <c r="AR57" s="108"/>
      <c r="AS57" s="428"/>
      <c r="AT57" s="121"/>
      <c r="AU57" s="121"/>
      <c r="AV57" s="428"/>
    </row>
    <row r="58" spans="1:48" ht="15" hidden="1" customHeight="1">
      <c r="A58" s="486" t="s">
        <v>41</v>
      </c>
      <c r="B58" s="486" t="s">
        <v>42</v>
      </c>
      <c r="C58" s="455">
        <v>2500</v>
      </c>
      <c r="D58" s="469">
        <v>1.59</v>
      </c>
      <c r="E58" s="443"/>
      <c r="F58" s="455" t="s">
        <v>43</v>
      </c>
      <c r="G58" s="134">
        <v>0.08</v>
      </c>
      <c r="H58" s="187" t="s">
        <v>12</v>
      </c>
      <c r="I58" s="229">
        <v>43.82</v>
      </c>
      <c r="J58" s="229">
        <v>43.82</v>
      </c>
      <c r="K58" s="229">
        <v>43.82</v>
      </c>
      <c r="L58" s="376"/>
      <c r="M58" s="229">
        <v>43.82</v>
      </c>
      <c r="N58" s="229">
        <v>43.82</v>
      </c>
      <c r="O58" s="229">
        <v>43.82</v>
      </c>
      <c r="P58" s="376"/>
      <c r="Q58" s="376"/>
      <c r="R58" s="376"/>
      <c r="S58" s="376"/>
      <c r="T58" s="229">
        <v>43.82</v>
      </c>
      <c r="U58" s="229">
        <v>43.82</v>
      </c>
      <c r="V58" s="376"/>
      <c r="W58" s="229">
        <v>43.82</v>
      </c>
      <c r="X58" s="229">
        <v>43.82</v>
      </c>
      <c r="Y58" s="229">
        <v>43.82</v>
      </c>
      <c r="Z58" s="376"/>
      <c r="AA58" s="229">
        <v>43.82</v>
      </c>
      <c r="AB58" s="229">
        <v>43.82</v>
      </c>
      <c r="AC58" s="229">
        <v>43.82</v>
      </c>
      <c r="AD58" s="229">
        <v>43.82</v>
      </c>
      <c r="AE58" s="229">
        <v>43.82</v>
      </c>
      <c r="AF58" s="229">
        <v>43.82</v>
      </c>
      <c r="AG58" s="376"/>
      <c r="AH58" s="229">
        <v>43.82</v>
      </c>
      <c r="AI58" s="229">
        <v>43.82</v>
      </c>
      <c r="AJ58" s="229">
        <v>43.82</v>
      </c>
      <c r="AK58" s="229">
        <v>43.82</v>
      </c>
      <c r="AL58" s="265"/>
      <c r="AM58" s="428"/>
      <c r="AN58" s="428"/>
      <c r="AO58" s="108"/>
      <c r="AP58" s="108"/>
      <c r="AQ58" s="108"/>
      <c r="AR58" s="108"/>
      <c r="AS58" s="428"/>
      <c r="AT58" s="121"/>
      <c r="AU58" s="428"/>
      <c r="AV58" s="428"/>
    </row>
    <row r="59" spans="1:48" hidden="1">
      <c r="A59" s="486"/>
      <c r="B59" s="486"/>
      <c r="C59" s="455"/>
      <c r="D59" s="469"/>
      <c r="E59" s="443"/>
      <c r="F59" s="455"/>
      <c r="G59" s="134"/>
      <c r="H59" s="187" t="s">
        <v>14</v>
      </c>
      <c r="I59" s="212">
        <v>0.5</v>
      </c>
      <c r="J59" s="212">
        <v>0.5</v>
      </c>
      <c r="K59" s="212">
        <v>0.5</v>
      </c>
      <c r="L59" s="376"/>
      <c r="M59" s="212">
        <v>0.5</v>
      </c>
      <c r="N59" s="212">
        <v>0.5</v>
      </c>
      <c r="O59" s="212">
        <v>0.5</v>
      </c>
      <c r="P59" s="376"/>
      <c r="Q59" s="376"/>
      <c r="R59" s="376"/>
      <c r="S59" s="376"/>
      <c r="T59" s="212">
        <v>0.5</v>
      </c>
      <c r="U59" s="212">
        <v>0.5</v>
      </c>
      <c r="V59" s="376"/>
      <c r="W59" s="212">
        <v>0.5</v>
      </c>
      <c r="X59" s="212">
        <v>0.5</v>
      </c>
      <c r="Y59" s="212">
        <v>0.5</v>
      </c>
      <c r="Z59" s="376"/>
      <c r="AA59" s="212">
        <v>0.5</v>
      </c>
      <c r="AB59" s="212">
        <v>0.5</v>
      </c>
      <c r="AC59" s="212">
        <v>0.5</v>
      </c>
      <c r="AD59" s="212">
        <v>0.5</v>
      </c>
      <c r="AE59" s="212">
        <v>0.5</v>
      </c>
      <c r="AF59" s="212">
        <v>0.5</v>
      </c>
      <c r="AG59" s="376"/>
      <c r="AH59" s="212">
        <v>0.5</v>
      </c>
      <c r="AI59" s="212">
        <v>0.5</v>
      </c>
      <c r="AJ59" s="212">
        <v>0.5</v>
      </c>
      <c r="AK59" s="212">
        <v>0.5</v>
      </c>
      <c r="AL59" s="265"/>
      <c r="AM59" s="428"/>
      <c r="AN59" s="428"/>
      <c r="AO59" s="108"/>
      <c r="AP59" s="108"/>
      <c r="AQ59" s="108"/>
      <c r="AR59" s="108"/>
      <c r="AS59" s="428"/>
      <c r="AT59" s="121"/>
      <c r="AU59" s="428"/>
      <c r="AV59" s="428"/>
    </row>
    <row r="60" spans="1:48" hidden="1">
      <c r="A60" s="486"/>
      <c r="B60" s="486"/>
      <c r="C60" s="455"/>
      <c r="D60" s="469"/>
      <c r="E60" s="443"/>
      <c r="F60" s="455"/>
      <c r="G60" s="134"/>
      <c r="H60" s="188" t="s">
        <v>15</v>
      </c>
      <c r="I60" s="215"/>
      <c r="J60" s="215"/>
      <c r="K60" s="215"/>
      <c r="L60" s="376"/>
      <c r="M60" s="215"/>
      <c r="N60" s="215"/>
      <c r="O60" s="215"/>
      <c r="P60" s="376"/>
      <c r="Q60" s="376"/>
      <c r="R60" s="376"/>
      <c r="S60" s="376"/>
      <c r="T60" s="215"/>
      <c r="U60" s="215"/>
      <c r="V60" s="376"/>
      <c r="W60" s="215"/>
      <c r="X60" s="215"/>
      <c r="Y60" s="215"/>
      <c r="Z60" s="376"/>
      <c r="AA60" s="215"/>
      <c r="AB60" s="215"/>
      <c r="AC60" s="215"/>
      <c r="AD60" s="215"/>
      <c r="AE60" s="215"/>
      <c r="AF60" s="215"/>
      <c r="AG60" s="376"/>
      <c r="AH60" s="215"/>
      <c r="AI60" s="215"/>
      <c r="AJ60" s="215"/>
      <c r="AK60" s="215"/>
      <c r="AL60" s="265"/>
      <c r="AM60" s="267"/>
      <c r="AN60" s="267"/>
      <c r="AO60" s="267"/>
      <c r="AP60" s="428"/>
      <c r="AQ60" s="108"/>
      <c r="AR60" s="108"/>
      <c r="AS60" s="428"/>
      <c r="AT60" s="121"/>
      <c r="AU60" s="428"/>
      <c r="AV60" s="428"/>
    </row>
    <row r="61" spans="1:48" hidden="1">
      <c r="A61" s="486"/>
      <c r="B61" s="486"/>
      <c r="C61" s="455"/>
      <c r="D61" s="469"/>
      <c r="E61" s="443"/>
      <c r="F61" s="455"/>
      <c r="G61" s="134" t="s">
        <v>16</v>
      </c>
      <c r="H61" s="187" t="s">
        <v>17</v>
      </c>
      <c r="I61" s="229">
        <v>43.82</v>
      </c>
      <c r="J61" s="229">
        <v>43.82</v>
      </c>
      <c r="K61" s="229">
        <v>43.82</v>
      </c>
      <c r="L61" s="376"/>
      <c r="M61" s="229">
        <v>43.82</v>
      </c>
      <c r="N61" s="229">
        <v>43.82</v>
      </c>
      <c r="O61" s="229">
        <v>43.82</v>
      </c>
      <c r="P61" s="376"/>
      <c r="Q61" s="376"/>
      <c r="R61" s="376"/>
      <c r="S61" s="376"/>
      <c r="T61" s="229">
        <v>43.82</v>
      </c>
      <c r="U61" s="229">
        <v>43.82</v>
      </c>
      <c r="V61" s="376"/>
      <c r="W61" s="229">
        <v>43.82</v>
      </c>
      <c r="X61" s="229">
        <v>43.82</v>
      </c>
      <c r="Y61" s="229">
        <v>43.82</v>
      </c>
      <c r="Z61" s="376"/>
      <c r="AA61" s="229">
        <v>43.82</v>
      </c>
      <c r="AB61" s="229">
        <v>43.82</v>
      </c>
      <c r="AC61" s="229">
        <v>43.82</v>
      </c>
      <c r="AD61" s="229">
        <v>43.82</v>
      </c>
      <c r="AE61" s="229">
        <v>43.82</v>
      </c>
      <c r="AF61" s="229">
        <v>43.82</v>
      </c>
      <c r="AG61" s="376"/>
      <c r="AH61" s="229">
        <v>43.82</v>
      </c>
      <c r="AI61" s="229">
        <v>43.82</v>
      </c>
      <c r="AJ61" s="229">
        <v>43.82</v>
      </c>
      <c r="AK61" s="229">
        <v>43.82</v>
      </c>
      <c r="AL61" s="265"/>
      <c r="AM61" s="267"/>
      <c r="AN61" s="267"/>
      <c r="AO61" s="267"/>
      <c r="AP61" s="428"/>
      <c r="AQ61" s="108"/>
      <c r="AR61" s="108"/>
      <c r="AS61" s="428"/>
      <c r="AT61" s="121"/>
      <c r="AU61" s="428"/>
      <c r="AV61" s="428"/>
    </row>
    <row r="62" spans="1:48" hidden="1">
      <c r="A62" s="486"/>
      <c r="B62" s="486"/>
      <c r="C62" s="455"/>
      <c r="D62" s="469"/>
      <c r="E62" s="443"/>
      <c r="F62" s="455"/>
      <c r="G62" s="134"/>
      <c r="H62" s="187" t="s">
        <v>14</v>
      </c>
      <c r="I62" s="212">
        <v>0.2</v>
      </c>
      <c r="J62" s="212">
        <v>0.2</v>
      </c>
      <c r="K62" s="212">
        <v>0.2</v>
      </c>
      <c r="L62" s="376"/>
      <c r="M62" s="212">
        <v>0.2</v>
      </c>
      <c r="N62" s="212">
        <v>0.2</v>
      </c>
      <c r="O62" s="212">
        <v>0.2</v>
      </c>
      <c r="P62" s="376"/>
      <c r="Q62" s="376"/>
      <c r="R62" s="376"/>
      <c r="S62" s="376"/>
      <c r="T62" s="212">
        <v>0.2</v>
      </c>
      <c r="U62" s="212">
        <v>0.2</v>
      </c>
      <c r="V62" s="376"/>
      <c r="W62" s="212">
        <v>0.2</v>
      </c>
      <c r="X62" s="212">
        <v>0.2</v>
      </c>
      <c r="Y62" s="212">
        <v>0.2</v>
      </c>
      <c r="Z62" s="376"/>
      <c r="AA62" s="212">
        <v>0.2</v>
      </c>
      <c r="AB62" s="212">
        <v>0.2</v>
      </c>
      <c r="AC62" s="212">
        <v>0.2</v>
      </c>
      <c r="AD62" s="212">
        <v>0.2</v>
      </c>
      <c r="AE62" s="212">
        <v>0.2</v>
      </c>
      <c r="AF62" s="212">
        <v>0.2</v>
      </c>
      <c r="AG62" s="376"/>
      <c r="AH62" s="212">
        <v>0.2</v>
      </c>
      <c r="AI62" s="212">
        <v>0.2</v>
      </c>
      <c r="AJ62" s="212">
        <v>0.2</v>
      </c>
      <c r="AK62" s="212">
        <v>0.2</v>
      </c>
      <c r="AL62" s="265"/>
      <c r="AM62" s="267"/>
      <c r="AN62" s="267"/>
      <c r="AO62" s="267"/>
      <c r="AP62" s="428"/>
      <c r="AQ62" s="108"/>
      <c r="AR62" s="108"/>
      <c r="AS62" s="428"/>
      <c r="AT62" s="121"/>
      <c r="AU62" s="428"/>
      <c r="AV62" s="428"/>
    </row>
    <row r="63" spans="1:48" hidden="1">
      <c r="A63" s="486"/>
      <c r="B63" s="486"/>
      <c r="C63" s="455"/>
      <c r="D63" s="469"/>
      <c r="E63" s="443"/>
      <c r="F63" s="455"/>
      <c r="G63" s="134"/>
      <c r="H63" s="188" t="s">
        <v>15</v>
      </c>
      <c r="I63" s="215"/>
      <c r="J63" s="215"/>
      <c r="K63" s="215"/>
      <c r="L63" s="376"/>
      <c r="M63" s="215"/>
      <c r="N63" s="215"/>
      <c r="O63" s="215"/>
      <c r="P63" s="376"/>
      <c r="Q63" s="376"/>
      <c r="R63" s="376"/>
      <c r="S63" s="376"/>
      <c r="T63" s="215"/>
      <c r="U63" s="215"/>
      <c r="V63" s="376"/>
      <c r="W63" s="215"/>
      <c r="X63" s="215"/>
      <c r="Y63" s="215"/>
      <c r="Z63" s="376"/>
      <c r="AA63" s="215"/>
      <c r="AB63" s="215"/>
      <c r="AC63" s="215"/>
      <c r="AD63" s="215"/>
      <c r="AE63" s="215"/>
      <c r="AF63" s="215"/>
      <c r="AG63" s="376"/>
      <c r="AH63" s="215"/>
      <c r="AI63" s="215"/>
      <c r="AJ63" s="215"/>
      <c r="AK63" s="215"/>
      <c r="AL63" s="265"/>
      <c r="AM63" s="267"/>
      <c r="AN63" s="267"/>
      <c r="AO63" s="267"/>
      <c r="AP63" s="428"/>
      <c r="AQ63" s="108"/>
      <c r="AR63" s="108"/>
      <c r="AS63" s="428"/>
      <c r="AT63" s="121"/>
      <c r="AU63" s="428"/>
      <c r="AV63" s="428"/>
    </row>
    <row r="64" spans="1:48" hidden="1">
      <c r="A64" s="486"/>
      <c r="B64" s="486"/>
      <c r="C64" s="455"/>
      <c r="D64" s="469"/>
      <c r="E64" s="443"/>
      <c r="F64" s="455"/>
      <c r="G64" s="134" t="s">
        <v>44</v>
      </c>
      <c r="H64" s="187" t="s">
        <v>45</v>
      </c>
      <c r="I64" s="235">
        <f>$O$84*$D$58/5</f>
        <v>4372.5</v>
      </c>
      <c r="J64" s="235">
        <f>$O$84*$D$58/5</f>
        <v>4372.5</v>
      </c>
      <c r="K64" s="235">
        <f>$O$84*$D$58/5</f>
        <v>4372.5</v>
      </c>
      <c r="L64" s="381"/>
      <c r="M64" s="235">
        <f>$O$84*$D$58/5</f>
        <v>4372.5</v>
      </c>
      <c r="N64" s="235">
        <f>$O$84*$D$58/5</f>
        <v>4372.5</v>
      </c>
      <c r="O64" s="235">
        <f>$O$84*$D$58/5</f>
        <v>4372.5</v>
      </c>
      <c r="P64" s="376"/>
      <c r="Q64" s="376"/>
      <c r="R64" s="376"/>
      <c r="S64" s="376"/>
      <c r="T64" s="235">
        <f>$O$84*$D$58/5</f>
        <v>4372.5</v>
      </c>
      <c r="U64" s="235">
        <f>$O$84*$D$58/5</f>
        <v>4372.5</v>
      </c>
      <c r="V64" s="376"/>
      <c r="W64" s="235">
        <f>$O$84*$D$58/5</f>
        <v>4372.5</v>
      </c>
      <c r="X64" s="235">
        <f>$O$84*$D$58/5</f>
        <v>4372.5</v>
      </c>
      <c r="Y64" s="235">
        <f>$O$84*$D$58/5</f>
        <v>4372.5</v>
      </c>
      <c r="Z64" s="376"/>
      <c r="AA64" s="235">
        <f t="shared" ref="AA64:AF64" si="13">$O$84*$D$58/5</f>
        <v>4372.5</v>
      </c>
      <c r="AB64" s="235">
        <f t="shared" si="13"/>
        <v>4372.5</v>
      </c>
      <c r="AC64" s="235">
        <f t="shared" si="13"/>
        <v>4372.5</v>
      </c>
      <c r="AD64" s="235">
        <f t="shared" si="13"/>
        <v>4372.5</v>
      </c>
      <c r="AE64" s="235">
        <f t="shared" si="13"/>
        <v>4372.5</v>
      </c>
      <c r="AF64" s="235">
        <f t="shared" si="13"/>
        <v>4372.5</v>
      </c>
      <c r="AG64" s="376"/>
      <c r="AH64" s="235">
        <f>$O$84*$D$58/5</f>
        <v>4372.5</v>
      </c>
      <c r="AI64" s="235">
        <f>$O$84*$D$58/5</f>
        <v>4372.5</v>
      </c>
      <c r="AJ64" s="235">
        <f>$O$84*$D$58/5</f>
        <v>4372.5</v>
      </c>
      <c r="AK64" s="235">
        <f>$O$84*$D$58/5</f>
        <v>4372.5</v>
      </c>
      <c r="AL64" s="266">
        <f>SUM(I64:AK64)</f>
        <v>91822.5</v>
      </c>
      <c r="AM64" s="267"/>
      <c r="AN64" s="267"/>
      <c r="AO64" s="267"/>
      <c r="AP64" s="428"/>
      <c r="AQ64" s="108"/>
      <c r="AR64" s="108"/>
      <c r="AS64" s="428"/>
      <c r="AT64" s="121"/>
      <c r="AU64" s="428"/>
      <c r="AV64" s="428"/>
    </row>
    <row r="65" spans="1:48" hidden="1">
      <c r="A65" s="486"/>
      <c r="B65" s="486"/>
      <c r="C65" s="455"/>
      <c r="D65" s="469"/>
      <c r="E65" s="443"/>
      <c r="F65" s="455"/>
      <c r="G65" s="134"/>
      <c r="H65" s="187" t="s">
        <v>20</v>
      </c>
      <c r="I65" s="212">
        <v>1</v>
      </c>
      <c r="J65" s="212"/>
      <c r="K65" s="212">
        <v>1</v>
      </c>
      <c r="L65" s="376"/>
      <c r="M65" s="212"/>
      <c r="N65" s="212"/>
      <c r="O65" s="212">
        <v>1</v>
      </c>
      <c r="P65" s="376"/>
      <c r="Q65" s="376"/>
      <c r="R65" s="376"/>
      <c r="S65" s="376"/>
      <c r="T65" s="212"/>
      <c r="U65" s="212">
        <v>1</v>
      </c>
      <c r="V65" s="376"/>
      <c r="W65" s="212"/>
      <c r="X65" s="212"/>
      <c r="Y65" s="212">
        <v>1</v>
      </c>
      <c r="Z65" s="376"/>
      <c r="AA65" s="212"/>
      <c r="AB65" s="212">
        <v>1</v>
      </c>
      <c r="AC65" s="212"/>
      <c r="AD65" s="212"/>
      <c r="AE65" s="212">
        <v>1</v>
      </c>
      <c r="AF65" s="212"/>
      <c r="AG65" s="376"/>
      <c r="AH65" s="212">
        <v>1</v>
      </c>
      <c r="AI65" s="212"/>
      <c r="AJ65" s="212"/>
      <c r="AK65" s="212">
        <v>1</v>
      </c>
      <c r="AL65" s="266"/>
      <c r="AM65" s="267"/>
      <c r="AN65" s="267"/>
      <c r="AO65" s="267"/>
      <c r="AP65" s="428"/>
      <c r="AQ65" s="108"/>
      <c r="AR65" s="108"/>
      <c r="AS65" s="428"/>
      <c r="AT65" s="121"/>
      <c r="AU65" s="428"/>
      <c r="AV65" s="428"/>
    </row>
    <row r="66" spans="1:48" hidden="1">
      <c r="A66" s="486"/>
      <c r="B66" s="486"/>
      <c r="C66" s="455"/>
      <c r="D66" s="469"/>
      <c r="E66" s="443"/>
      <c r="F66" s="455"/>
      <c r="G66" s="134"/>
      <c r="H66" s="188" t="s">
        <v>15</v>
      </c>
      <c r="I66" s="215"/>
      <c r="J66" s="215">
        <v>15075</v>
      </c>
      <c r="K66" s="215"/>
      <c r="L66" s="376"/>
      <c r="M66" s="215"/>
      <c r="N66" s="215"/>
      <c r="O66" s="215"/>
      <c r="P66" s="376"/>
      <c r="Q66" s="376"/>
      <c r="R66" s="376"/>
      <c r="S66" s="376"/>
      <c r="T66" s="215"/>
      <c r="U66" s="215"/>
      <c r="V66" s="376"/>
      <c r="W66" s="215"/>
      <c r="X66" s="215">
        <f>5221+8261</f>
        <v>13482</v>
      </c>
      <c r="Y66" s="215"/>
      <c r="Z66" s="376"/>
      <c r="AA66" s="215"/>
      <c r="AB66" s="215"/>
      <c r="AC66" s="215"/>
      <c r="AD66" s="215"/>
      <c r="AE66" s="215"/>
      <c r="AF66" s="215"/>
      <c r="AG66" s="376"/>
      <c r="AH66" s="215"/>
      <c r="AI66" s="215"/>
      <c r="AJ66" s="215"/>
      <c r="AK66" s="215"/>
      <c r="AL66" s="265">
        <f>SUM(I66:AK66)</f>
        <v>28557</v>
      </c>
      <c r="AM66" s="267"/>
      <c r="AN66" s="267"/>
      <c r="AO66" s="267"/>
      <c r="AP66" s="428"/>
      <c r="AQ66" s="108"/>
      <c r="AR66" s="108"/>
      <c r="AS66" s="428"/>
      <c r="AT66" s="121"/>
      <c r="AU66" s="428"/>
      <c r="AV66" s="428"/>
    </row>
    <row r="67" spans="1:48" hidden="1">
      <c r="A67" s="486"/>
      <c r="B67" s="486"/>
      <c r="C67" s="455"/>
      <c r="D67" s="469"/>
      <c r="E67" s="443"/>
      <c r="F67" s="455"/>
      <c r="G67" s="134" t="s">
        <v>37</v>
      </c>
      <c r="H67" s="187" t="s">
        <v>46</v>
      </c>
      <c r="I67" s="212">
        <f>($O$84*$D$58/5)*2</f>
        <v>8745</v>
      </c>
      <c r="J67" s="212">
        <f>($O$84*$D$58/5)*2</f>
        <v>8745</v>
      </c>
      <c r="K67" s="212">
        <f>($O$84*$D$58/5)*2</f>
        <v>8745</v>
      </c>
      <c r="L67" s="376"/>
      <c r="M67" s="212">
        <f>($O$84*$D$58/5)*2</f>
        <v>8745</v>
      </c>
      <c r="N67" s="212">
        <f>($O$84*$D$58/5)*2</f>
        <v>8745</v>
      </c>
      <c r="O67" s="212">
        <f>($O$84*$D$58/5)*2</f>
        <v>8745</v>
      </c>
      <c r="P67" s="376"/>
      <c r="Q67" s="376"/>
      <c r="R67" s="376"/>
      <c r="S67" s="376"/>
      <c r="T67" s="212">
        <f>($O$84*$D$58/5)*2</f>
        <v>8745</v>
      </c>
      <c r="U67" s="212">
        <f>($O$84*$D$58/5)*2</f>
        <v>8745</v>
      </c>
      <c r="V67" s="376"/>
      <c r="W67" s="212">
        <f>($O$84*$D$58/5)*2</f>
        <v>8745</v>
      </c>
      <c r="X67" s="212">
        <f>($O$84*$D$58/5)*2</f>
        <v>8745</v>
      </c>
      <c r="Y67" s="212">
        <f>($O$84*$D$58/5)*2</f>
        <v>8745</v>
      </c>
      <c r="Z67" s="376"/>
      <c r="AA67" s="212">
        <f t="shared" ref="AA67:AF67" si="14">($O$84*$D$58/5)*2</f>
        <v>8745</v>
      </c>
      <c r="AB67" s="212">
        <f t="shared" si="14"/>
        <v>8745</v>
      </c>
      <c r="AC67" s="212">
        <f t="shared" si="14"/>
        <v>8745</v>
      </c>
      <c r="AD67" s="212">
        <f t="shared" si="14"/>
        <v>8745</v>
      </c>
      <c r="AE67" s="212">
        <f t="shared" si="14"/>
        <v>8745</v>
      </c>
      <c r="AF67" s="212">
        <f t="shared" si="14"/>
        <v>8745</v>
      </c>
      <c r="AG67" s="376"/>
      <c r="AH67" s="212">
        <f>($O$84*$D$58/5)*2</f>
        <v>8745</v>
      </c>
      <c r="AI67" s="212">
        <f>($O$84*$D$58/5)*2</f>
        <v>8745</v>
      </c>
      <c r="AJ67" s="212">
        <f>($O$84*$D$58/5)*2</f>
        <v>8745</v>
      </c>
      <c r="AK67" s="212">
        <f>($O$84*$D$58/5)*2</f>
        <v>8745</v>
      </c>
      <c r="AL67" s="266">
        <f>SUM(I67:AK67)</f>
        <v>183645</v>
      </c>
      <c r="AM67" s="267"/>
      <c r="AN67" s="267"/>
      <c r="AO67" s="267"/>
      <c r="AP67" s="428"/>
      <c r="AQ67" s="108"/>
      <c r="AR67" s="108"/>
      <c r="AS67" s="428"/>
      <c r="AT67" s="121"/>
      <c r="AU67" s="428"/>
      <c r="AV67" s="428"/>
    </row>
    <row r="68" spans="1:48" hidden="1">
      <c r="A68" s="486"/>
      <c r="B68" s="486"/>
      <c r="C68" s="455"/>
      <c r="D68" s="469"/>
      <c r="E68" s="443"/>
      <c r="F68" s="455"/>
      <c r="G68" s="134"/>
      <c r="H68" s="187" t="s">
        <v>20</v>
      </c>
      <c r="I68" s="212">
        <v>1</v>
      </c>
      <c r="J68" s="212">
        <v>1</v>
      </c>
      <c r="K68" s="212">
        <v>1</v>
      </c>
      <c r="L68" s="376"/>
      <c r="M68" s="212">
        <v>1</v>
      </c>
      <c r="N68" s="212">
        <v>1</v>
      </c>
      <c r="O68" s="212">
        <v>1</v>
      </c>
      <c r="P68" s="376"/>
      <c r="Q68" s="376"/>
      <c r="R68" s="376"/>
      <c r="S68" s="376"/>
      <c r="T68" s="212">
        <v>1</v>
      </c>
      <c r="U68" s="212">
        <v>1</v>
      </c>
      <c r="V68" s="376"/>
      <c r="W68" s="212">
        <v>1</v>
      </c>
      <c r="X68" s="212">
        <v>1</v>
      </c>
      <c r="Y68" s="212">
        <v>1</v>
      </c>
      <c r="Z68" s="376"/>
      <c r="AA68" s="212">
        <v>1</v>
      </c>
      <c r="AB68" s="212">
        <v>1</v>
      </c>
      <c r="AC68" s="212">
        <v>1</v>
      </c>
      <c r="AD68" s="212">
        <v>1</v>
      </c>
      <c r="AE68" s="212">
        <v>1</v>
      </c>
      <c r="AF68" s="212">
        <v>1</v>
      </c>
      <c r="AG68" s="376"/>
      <c r="AH68" s="212">
        <v>1</v>
      </c>
      <c r="AI68" s="212">
        <v>1</v>
      </c>
      <c r="AJ68" s="212">
        <v>1</v>
      </c>
      <c r="AK68" s="212">
        <v>1</v>
      </c>
      <c r="AL68" s="266"/>
      <c r="AM68" s="267"/>
      <c r="AN68" s="267"/>
      <c r="AO68" s="267"/>
      <c r="AP68" s="428"/>
      <c r="AQ68" s="108"/>
      <c r="AR68" s="108"/>
      <c r="AS68" s="428"/>
      <c r="AT68" s="121"/>
      <c r="AU68" s="428"/>
      <c r="AV68" s="428"/>
    </row>
    <row r="69" spans="1:48" hidden="1">
      <c r="A69" s="486"/>
      <c r="B69" s="486"/>
      <c r="C69" s="455"/>
      <c r="D69" s="469"/>
      <c r="E69" s="443"/>
      <c r="F69" s="455"/>
      <c r="G69" s="134"/>
      <c r="H69" s="188" t="s">
        <v>15</v>
      </c>
      <c r="I69" s="215">
        <v>22974</v>
      </c>
      <c r="J69" s="215">
        <v>23635</v>
      </c>
      <c r="K69" s="215">
        <v>16288</v>
      </c>
      <c r="L69" s="376"/>
      <c r="M69" s="215">
        <v>23435</v>
      </c>
      <c r="N69" s="215">
        <v>16631</v>
      </c>
      <c r="O69" s="215">
        <f>2300+6337</f>
        <v>8637</v>
      </c>
      <c r="P69" s="376"/>
      <c r="Q69" s="376"/>
      <c r="R69" s="376"/>
      <c r="S69" s="376"/>
      <c r="T69" s="215">
        <f>3860+6259</f>
        <v>10119</v>
      </c>
      <c r="U69" s="215">
        <v>17041</v>
      </c>
      <c r="V69" s="376"/>
      <c r="W69" s="215">
        <f>6474+6207+6986+6168</f>
        <v>25835</v>
      </c>
      <c r="X69" s="215">
        <v>23255</v>
      </c>
      <c r="Y69" s="215"/>
      <c r="Z69" s="376"/>
      <c r="AA69" s="215"/>
      <c r="AB69" s="215"/>
      <c r="AC69" s="215"/>
      <c r="AD69" s="215"/>
      <c r="AE69" s="215"/>
      <c r="AF69" s="215"/>
      <c r="AG69" s="376"/>
      <c r="AH69" s="215"/>
      <c r="AI69" s="215"/>
      <c r="AJ69" s="215"/>
      <c r="AK69" s="215"/>
      <c r="AL69" s="265">
        <f>SUM(I69:AK69)</f>
        <v>187850</v>
      </c>
      <c r="AM69" s="267"/>
      <c r="AN69" s="267"/>
      <c r="AO69" s="267"/>
      <c r="AP69" s="428"/>
      <c r="AQ69" s="108"/>
      <c r="AR69" s="108"/>
      <c r="AS69" s="428"/>
      <c r="AT69" s="121"/>
      <c r="AU69" s="428"/>
      <c r="AV69" s="428"/>
    </row>
    <row r="70" spans="1:48" hidden="1">
      <c r="A70" s="486"/>
      <c r="B70" s="486"/>
      <c r="C70" s="455"/>
      <c r="D70" s="469"/>
      <c r="E70" s="443"/>
      <c r="F70" s="455"/>
      <c r="G70" s="134" t="s">
        <v>23</v>
      </c>
      <c r="H70" s="187" t="s">
        <v>24</v>
      </c>
      <c r="I70" s="235">
        <f>$O$84*$D$58/5</f>
        <v>4372.5</v>
      </c>
      <c r="J70" s="235">
        <f>$O$84*$D$58/5</f>
        <v>4372.5</v>
      </c>
      <c r="K70" s="235">
        <f>$O$84*$D$58/5</f>
        <v>4372.5</v>
      </c>
      <c r="L70" s="381"/>
      <c r="M70" s="235">
        <f>$O$84*$D$58/5</f>
        <v>4372.5</v>
      </c>
      <c r="N70" s="235">
        <f>$O$84*$D$58/5</f>
        <v>4372.5</v>
      </c>
      <c r="O70" s="235">
        <f>$O$84*$D$58/5</f>
        <v>4372.5</v>
      </c>
      <c r="P70" s="376"/>
      <c r="Q70" s="376"/>
      <c r="R70" s="376"/>
      <c r="S70" s="376"/>
      <c r="T70" s="235">
        <f>$O$84*$D$58/5</f>
        <v>4372.5</v>
      </c>
      <c r="U70" s="235">
        <f>$O$84*$D$58/5</f>
        <v>4372.5</v>
      </c>
      <c r="V70" s="376"/>
      <c r="W70" s="235">
        <f>$O$84*$D$58/5</f>
        <v>4372.5</v>
      </c>
      <c r="X70" s="235">
        <f>$O$84*$D$58/5</f>
        <v>4372.5</v>
      </c>
      <c r="Y70" s="235">
        <f>$O$84*$D$58/5</f>
        <v>4372.5</v>
      </c>
      <c r="Z70" s="376"/>
      <c r="AA70" s="235">
        <f t="shared" ref="AA70:AF70" si="15">$O$84*$D$58/5</f>
        <v>4372.5</v>
      </c>
      <c r="AB70" s="235">
        <f t="shared" si="15"/>
        <v>4372.5</v>
      </c>
      <c r="AC70" s="235">
        <f t="shared" si="15"/>
        <v>4372.5</v>
      </c>
      <c r="AD70" s="235">
        <f t="shared" si="15"/>
        <v>4372.5</v>
      </c>
      <c r="AE70" s="235">
        <f t="shared" si="15"/>
        <v>4372.5</v>
      </c>
      <c r="AF70" s="235">
        <f t="shared" si="15"/>
        <v>4372.5</v>
      </c>
      <c r="AG70" s="376"/>
      <c r="AH70" s="235">
        <f>$O$84*$D$58/5</f>
        <v>4372.5</v>
      </c>
      <c r="AI70" s="235">
        <f>$O$84*$D$58/5</f>
        <v>4372.5</v>
      </c>
      <c r="AJ70" s="235">
        <f>$O$84*$D$58/5</f>
        <v>4372.5</v>
      </c>
      <c r="AK70" s="235">
        <f>$O$84*$D$58/5</f>
        <v>4372.5</v>
      </c>
      <c r="AL70" s="266">
        <f>SUM(I70:AK70)</f>
        <v>91822.5</v>
      </c>
      <c r="AM70" s="267"/>
      <c r="AN70" s="267"/>
      <c r="AO70" s="267"/>
      <c r="AP70" s="428"/>
      <c r="AQ70" s="108"/>
      <c r="AR70" s="108"/>
      <c r="AS70" s="428"/>
      <c r="AT70" s="121"/>
      <c r="AU70" s="428"/>
      <c r="AV70" s="428"/>
    </row>
    <row r="71" spans="1:48" hidden="1">
      <c r="A71" s="486"/>
      <c r="B71" s="486"/>
      <c r="C71" s="455"/>
      <c r="D71" s="469"/>
      <c r="E71" s="443"/>
      <c r="F71" s="455"/>
      <c r="G71" s="134"/>
      <c r="H71" s="187" t="s">
        <v>27</v>
      </c>
      <c r="I71" s="212"/>
      <c r="J71" s="212">
        <v>1</v>
      </c>
      <c r="K71" s="212"/>
      <c r="L71" s="376"/>
      <c r="M71" s="212">
        <v>1</v>
      </c>
      <c r="N71" s="212"/>
      <c r="O71" s="212"/>
      <c r="P71" s="376"/>
      <c r="Q71" s="376"/>
      <c r="R71" s="376"/>
      <c r="S71" s="376"/>
      <c r="T71" s="212">
        <v>1</v>
      </c>
      <c r="U71" s="212"/>
      <c r="V71" s="376"/>
      <c r="W71" s="212">
        <v>1</v>
      </c>
      <c r="X71" s="212"/>
      <c r="Y71" s="212"/>
      <c r="Z71" s="376"/>
      <c r="AA71" s="212">
        <v>1</v>
      </c>
      <c r="AB71" s="212"/>
      <c r="AC71" s="212">
        <v>1</v>
      </c>
      <c r="AD71" s="212"/>
      <c r="AE71" s="212"/>
      <c r="AF71" s="212">
        <v>1</v>
      </c>
      <c r="AG71" s="376"/>
      <c r="AH71" s="212"/>
      <c r="AI71" s="212">
        <v>1</v>
      </c>
      <c r="AJ71" s="212"/>
      <c r="AK71" s="212"/>
      <c r="AL71" s="266"/>
      <c r="AM71" s="267"/>
      <c r="AN71" s="267"/>
      <c r="AO71" s="267"/>
      <c r="AP71" s="428"/>
      <c r="AQ71" s="108"/>
      <c r="AR71" s="108"/>
      <c r="AS71" s="428"/>
      <c r="AT71" s="121"/>
      <c r="AU71" s="428"/>
      <c r="AV71" s="428"/>
    </row>
    <row r="72" spans="1:48" hidden="1">
      <c r="A72" s="486"/>
      <c r="B72" s="486"/>
      <c r="C72" s="455"/>
      <c r="D72" s="469"/>
      <c r="E72" s="443"/>
      <c r="F72" s="455"/>
      <c r="G72" s="134"/>
      <c r="H72" s="188" t="s">
        <v>15</v>
      </c>
      <c r="I72" s="215"/>
      <c r="J72" s="215"/>
      <c r="K72" s="215"/>
      <c r="L72" s="376"/>
      <c r="M72" s="215">
        <f>26696</f>
        <v>26696</v>
      </c>
      <c r="N72" s="215"/>
      <c r="O72" s="215"/>
      <c r="P72" s="376"/>
      <c r="Q72" s="376"/>
      <c r="R72" s="376"/>
      <c r="S72" s="376"/>
      <c r="T72" s="215"/>
      <c r="U72" s="215"/>
      <c r="V72" s="376"/>
      <c r="W72" s="215"/>
      <c r="X72" s="215"/>
      <c r="Y72" s="215"/>
      <c r="Z72" s="376"/>
      <c r="AA72" s="215"/>
      <c r="AB72" s="215"/>
      <c r="AC72" s="215"/>
      <c r="AD72" s="215"/>
      <c r="AE72" s="215"/>
      <c r="AF72" s="215"/>
      <c r="AG72" s="376"/>
      <c r="AH72" s="215"/>
      <c r="AI72" s="215"/>
      <c r="AJ72" s="215"/>
      <c r="AK72" s="215"/>
      <c r="AL72" s="265">
        <f>SUM(I72:AK72)</f>
        <v>26696</v>
      </c>
      <c r="AM72" s="267"/>
      <c r="AN72" s="267"/>
      <c r="AO72" s="267"/>
      <c r="AP72" s="428"/>
      <c r="AQ72" s="108"/>
      <c r="AR72" s="108"/>
      <c r="AS72" s="428"/>
      <c r="AT72" s="121"/>
      <c r="AU72" s="428"/>
      <c r="AV72" s="428"/>
    </row>
    <row r="73" spans="1:48" hidden="1">
      <c r="A73" s="486"/>
      <c r="B73" s="486"/>
      <c r="C73" s="455"/>
      <c r="D73" s="469"/>
      <c r="E73" s="443"/>
      <c r="F73" s="455"/>
      <c r="G73" s="134" t="s">
        <v>28</v>
      </c>
      <c r="H73" s="187" t="s">
        <v>29</v>
      </c>
      <c r="I73" s="235">
        <f>$O$84*$D$58/5</f>
        <v>4372.5</v>
      </c>
      <c r="J73" s="235">
        <f>$O$84*$D$58/5</f>
        <v>4372.5</v>
      </c>
      <c r="K73" s="235">
        <f>$O$84*$D$58/5</f>
        <v>4372.5</v>
      </c>
      <c r="L73" s="381"/>
      <c r="M73" s="235">
        <f>$O$84*$D$58/5</f>
        <v>4372.5</v>
      </c>
      <c r="N73" s="235">
        <f>$O$84*$D$58/5</f>
        <v>4372.5</v>
      </c>
      <c r="O73" s="235">
        <f>$O$84*$D$58/5</f>
        <v>4372.5</v>
      </c>
      <c r="P73" s="376"/>
      <c r="Q73" s="376"/>
      <c r="R73" s="376"/>
      <c r="S73" s="376"/>
      <c r="T73" s="235">
        <f>$O$84*$D$58/5</f>
        <v>4372.5</v>
      </c>
      <c r="U73" s="235">
        <f>$O$84*$D$58/5</f>
        <v>4372.5</v>
      </c>
      <c r="V73" s="376"/>
      <c r="W73" s="235">
        <f>$O$84*$D$58/5</f>
        <v>4372.5</v>
      </c>
      <c r="X73" s="235">
        <f>$O$84*$D$58/5</f>
        <v>4372.5</v>
      </c>
      <c r="Y73" s="235">
        <f>$O$84*$D$58/5</f>
        <v>4372.5</v>
      </c>
      <c r="Z73" s="376"/>
      <c r="AA73" s="235">
        <f t="shared" ref="AA73:AF73" si="16">$O$84*$D$58/5</f>
        <v>4372.5</v>
      </c>
      <c r="AB73" s="235">
        <f t="shared" si="16"/>
        <v>4372.5</v>
      </c>
      <c r="AC73" s="235">
        <f t="shared" si="16"/>
        <v>4372.5</v>
      </c>
      <c r="AD73" s="235">
        <f t="shared" si="16"/>
        <v>4372.5</v>
      </c>
      <c r="AE73" s="235">
        <f t="shared" si="16"/>
        <v>4372.5</v>
      </c>
      <c r="AF73" s="235">
        <f t="shared" si="16"/>
        <v>4372.5</v>
      </c>
      <c r="AG73" s="376"/>
      <c r="AH73" s="235">
        <f>$O$84*$D$58/5</f>
        <v>4372.5</v>
      </c>
      <c r="AI73" s="235">
        <f>$O$84*$D$58/5</f>
        <v>4372.5</v>
      </c>
      <c r="AJ73" s="235">
        <f>$O$84*$D$58/5</f>
        <v>4372.5</v>
      </c>
      <c r="AK73" s="235">
        <f>$O$84*$D$58/5</f>
        <v>4372.5</v>
      </c>
      <c r="AL73" s="266">
        <f>SUM(I73:AK73)</f>
        <v>91822.5</v>
      </c>
      <c r="AM73" s="267"/>
      <c r="AN73" s="267"/>
      <c r="AO73" s="267"/>
      <c r="AP73" s="428"/>
      <c r="AQ73" s="108"/>
      <c r="AR73" s="108"/>
      <c r="AS73" s="428"/>
      <c r="AT73" s="121"/>
      <c r="AU73" s="428"/>
      <c r="AV73" s="428"/>
    </row>
    <row r="74" spans="1:48" hidden="1">
      <c r="A74" s="486"/>
      <c r="B74" s="486"/>
      <c r="C74" s="455"/>
      <c r="D74" s="469"/>
      <c r="E74" s="443"/>
      <c r="F74" s="455"/>
      <c r="G74" s="134"/>
      <c r="H74" s="188" t="s">
        <v>15</v>
      </c>
      <c r="I74" s="269"/>
      <c r="J74" s="269"/>
      <c r="K74" s="269"/>
      <c r="L74" s="381"/>
      <c r="M74" s="269">
        <f>30107</f>
        <v>30107</v>
      </c>
      <c r="N74" s="269"/>
      <c r="O74" s="269"/>
      <c r="P74" s="376"/>
      <c r="Q74" s="376"/>
      <c r="R74" s="376"/>
      <c r="S74" s="376"/>
      <c r="T74" s="269"/>
      <c r="U74" s="269"/>
      <c r="V74" s="376"/>
      <c r="W74" s="269"/>
      <c r="X74" s="269"/>
      <c r="Y74" s="269"/>
      <c r="Z74" s="376"/>
      <c r="AA74" s="269"/>
      <c r="AB74" s="269"/>
      <c r="AC74" s="269"/>
      <c r="AD74" s="269"/>
      <c r="AE74" s="269"/>
      <c r="AF74" s="269"/>
      <c r="AG74" s="376"/>
      <c r="AH74" s="269"/>
      <c r="AI74" s="269"/>
      <c r="AJ74" s="269"/>
      <c r="AK74" s="269"/>
      <c r="AL74" s="265">
        <f>SUM(I74:AK74)</f>
        <v>30107</v>
      </c>
      <c r="AM74" s="267"/>
      <c r="AN74" s="267"/>
      <c r="AO74" s="267"/>
      <c r="AP74" s="428"/>
      <c r="AQ74" s="108"/>
      <c r="AR74" s="108"/>
      <c r="AS74" s="428"/>
      <c r="AT74" s="121"/>
      <c r="AU74" s="428"/>
      <c r="AV74" s="428"/>
    </row>
    <row r="75" spans="1:48" hidden="1">
      <c r="A75" s="486"/>
      <c r="B75" s="486"/>
      <c r="C75" s="455"/>
      <c r="D75" s="469"/>
      <c r="E75" s="443"/>
      <c r="F75" s="455"/>
      <c r="G75" s="134" t="s">
        <v>47</v>
      </c>
      <c r="H75" s="187" t="s">
        <v>48</v>
      </c>
      <c r="I75" s="235">
        <f>$O$84*$D$58/5</f>
        <v>4372.5</v>
      </c>
      <c r="J75" s="235">
        <f>$O$84*$D$58/5</f>
        <v>4372.5</v>
      </c>
      <c r="K75" s="235">
        <f>$O$84*$D$58/5</f>
        <v>4372.5</v>
      </c>
      <c r="L75" s="381"/>
      <c r="M75" s="235">
        <f>$O$84*$D$58/5</f>
        <v>4372.5</v>
      </c>
      <c r="N75" s="235">
        <f>$O$84*$D$58/5</f>
        <v>4372.5</v>
      </c>
      <c r="O75" s="235">
        <f>$O$84*$D$58/5</f>
        <v>4372.5</v>
      </c>
      <c r="P75" s="376"/>
      <c r="Q75" s="376"/>
      <c r="R75" s="376"/>
      <c r="S75" s="376"/>
      <c r="T75" s="235">
        <f>$O$84*$D$58/5</f>
        <v>4372.5</v>
      </c>
      <c r="U75" s="235">
        <f>$O$84*$D$58/5</f>
        <v>4372.5</v>
      </c>
      <c r="V75" s="376"/>
      <c r="W75" s="235">
        <f>$O$84*$D$58/5</f>
        <v>4372.5</v>
      </c>
      <c r="X75" s="235">
        <f>$O$84*$D$58/5</f>
        <v>4372.5</v>
      </c>
      <c r="Y75" s="235">
        <f>$O$84*$D$58/5</f>
        <v>4372.5</v>
      </c>
      <c r="Z75" s="376"/>
      <c r="AA75" s="235">
        <f t="shared" ref="AA75:AF75" si="17">$O$84*$D$58/5</f>
        <v>4372.5</v>
      </c>
      <c r="AB75" s="235">
        <f t="shared" si="17"/>
        <v>4372.5</v>
      </c>
      <c r="AC75" s="235">
        <f t="shared" si="17"/>
        <v>4372.5</v>
      </c>
      <c r="AD75" s="235">
        <f t="shared" si="17"/>
        <v>4372.5</v>
      </c>
      <c r="AE75" s="235">
        <f t="shared" si="17"/>
        <v>4372.5</v>
      </c>
      <c r="AF75" s="235">
        <f t="shared" si="17"/>
        <v>4372.5</v>
      </c>
      <c r="AG75" s="376"/>
      <c r="AH75" s="235">
        <f>$O$84*$D$58/5</f>
        <v>4372.5</v>
      </c>
      <c r="AI75" s="235">
        <f>$O$84*$D$58/5</f>
        <v>4372.5</v>
      </c>
      <c r="AJ75" s="235">
        <f>$O$84*$D$58/5</f>
        <v>4372.5</v>
      </c>
      <c r="AK75" s="235">
        <f>$O$84*$D$58/5</f>
        <v>4372.5</v>
      </c>
      <c r="AL75" s="266">
        <f>SUM(I75:AK75)</f>
        <v>91822.5</v>
      </c>
      <c r="AM75" s="267"/>
      <c r="AN75" s="267"/>
      <c r="AO75" s="267"/>
      <c r="AP75" s="428"/>
      <c r="AQ75" s="108"/>
      <c r="AR75" s="108"/>
      <c r="AS75" s="428"/>
      <c r="AT75" s="121"/>
      <c r="AU75" s="428"/>
      <c r="AV75" s="428"/>
    </row>
    <row r="76" spans="1:48" hidden="1">
      <c r="A76" s="486"/>
      <c r="B76" s="486"/>
      <c r="C76" s="455"/>
      <c r="D76" s="469"/>
      <c r="E76" s="443"/>
      <c r="F76" s="455"/>
      <c r="G76" s="134"/>
      <c r="H76" s="187" t="s">
        <v>27</v>
      </c>
      <c r="I76" s="212"/>
      <c r="J76" s="212">
        <v>1</v>
      </c>
      <c r="K76" s="212"/>
      <c r="L76" s="376"/>
      <c r="M76" s="212">
        <v>1</v>
      </c>
      <c r="N76" s="212"/>
      <c r="O76" s="212"/>
      <c r="P76" s="376"/>
      <c r="Q76" s="376"/>
      <c r="R76" s="376"/>
      <c r="S76" s="376"/>
      <c r="T76" s="212">
        <v>1</v>
      </c>
      <c r="U76" s="212"/>
      <c r="V76" s="376"/>
      <c r="W76" s="212">
        <v>1</v>
      </c>
      <c r="X76" s="212"/>
      <c r="Y76" s="212"/>
      <c r="Z76" s="376"/>
      <c r="AA76" s="212">
        <v>1</v>
      </c>
      <c r="AB76" s="212"/>
      <c r="AC76" s="212">
        <v>1</v>
      </c>
      <c r="AD76" s="212"/>
      <c r="AE76" s="212"/>
      <c r="AF76" s="212">
        <v>1</v>
      </c>
      <c r="AG76" s="376"/>
      <c r="AH76" s="212"/>
      <c r="AI76" s="212">
        <v>1</v>
      </c>
      <c r="AJ76" s="212"/>
      <c r="AK76" s="212"/>
      <c r="AL76" s="266"/>
      <c r="AM76" s="267"/>
      <c r="AN76" s="267"/>
      <c r="AO76" s="267"/>
      <c r="AP76" s="428"/>
      <c r="AQ76" s="108"/>
      <c r="AR76" s="108"/>
      <c r="AS76" s="428"/>
      <c r="AT76" s="121"/>
      <c r="AU76" s="428"/>
      <c r="AV76" s="428"/>
    </row>
    <row r="77" spans="1:48" hidden="1">
      <c r="A77" s="486"/>
      <c r="B77" s="486"/>
      <c r="C77" s="455"/>
      <c r="D77" s="469"/>
      <c r="E77" s="443"/>
      <c r="F77" s="455"/>
      <c r="G77" s="134"/>
      <c r="H77" s="188" t="s">
        <v>15</v>
      </c>
      <c r="I77" s="215"/>
      <c r="J77" s="215"/>
      <c r="K77" s="215"/>
      <c r="L77" s="376"/>
      <c r="M77" s="215">
        <f>23066</f>
        <v>23066</v>
      </c>
      <c r="N77" s="215"/>
      <c r="O77" s="215"/>
      <c r="P77" s="376"/>
      <c r="Q77" s="376"/>
      <c r="R77" s="376"/>
      <c r="S77" s="376"/>
      <c r="T77" s="215"/>
      <c r="U77" s="215"/>
      <c r="V77" s="376"/>
      <c r="W77" s="215"/>
      <c r="X77" s="215"/>
      <c r="Y77" s="215"/>
      <c r="Z77" s="376"/>
      <c r="AA77" s="215"/>
      <c r="AB77" s="215"/>
      <c r="AC77" s="215"/>
      <c r="AD77" s="215"/>
      <c r="AE77" s="215"/>
      <c r="AF77" s="215"/>
      <c r="AG77" s="376"/>
      <c r="AH77" s="215"/>
      <c r="AI77" s="215"/>
      <c r="AJ77" s="215"/>
      <c r="AK77" s="215"/>
      <c r="AL77" s="265">
        <f>SUM(I77:AK77)</f>
        <v>23066</v>
      </c>
      <c r="AM77" s="267"/>
      <c r="AN77" s="267"/>
      <c r="AO77" s="267"/>
      <c r="AP77" s="428"/>
      <c r="AQ77" s="108"/>
      <c r="AR77" s="108"/>
      <c r="AS77" s="428"/>
      <c r="AT77" s="121"/>
      <c r="AU77" s="428"/>
      <c r="AV77" s="428"/>
    </row>
    <row r="78" spans="1:48" hidden="1">
      <c r="A78" s="486"/>
      <c r="B78" s="486"/>
      <c r="C78" s="455"/>
      <c r="D78" s="469"/>
      <c r="E78" s="443"/>
      <c r="F78" s="455"/>
      <c r="G78" s="134"/>
      <c r="H78" s="187" t="s">
        <v>30</v>
      </c>
      <c r="I78" s="212">
        <f>$O$84*$D$58/5</f>
        <v>4372.5</v>
      </c>
      <c r="J78" s="212">
        <f>$O$84*$D$58/5</f>
        <v>4372.5</v>
      </c>
      <c r="K78" s="212">
        <f>$O$84*$D$58/5</f>
        <v>4372.5</v>
      </c>
      <c r="L78" s="376"/>
      <c r="M78" s="212">
        <f>$O$84*$D$58/5</f>
        <v>4372.5</v>
      </c>
      <c r="N78" s="212">
        <f>$O$84*$D$58/5</f>
        <v>4372.5</v>
      </c>
      <c r="O78" s="212">
        <f>$O$84*$D$58/5</f>
        <v>4372.5</v>
      </c>
      <c r="P78" s="376"/>
      <c r="Q78" s="376"/>
      <c r="R78" s="376"/>
      <c r="S78" s="376"/>
      <c r="T78" s="212">
        <f>$O$84*$D$58/5</f>
        <v>4372.5</v>
      </c>
      <c r="U78" s="212">
        <f>$O$84*$D$58/5</f>
        <v>4372.5</v>
      </c>
      <c r="V78" s="376"/>
      <c r="W78" s="212">
        <f>$O$84*$D$58/5</f>
        <v>4372.5</v>
      </c>
      <c r="X78" s="212">
        <f>$O$84*$D$58/5</f>
        <v>4372.5</v>
      </c>
      <c r="Y78" s="212">
        <f>$O$84*$D$58/5</f>
        <v>4372.5</v>
      </c>
      <c r="Z78" s="376"/>
      <c r="AA78" s="212">
        <f t="shared" ref="AA78:AF78" si="18">$O$84*$D$58/5</f>
        <v>4372.5</v>
      </c>
      <c r="AB78" s="212">
        <f t="shared" si="18"/>
        <v>4372.5</v>
      </c>
      <c r="AC78" s="212">
        <f t="shared" si="18"/>
        <v>4372.5</v>
      </c>
      <c r="AD78" s="212">
        <f t="shared" si="18"/>
        <v>4372.5</v>
      </c>
      <c r="AE78" s="212">
        <f t="shared" si="18"/>
        <v>4372.5</v>
      </c>
      <c r="AF78" s="212">
        <f t="shared" si="18"/>
        <v>4372.5</v>
      </c>
      <c r="AG78" s="376"/>
      <c r="AH78" s="212">
        <f>$O$84*$D$58/5</f>
        <v>4372.5</v>
      </c>
      <c r="AI78" s="212">
        <f>$O$84*$D$58/5</f>
        <v>4372.5</v>
      </c>
      <c r="AJ78" s="212">
        <f>$O$84*$D$58/5</f>
        <v>4372.5</v>
      </c>
      <c r="AK78" s="212">
        <f>$O$84*$D$58/5</f>
        <v>4372.5</v>
      </c>
      <c r="AL78" s="266">
        <f>SUM(I78:AK78)</f>
        <v>91822.5</v>
      </c>
      <c r="AM78" s="267"/>
      <c r="AN78" s="267"/>
      <c r="AO78" s="267"/>
      <c r="AP78" s="428"/>
      <c r="AQ78" s="108"/>
      <c r="AR78" s="108"/>
      <c r="AS78" s="428"/>
      <c r="AT78" s="121"/>
      <c r="AU78" s="428"/>
      <c r="AV78" s="428"/>
    </row>
    <row r="79" spans="1:48" hidden="1">
      <c r="A79" s="486"/>
      <c r="B79" s="486"/>
      <c r="C79" s="455"/>
      <c r="D79" s="469"/>
      <c r="E79" s="443"/>
      <c r="F79" s="455"/>
      <c r="G79" s="134"/>
      <c r="H79" s="187" t="s">
        <v>31</v>
      </c>
      <c r="I79" s="212"/>
      <c r="J79" s="212"/>
      <c r="K79" s="212">
        <v>1</v>
      </c>
      <c r="L79" s="376"/>
      <c r="M79" s="212">
        <v>1</v>
      </c>
      <c r="N79" s="212">
        <v>1</v>
      </c>
      <c r="O79" s="212"/>
      <c r="P79" s="376"/>
      <c r="Q79" s="376"/>
      <c r="R79" s="376"/>
      <c r="S79" s="376"/>
      <c r="T79" s="212"/>
      <c r="U79" s="212">
        <v>1</v>
      </c>
      <c r="V79" s="376"/>
      <c r="W79" s="212">
        <v>1</v>
      </c>
      <c r="X79" s="212">
        <v>1</v>
      </c>
      <c r="Y79" s="212"/>
      <c r="Z79" s="376"/>
      <c r="AA79" s="212"/>
      <c r="AB79" s="212">
        <v>1</v>
      </c>
      <c r="AC79" s="212">
        <v>1</v>
      </c>
      <c r="AD79" s="212">
        <v>1</v>
      </c>
      <c r="AE79" s="212"/>
      <c r="AF79" s="212"/>
      <c r="AG79" s="376"/>
      <c r="AH79" s="212">
        <v>1</v>
      </c>
      <c r="AI79" s="212">
        <v>1</v>
      </c>
      <c r="AJ79" s="212">
        <v>1</v>
      </c>
      <c r="AK79" s="212"/>
      <c r="AL79" s="266"/>
      <c r="AM79" s="267"/>
      <c r="AN79" s="267"/>
      <c r="AO79" s="267"/>
      <c r="AP79" s="428"/>
      <c r="AQ79" s="108"/>
      <c r="AR79" s="108"/>
      <c r="AS79" s="428"/>
      <c r="AT79" s="121"/>
      <c r="AU79" s="428"/>
      <c r="AV79" s="428"/>
    </row>
    <row r="80" spans="1:48" hidden="1">
      <c r="A80" s="486"/>
      <c r="B80" s="486"/>
      <c r="C80" s="455"/>
      <c r="D80" s="469"/>
      <c r="E80" s="443"/>
      <c r="F80" s="455"/>
      <c r="G80" s="13"/>
      <c r="H80" s="188" t="s">
        <v>15</v>
      </c>
      <c r="I80" s="215">
        <f>1200+3500+1308+2969</f>
        <v>8977</v>
      </c>
      <c r="J80" s="215"/>
      <c r="K80" s="215"/>
      <c r="L80" s="376"/>
      <c r="M80" s="215"/>
      <c r="N80" s="215"/>
      <c r="O80" s="215"/>
      <c r="P80" s="376"/>
      <c r="Q80" s="376"/>
      <c r="R80" s="376"/>
      <c r="S80" s="376"/>
      <c r="T80" s="215">
        <f>4661+1127</f>
        <v>5788</v>
      </c>
      <c r="U80" s="215">
        <f>28+4169</f>
        <v>4197</v>
      </c>
      <c r="V80" s="376"/>
      <c r="W80" s="215">
        <f>500+4656+77+4659+615</f>
        <v>10507</v>
      </c>
      <c r="X80" s="215"/>
      <c r="Y80" s="215"/>
      <c r="Z80" s="376"/>
      <c r="AA80" s="215"/>
      <c r="AB80" s="215"/>
      <c r="AC80" s="215"/>
      <c r="AD80" s="215"/>
      <c r="AE80" s="215"/>
      <c r="AF80" s="215"/>
      <c r="AG80" s="376"/>
      <c r="AH80" s="215"/>
      <c r="AI80" s="215"/>
      <c r="AJ80" s="215"/>
      <c r="AK80" s="215"/>
      <c r="AL80" s="265">
        <f>SUM(I80:AK80)</f>
        <v>29469</v>
      </c>
      <c r="AM80" s="267"/>
      <c r="AN80" s="267"/>
      <c r="AO80" s="267"/>
      <c r="AP80" s="428"/>
      <c r="AQ80" s="108"/>
      <c r="AR80" s="108"/>
      <c r="AS80" s="428"/>
      <c r="AT80" s="121"/>
      <c r="AU80" s="428"/>
      <c r="AV80" s="428"/>
    </row>
    <row r="81" spans="1:48" hidden="1">
      <c r="A81" s="486"/>
      <c r="B81" s="486"/>
      <c r="C81" s="455"/>
      <c r="D81" s="469"/>
      <c r="E81" s="443"/>
      <c r="F81" s="455"/>
      <c r="G81" s="13"/>
      <c r="H81" s="187" t="s">
        <v>49</v>
      </c>
      <c r="I81" s="212">
        <f>$O$84*$D$58/5</f>
        <v>4372.5</v>
      </c>
      <c r="J81" s="212">
        <f>$O$84*$D$58/5</f>
        <v>4372.5</v>
      </c>
      <c r="K81" s="212">
        <f>$O$84*$D$58/5</f>
        <v>4372.5</v>
      </c>
      <c r="L81" s="376"/>
      <c r="M81" s="212">
        <f>$O$84*$D$58/5</f>
        <v>4372.5</v>
      </c>
      <c r="N81" s="212">
        <f>$O$84*$D$58/5</f>
        <v>4372.5</v>
      </c>
      <c r="O81" s="212">
        <f>$O$84*$D$58/5</f>
        <v>4372.5</v>
      </c>
      <c r="P81" s="376"/>
      <c r="Q81" s="376"/>
      <c r="R81" s="376"/>
      <c r="S81" s="376"/>
      <c r="T81" s="212">
        <f>$O$84*$D$58/5</f>
        <v>4372.5</v>
      </c>
      <c r="U81" s="212">
        <f>$O$84*$D$58/5</f>
        <v>4372.5</v>
      </c>
      <c r="V81" s="376"/>
      <c r="W81" s="212">
        <f>$O$84*$D$58/5</f>
        <v>4372.5</v>
      </c>
      <c r="X81" s="212">
        <f>$O$84*$D$58/5</f>
        <v>4372.5</v>
      </c>
      <c r="Y81" s="212">
        <f>$O$84*$D$58/5</f>
        <v>4372.5</v>
      </c>
      <c r="Z81" s="376"/>
      <c r="AA81" s="212">
        <f t="shared" ref="AA81:AF81" si="19">$O$84*$D$58/5</f>
        <v>4372.5</v>
      </c>
      <c r="AB81" s="212">
        <f t="shared" si="19"/>
        <v>4372.5</v>
      </c>
      <c r="AC81" s="212">
        <f t="shared" si="19"/>
        <v>4372.5</v>
      </c>
      <c r="AD81" s="212">
        <f t="shared" si="19"/>
        <v>4372.5</v>
      </c>
      <c r="AE81" s="212">
        <f t="shared" si="19"/>
        <v>4372.5</v>
      </c>
      <c r="AF81" s="212">
        <f t="shared" si="19"/>
        <v>4372.5</v>
      </c>
      <c r="AG81" s="376"/>
      <c r="AH81" s="212">
        <f>$O$84*$D$58/5</f>
        <v>4372.5</v>
      </c>
      <c r="AI81" s="212">
        <f>$O$84*$D$58/5</f>
        <v>4372.5</v>
      </c>
      <c r="AJ81" s="212">
        <f>$O$84*$D$58/5</f>
        <v>4372.5</v>
      </c>
      <c r="AK81" s="212">
        <f>$O$84*$D$58/5</f>
        <v>4372.5</v>
      </c>
      <c r="AL81" s="266">
        <f>SUM(I81:AK81)</f>
        <v>91822.5</v>
      </c>
      <c r="AM81" s="267"/>
      <c r="AN81" s="267"/>
      <c r="AO81" s="267"/>
      <c r="AP81" s="108"/>
      <c r="AQ81" s="108"/>
      <c r="AR81" s="108"/>
      <c r="AS81" s="108"/>
      <c r="AT81" s="121"/>
      <c r="AU81" s="108"/>
      <c r="AV81" s="108"/>
    </row>
    <row r="82" spans="1:48" hidden="1">
      <c r="A82" s="486"/>
      <c r="B82" s="486"/>
      <c r="C82" s="455"/>
      <c r="D82" s="469"/>
      <c r="E82" s="443"/>
      <c r="F82" s="455"/>
      <c r="G82" s="13"/>
      <c r="H82" s="187" t="s">
        <v>50</v>
      </c>
      <c r="I82" s="212"/>
      <c r="J82" s="212"/>
      <c r="K82" s="212"/>
      <c r="L82" s="376"/>
      <c r="M82" s="212">
        <v>2</v>
      </c>
      <c r="N82" s="212">
        <v>2</v>
      </c>
      <c r="O82" s="212"/>
      <c r="P82" s="376"/>
      <c r="Q82" s="376"/>
      <c r="R82" s="376"/>
      <c r="S82" s="376"/>
      <c r="T82" s="212"/>
      <c r="U82" s="212"/>
      <c r="V82" s="376"/>
      <c r="W82" s="212">
        <v>2</v>
      </c>
      <c r="X82" s="212">
        <v>2</v>
      </c>
      <c r="Y82" s="212"/>
      <c r="Z82" s="376"/>
      <c r="AA82" s="212"/>
      <c r="AB82" s="212"/>
      <c r="AC82" s="212">
        <v>2</v>
      </c>
      <c r="AD82" s="212">
        <v>2</v>
      </c>
      <c r="AE82" s="212"/>
      <c r="AF82" s="212"/>
      <c r="AG82" s="376"/>
      <c r="AH82" s="212"/>
      <c r="AI82" s="212">
        <v>2</v>
      </c>
      <c r="AJ82" s="212">
        <v>2</v>
      </c>
      <c r="AK82" s="212"/>
      <c r="AL82" s="266"/>
      <c r="AM82" s="267"/>
      <c r="AN82" s="267"/>
      <c r="AO82" s="267"/>
      <c r="AP82" s="108"/>
      <c r="AQ82" s="108"/>
      <c r="AR82" s="108"/>
      <c r="AS82" s="108"/>
      <c r="AT82" s="121"/>
      <c r="AU82" s="108"/>
      <c r="AV82" s="108"/>
    </row>
    <row r="83" spans="1:48" hidden="1">
      <c r="A83" s="486"/>
      <c r="B83" s="486"/>
      <c r="C83" s="455"/>
      <c r="D83" s="469"/>
      <c r="E83" s="443"/>
      <c r="F83" s="455"/>
      <c r="G83" s="13"/>
      <c r="H83" s="188" t="s">
        <v>15</v>
      </c>
      <c r="I83" s="215">
        <v>6751</v>
      </c>
      <c r="J83" s="215">
        <v>7303</v>
      </c>
      <c r="K83" s="215">
        <v>1900</v>
      </c>
      <c r="L83" s="376"/>
      <c r="M83" s="215"/>
      <c r="N83" s="215"/>
      <c r="O83" s="215"/>
      <c r="P83" s="376"/>
      <c r="Q83" s="376"/>
      <c r="R83" s="376"/>
      <c r="S83" s="376"/>
      <c r="T83" s="215"/>
      <c r="U83" s="215">
        <v>4144</v>
      </c>
      <c r="V83" s="376"/>
      <c r="W83" s="215">
        <v>1292</v>
      </c>
      <c r="X83" s="215">
        <f>1500+1533+1600+1500+950+1400</f>
        <v>8483</v>
      </c>
      <c r="Y83" s="215"/>
      <c r="Z83" s="376"/>
      <c r="AA83" s="215"/>
      <c r="AB83" s="215"/>
      <c r="AC83" s="215"/>
      <c r="AD83" s="215"/>
      <c r="AE83" s="215"/>
      <c r="AF83" s="215"/>
      <c r="AG83" s="376"/>
      <c r="AH83" s="215"/>
      <c r="AI83" s="215"/>
      <c r="AJ83" s="215"/>
      <c r="AK83" s="215"/>
      <c r="AL83" s="265">
        <f>SUM(I83:AK83)</f>
        <v>29873</v>
      </c>
      <c r="AM83" s="267"/>
      <c r="AN83" s="267"/>
      <c r="AO83" s="267"/>
      <c r="AP83" s="108"/>
      <c r="AQ83" s="108"/>
      <c r="AR83" s="108"/>
      <c r="AS83" s="108"/>
      <c r="AT83" s="121"/>
      <c r="AU83" s="108"/>
      <c r="AV83" s="108"/>
    </row>
    <row r="84" spans="1:48" hidden="1">
      <c r="A84" s="486"/>
      <c r="B84" s="486"/>
      <c r="C84" s="455"/>
      <c r="D84" s="469"/>
      <c r="E84" s="443"/>
      <c r="F84" s="455"/>
      <c r="G84" s="134"/>
      <c r="H84" s="187" t="s">
        <v>32</v>
      </c>
      <c r="I84" s="212"/>
      <c r="J84" s="212"/>
      <c r="K84" s="212"/>
      <c r="L84" s="376"/>
      <c r="M84" s="212"/>
      <c r="N84" s="212"/>
      <c r="O84" s="212">
        <f>($C$58*5)+($C$58*5*10%)</f>
        <v>13750</v>
      </c>
      <c r="P84" s="376"/>
      <c r="Q84" s="376"/>
      <c r="R84" s="376"/>
      <c r="S84" s="376"/>
      <c r="T84" s="212"/>
      <c r="U84" s="212"/>
      <c r="V84" s="376"/>
      <c r="W84" s="212"/>
      <c r="X84" s="212"/>
      <c r="Y84" s="212">
        <f>($C$58*5)+($C$58*5*10%)</f>
        <v>13750</v>
      </c>
      <c r="Z84" s="376"/>
      <c r="AA84" s="212"/>
      <c r="AB84" s="212"/>
      <c r="AC84" s="212"/>
      <c r="AD84" s="212"/>
      <c r="AE84" s="212">
        <f>($C$58*5)+($C$58*5*10%)</f>
        <v>13750</v>
      </c>
      <c r="AF84" s="212"/>
      <c r="AG84" s="376"/>
      <c r="AH84" s="212"/>
      <c r="AI84" s="212"/>
      <c r="AJ84" s="212"/>
      <c r="AK84" s="212">
        <f>($C$58*5)+($C$58*5*10%)</f>
        <v>13750</v>
      </c>
      <c r="AL84" s="266">
        <f>SUM(I84:AK84)</f>
        <v>55000</v>
      </c>
      <c r="AM84" s="267"/>
      <c r="AN84" s="267"/>
      <c r="AO84" s="267"/>
      <c r="AP84" s="108"/>
      <c r="AQ84" s="108"/>
      <c r="AR84" s="108"/>
      <c r="AS84" s="108"/>
      <c r="AT84" s="121"/>
      <c r="AU84" s="108"/>
      <c r="AV84" s="108"/>
    </row>
    <row r="85" spans="1:48" hidden="1">
      <c r="A85" s="486"/>
      <c r="B85" s="486"/>
      <c r="C85" s="455"/>
      <c r="D85" s="469"/>
      <c r="E85" s="443"/>
      <c r="F85" s="455"/>
      <c r="G85" s="134"/>
      <c r="H85" s="187" t="s">
        <v>51</v>
      </c>
      <c r="I85" s="212"/>
      <c r="J85" s="212"/>
      <c r="K85" s="212"/>
      <c r="L85" s="376"/>
      <c r="M85" s="212"/>
      <c r="N85" s="212"/>
      <c r="O85" s="212">
        <v>1</v>
      </c>
      <c r="P85" s="376"/>
      <c r="Q85" s="376"/>
      <c r="R85" s="376"/>
      <c r="S85" s="376"/>
      <c r="T85" s="212"/>
      <c r="U85" s="212"/>
      <c r="V85" s="376"/>
      <c r="W85" s="212"/>
      <c r="X85" s="212"/>
      <c r="Y85" s="212">
        <v>1</v>
      </c>
      <c r="Z85" s="376"/>
      <c r="AA85" s="212"/>
      <c r="AB85" s="212"/>
      <c r="AC85" s="212"/>
      <c r="AD85" s="212"/>
      <c r="AE85" s="212">
        <v>1</v>
      </c>
      <c r="AF85" s="212"/>
      <c r="AG85" s="376"/>
      <c r="AH85" s="212"/>
      <c r="AI85" s="212"/>
      <c r="AJ85" s="212"/>
      <c r="AK85" s="212">
        <v>1</v>
      </c>
      <c r="AL85" s="266"/>
      <c r="AM85" s="267"/>
      <c r="AN85" s="267"/>
      <c r="AO85" s="267"/>
      <c r="AP85" s="108"/>
      <c r="AQ85" s="108"/>
      <c r="AR85" s="108"/>
      <c r="AS85" s="108"/>
      <c r="AT85" s="121"/>
      <c r="AU85" s="108"/>
      <c r="AV85" s="108"/>
    </row>
    <row r="86" spans="1:48" hidden="1">
      <c r="A86" s="487"/>
      <c r="B86" s="487"/>
      <c r="C86" s="456"/>
      <c r="D86" s="470"/>
      <c r="E86" s="444"/>
      <c r="F86" s="456"/>
      <c r="G86" s="135"/>
      <c r="H86" s="192" t="s">
        <v>15</v>
      </c>
      <c r="I86" s="220"/>
      <c r="J86" s="220"/>
      <c r="K86" s="220">
        <f>9000+6150</f>
        <v>15150</v>
      </c>
      <c r="L86" s="397"/>
      <c r="M86" s="220"/>
      <c r="N86" s="220">
        <v>6042</v>
      </c>
      <c r="O86" s="220">
        <v>7762</v>
      </c>
      <c r="P86" s="397"/>
      <c r="Q86" s="397"/>
      <c r="R86" s="397"/>
      <c r="S86" s="397"/>
      <c r="T86" s="220"/>
      <c r="U86" s="220"/>
      <c r="V86" s="397"/>
      <c r="W86" s="220"/>
      <c r="X86" s="220"/>
      <c r="Y86" s="220">
        <v>5909</v>
      </c>
      <c r="Z86" s="397"/>
      <c r="AA86" s="220"/>
      <c r="AB86" s="220"/>
      <c r="AC86" s="220"/>
      <c r="AD86" s="220"/>
      <c r="AE86" s="220"/>
      <c r="AF86" s="220"/>
      <c r="AG86" s="397"/>
      <c r="AH86" s="220"/>
      <c r="AI86" s="220"/>
      <c r="AJ86" s="220"/>
      <c r="AK86" s="220"/>
      <c r="AL86" s="285">
        <f>SUM(I86:AK86)</f>
        <v>34863</v>
      </c>
      <c r="AM86" s="267"/>
      <c r="AN86" s="267"/>
      <c r="AO86" s="267"/>
      <c r="AP86" s="108"/>
      <c r="AQ86" s="108"/>
      <c r="AR86" s="108"/>
      <c r="AS86" s="108"/>
      <c r="AT86" s="121"/>
      <c r="AU86" s="108"/>
      <c r="AV86" s="108"/>
    </row>
    <row r="87" spans="1:48" ht="15" hidden="1" customHeight="1">
      <c r="A87" s="488" t="s">
        <v>52</v>
      </c>
      <c r="B87" s="501" t="s">
        <v>53</v>
      </c>
      <c r="C87" s="457">
        <v>2000</v>
      </c>
      <c r="D87" s="471">
        <v>1.56</v>
      </c>
      <c r="E87" s="445"/>
      <c r="F87" s="457" t="s">
        <v>54</v>
      </c>
      <c r="G87" s="133">
        <v>0.16</v>
      </c>
      <c r="H87" s="189" t="s">
        <v>12</v>
      </c>
      <c r="I87" s="272">
        <f>(6.91*20)+(2.41*20)</f>
        <v>186.4</v>
      </c>
      <c r="J87" s="233"/>
      <c r="K87" s="233"/>
      <c r="L87" s="398"/>
      <c r="M87" s="233"/>
      <c r="N87" s="233"/>
      <c r="O87" s="233"/>
      <c r="P87" s="398"/>
      <c r="Q87" s="398"/>
      <c r="R87" s="398"/>
      <c r="S87" s="398"/>
      <c r="T87" s="233"/>
      <c r="U87" s="233"/>
      <c r="V87" s="398"/>
      <c r="W87" s="233"/>
      <c r="X87" s="233"/>
      <c r="Y87" s="233"/>
      <c r="Z87" s="398"/>
      <c r="AA87" s="233"/>
      <c r="AB87" s="233"/>
      <c r="AC87" s="233"/>
      <c r="AD87" s="233"/>
      <c r="AE87" s="233"/>
      <c r="AF87" s="233"/>
      <c r="AG87" s="398"/>
      <c r="AH87" s="233"/>
      <c r="AI87" s="233"/>
      <c r="AJ87" s="233"/>
      <c r="AK87" s="233"/>
      <c r="AL87" s="286"/>
      <c r="AM87" s="108"/>
      <c r="AN87" s="108"/>
      <c r="AO87" s="108"/>
      <c r="AP87" s="108"/>
      <c r="AQ87" s="108"/>
      <c r="AR87" s="108"/>
      <c r="AS87" s="108"/>
      <c r="AT87" s="108"/>
      <c r="AU87" s="428"/>
      <c r="AV87" s="428"/>
    </row>
    <row r="88" spans="1:48" ht="15" hidden="1" customHeight="1">
      <c r="A88" s="486"/>
      <c r="B88" s="502"/>
      <c r="C88" s="455"/>
      <c r="D88" s="472"/>
      <c r="E88" s="443"/>
      <c r="F88" s="455"/>
      <c r="G88" s="134"/>
      <c r="H88" s="187" t="s">
        <v>14</v>
      </c>
      <c r="I88" s="212">
        <v>1</v>
      </c>
      <c r="J88" s="212"/>
      <c r="K88" s="212"/>
      <c r="L88" s="376"/>
      <c r="M88" s="212"/>
      <c r="N88" s="212"/>
      <c r="O88" s="212"/>
      <c r="P88" s="376"/>
      <c r="Q88" s="376"/>
      <c r="R88" s="376"/>
      <c r="S88" s="376"/>
      <c r="T88" s="212"/>
      <c r="U88" s="212"/>
      <c r="V88" s="376"/>
      <c r="W88" s="212"/>
      <c r="X88" s="212"/>
      <c r="Y88" s="212"/>
      <c r="Z88" s="376"/>
      <c r="AA88" s="212"/>
      <c r="AB88" s="212"/>
      <c r="AC88" s="212"/>
      <c r="AD88" s="212"/>
      <c r="AE88" s="212"/>
      <c r="AF88" s="212"/>
      <c r="AG88" s="376"/>
      <c r="AH88" s="212"/>
      <c r="AI88" s="212"/>
      <c r="AJ88" s="212"/>
      <c r="AK88" s="212"/>
      <c r="AL88" s="265"/>
      <c r="AM88" s="108"/>
      <c r="AN88" s="108"/>
      <c r="AO88" s="108"/>
      <c r="AP88" s="108"/>
      <c r="AQ88" s="108"/>
      <c r="AR88" s="108"/>
      <c r="AS88" s="108"/>
      <c r="AT88" s="108"/>
      <c r="AU88" s="428"/>
      <c r="AV88" s="428"/>
    </row>
    <row r="89" spans="1:48" ht="15" hidden="1" customHeight="1">
      <c r="A89" s="486"/>
      <c r="B89" s="502"/>
      <c r="C89" s="455"/>
      <c r="D89" s="472"/>
      <c r="E89" s="443"/>
      <c r="F89" s="455"/>
      <c r="G89" s="134"/>
      <c r="H89" s="188" t="s">
        <v>15</v>
      </c>
      <c r="I89" s="215"/>
      <c r="J89" s="215"/>
      <c r="K89" s="215"/>
      <c r="L89" s="376"/>
      <c r="M89" s="215"/>
      <c r="N89" s="215"/>
      <c r="O89" s="215"/>
      <c r="P89" s="376"/>
      <c r="Q89" s="376"/>
      <c r="R89" s="376"/>
      <c r="S89" s="376"/>
      <c r="T89" s="215"/>
      <c r="U89" s="215"/>
      <c r="V89" s="376"/>
      <c r="W89" s="215"/>
      <c r="X89" s="215"/>
      <c r="Y89" s="215"/>
      <c r="Z89" s="376"/>
      <c r="AA89" s="215"/>
      <c r="AB89" s="215"/>
      <c r="AC89" s="215"/>
      <c r="AD89" s="215"/>
      <c r="AE89" s="215"/>
      <c r="AF89" s="215"/>
      <c r="AG89" s="376"/>
      <c r="AH89" s="215"/>
      <c r="AI89" s="215"/>
      <c r="AJ89" s="215"/>
      <c r="AK89" s="215"/>
      <c r="AL89" s="265"/>
      <c r="AM89" s="108"/>
      <c r="AN89" s="108"/>
      <c r="AO89" s="108"/>
      <c r="AP89" s="108"/>
      <c r="AQ89" s="108"/>
      <c r="AR89" s="108"/>
      <c r="AS89" s="108"/>
      <c r="AT89" s="108"/>
      <c r="AU89" s="428"/>
      <c r="AV89" s="428"/>
    </row>
    <row r="90" spans="1:48" ht="15" hidden="1" customHeight="1">
      <c r="A90" s="486"/>
      <c r="B90" s="502"/>
      <c r="C90" s="455"/>
      <c r="D90" s="472"/>
      <c r="E90" s="443"/>
      <c r="F90" s="455"/>
      <c r="G90" s="134">
        <v>0.12</v>
      </c>
      <c r="H90" s="187" t="s">
        <v>12</v>
      </c>
      <c r="I90" s="229">
        <f>(8.1*20)+(2.81*20)</f>
        <v>218.2</v>
      </c>
      <c r="J90" s="212"/>
      <c r="K90" s="212"/>
      <c r="L90" s="376"/>
      <c r="M90" s="212"/>
      <c r="N90" s="212"/>
      <c r="O90" s="212"/>
      <c r="P90" s="376"/>
      <c r="Q90" s="376"/>
      <c r="R90" s="376"/>
      <c r="S90" s="376"/>
      <c r="T90" s="212"/>
      <c r="U90" s="212"/>
      <c r="V90" s="376"/>
      <c r="W90" s="212"/>
      <c r="X90" s="212"/>
      <c r="Y90" s="212"/>
      <c r="Z90" s="376"/>
      <c r="AA90" s="212"/>
      <c r="AB90" s="212"/>
      <c r="AC90" s="212"/>
      <c r="AD90" s="212"/>
      <c r="AE90" s="212"/>
      <c r="AF90" s="212"/>
      <c r="AG90" s="376"/>
      <c r="AH90" s="212"/>
      <c r="AI90" s="212"/>
      <c r="AJ90" s="212"/>
      <c r="AK90" s="212"/>
      <c r="AL90" s="265"/>
      <c r="AM90" s="108"/>
      <c r="AN90" s="108"/>
      <c r="AO90" s="108"/>
      <c r="AP90" s="108"/>
      <c r="AQ90" s="108"/>
      <c r="AR90" s="108"/>
      <c r="AS90" s="108"/>
      <c r="AT90" s="108"/>
      <c r="AU90" s="428"/>
      <c r="AV90" s="428"/>
    </row>
    <row r="91" spans="1:48" hidden="1">
      <c r="A91" s="486"/>
      <c r="B91" s="502"/>
      <c r="C91" s="455"/>
      <c r="D91" s="472"/>
      <c r="E91" s="443"/>
      <c r="F91" s="455"/>
      <c r="G91" s="134"/>
      <c r="H91" s="187" t="s">
        <v>14</v>
      </c>
      <c r="I91" s="212">
        <v>1</v>
      </c>
      <c r="J91" s="212"/>
      <c r="K91" s="212"/>
      <c r="L91" s="376"/>
      <c r="M91" s="212"/>
      <c r="N91" s="212"/>
      <c r="O91" s="212"/>
      <c r="P91" s="376"/>
      <c r="Q91" s="376"/>
      <c r="R91" s="376"/>
      <c r="S91" s="376"/>
      <c r="T91" s="212"/>
      <c r="U91" s="212"/>
      <c r="V91" s="376"/>
      <c r="W91" s="212"/>
      <c r="X91" s="212"/>
      <c r="Y91" s="212"/>
      <c r="Z91" s="376"/>
      <c r="AA91" s="212"/>
      <c r="AB91" s="212"/>
      <c r="AC91" s="212"/>
      <c r="AD91" s="212"/>
      <c r="AE91" s="212"/>
      <c r="AF91" s="212"/>
      <c r="AG91" s="376"/>
      <c r="AH91" s="212"/>
      <c r="AI91" s="212"/>
      <c r="AJ91" s="212"/>
      <c r="AK91" s="212"/>
      <c r="AL91" s="265"/>
      <c r="AM91" s="267"/>
      <c r="AN91" s="267"/>
      <c r="AO91" s="267"/>
      <c r="AP91" s="108"/>
      <c r="AQ91" s="108"/>
      <c r="AR91" s="108"/>
      <c r="AS91" s="108"/>
      <c r="AT91" s="108"/>
      <c r="AU91" s="428"/>
      <c r="AV91" s="428"/>
    </row>
    <row r="92" spans="1:48" hidden="1">
      <c r="A92" s="486"/>
      <c r="B92" s="502"/>
      <c r="C92" s="455"/>
      <c r="D92" s="472"/>
      <c r="E92" s="443"/>
      <c r="F92" s="455"/>
      <c r="G92" s="134"/>
      <c r="H92" s="188" t="s">
        <v>15</v>
      </c>
      <c r="I92" s="215"/>
      <c r="J92" s="215"/>
      <c r="K92" s="215"/>
      <c r="L92" s="376"/>
      <c r="M92" s="215"/>
      <c r="N92" s="215"/>
      <c r="O92" s="215"/>
      <c r="P92" s="376"/>
      <c r="Q92" s="376"/>
      <c r="R92" s="376"/>
      <c r="S92" s="376"/>
      <c r="T92" s="215"/>
      <c r="U92" s="215"/>
      <c r="V92" s="376"/>
      <c r="W92" s="215"/>
      <c r="X92" s="215"/>
      <c r="Y92" s="215"/>
      <c r="Z92" s="376"/>
      <c r="AA92" s="215"/>
      <c r="AB92" s="215"/>
      <c r="AC92" s="215"/>
      <c r="AD92" s="215"/>
      <c r="AE92" s="215"/>
      <c r="AF92" s="215"/>
      <c r="AG92" s="376"/>
      <c r="AH92" s="215"/>
      <c r="AI92" s="215"/>
      <c r="AJ92" s="215"/>
      <c r="AK92" s="215"/>
      <c r="AL92" s="265"/>
      <c r="AM92" s="108"/>
      <c r="AN92" s="108"/>
      <c r="AO92" s="108"/>
      <c r="AP92" s="108"/>
      <c r="AQ92" s="108"/>
      <c r="AR92" s="108"/>
      <c r="AS92" s="108"/>
      <c r="AT92" s="108"/>
      <c r="AU92" s="428"/>
      <c r="AV92" s="428"/>
    </row>
    <row r="93" spans="1:48" hidden="1">
      <c r="A93" s="486"/>
      <c r="B93" s="502"/>
      <c r="C93" s="455"/>
      <c r="D93" s="472"/>
      <c r="E93" s="443"/>
      <c r="F93" s="455"/>
      <c r="G93" s="134" t="s">
        <v>55</v>
      </c>
      <c r="H93" s="187" t="s">
        <v>22</v>
      </c>
      <c r="I93" s="212">
        <f>($O$102*$D$87)+($O$105*$D$98)</f>
        <v>21050</v>
      </c>
      <c r="J93" s="212"/>
      <c r="K93" s="212"/>
      <c r="L93" s="376"/>
      <c r="M93" s="212"/>
      <c r="N93" s="212"/>
      <c r="O93" s="212">
        <f>($O$102*$D$87)+($O$105*$D$98)</f>
        <v>21050</v>
      </c>
      <c r="P93" s="376"/>
      <c r="Q93" s="376"/>
      <c r="R93" s="376"/>
      <c r="S93" s="376"/>
      <c r="T93" s="212"/>
      <c r="U93" s="212"/>
      <c r="V93" s="376"/>
      <c r="W93" s="212"/>
      <c r="X93" s="212"/>
      <c r="Y93" s="212">
        <f>($O$102*$D$87)+($O$105*$D$98)</f>
        <v>21050</v>
      </c>
      <c r="Z93" s="376"/>
      <c r="AA93" s="212"/>
      <c r="AB93" s="212"/>
      <c r="AC93" s="212"/>
      <c r="AD93" s="212"/>
      <c r="AE93" s="212">
        <f>($O$102*$D$87)+($O$105*$D$98)</f>
        <v>21050</v>
      </c>
      <c r="AF93" s="212"/>
      <c r="AG93" s="376"/>
      <c r="AH93" s="212"/>
      <c r="AI93" s="212"/>
      <c r="AJ93" s="212"/>
      <c r="AK93" s="212">
        <f>($O$102*$D$87)+($O$105*$D$98)</f>
        <v>21050</v>
      </c>
      <c r="AL93" s="266">
        <f>SUM(I93:AK93)</f>
        <v>105250</v>
      </c>
      <c r="AM93" s="108"/>
      <c r="AN93" s="108"/>
      <c r="AO93" s="108"/>
      <c r="AP93" s="108"/>
      <c r="AQ93" s="108"/>
      <c r="AR93" s="108"/>
      <c r="AS93" s="108"/>
      <c r="AT93" s="108"/>
      <c r="AU93" s="108"/>
      <c r="AV93" s="428"/>
    </row>
    <row r="94" spans="1:48" hidden="1">
      <c r="A94" s="486"/>
      <c r="B94" s="502"/>
      <c r="C94" s="455"/>
      <c r="D94" s="472"/>
      <c r="E94" s="443"/>
      <c r="F94" s="455"/>
      <c r="G94" s="134"/>
      <c r="H94" s="187" t="s">
        <v>20</v>
      </c>
      <c r="I94" s="212">
        <v>1</v>
      </c>
      <c r="J94" s="212"/>
      <c r="K94" s="212"/>
      <c r="L94" s="376"/>
      <c r="M94" s="212"/>
      <c r="N94" s="212"/>
      <c r="O94" s="212">
        <v>1</v>
      </c>
      <c r="P94" s="376"/>
      <c r="Q94" s="376"/>
      <c r="R94" s="376"/>
      <c r="S94" s="376"/>
      <c r="T94" s="212"/>
      <c r="U94" s="212"/>
      <c r="V94" s="376"/>
      <c r="W94" s="212"/>
      <c r="X94" s="212"/>
      <c r="Y94" s="212">
        <v>1</v>
      </c>
      <c r="Z94" s="376"/>
      <c r="AA94" s="212"/>
      <c r="AB94" s="212"/>
      <c r="AC94" s="212"/>
      <c r="AD94" s="212"/>
      <c r="AE94" s="212">
        <v>1</v>
      </c>
      <c r="AF94" s="212"/>
      <c r="AG94" s="376"/>
      <c r="AH94" s="212"/>
      <c r="AI94" s="212"/>
      <c r="AJ94" s="212"/>
      <c r="AK94" s="212">
        <v>1</v>
      </c>
      <c r="AL94" s="266"/>
      <c r="AM94" s="108"/>
      <c r="AN94" s="108"/>
      <c r="AO94" s="108"/>
      <c r="AP94" s="108"/>
      <c r="AQ94" s="108"/>
      <c r="AR94" s="108"/>
      <c r="AS94" s="108"/>
      <c r="AT94" s="108"/>
      <c r="AU94" s="108"/>
      <c r="AV94" s="428"/>
    </row>
    <row r="95" spans="1:48" hidden="1">
      <c r="A95" s="486"/>
      <c r="B95" s="502"/>
      <c r="C95" s="455"/>
      <c r="D95" s="472"/>
      <c r="E95" s="443"/>
      <c r="F95" s="455"/>
      <c r="G95" s="134"/>
      <c r="H95" s="188" t="s">
        <v>15</v>
      </c>
      <c r="I95" s="215"/>
      <c r="J95" s="215"/>
      <c r="K95" s="215"/>
      <c r="L95" s="376"/>
      <c r="M95" s="215"/>
      <c r="N95" s="215"/>
      <c r="O95" s="215"/>
      <c r="P95" s="376"/>
      <c r="Q95" s="376"/>
      <c r="R95" s="376"/>
      <c r="S95" s="376"/>
      <c r="T95" s="215"/>
      <c r="U95" s="215"/>
      <c r="V95" s="376"/>
      <c r="W95" s="215">
        <f>7339</f>
        <v>7339</v>
      </c>
      <c r="X95" s="215">
        <f>10087+8385</f>
        <v>18472</v>
      </c>
      <c r="Y95" s="215"/>
      <c r="Z95" s="376"/>
      <c r="AA95" s="215"/>
      <c r="AB95" s="215"/>
      <c r="AC95" s="215"/>
      <c r="AD95" s="215"/>
      <c r="AE95" s="215"/>
      <c r="AF95" s="215"/>
      <c r="AG95" s="376"/>
      <c r="AH95" s="215"/>
      <c r="AI95" s="215"/>
      <c r="AJ95" s="215"/>
      <c r="AK95" s="215"/>
      <c r="AL95" s="265">
        <f>SUM(I95:AK95)</f>
        <v>25811</v>
      </c>
      <c r="AM95" s="108"/>
      <c r="AN95" s="108"/>
      <c r="AO95" s="108"/>
      <c r="AP95" s="108"/>
      <c r="AQ95" s="108"/>
      <c r="AR95" s="108"/>
      <c r="AS95" s="108"/>
      <c r="AT95" s="108"/>
      <c r="AU95" s="108"/>
      <c r="AV95" s="428"/>
    </row>
    <row r="96" spans="1:48" hidden="1">
      <c r="A96" s="486"/>
      <c r="B96" s="502"/>
      <c r="C96" s="455"/>
      <c r="D96" s="472"/>
      <c r="E96" s="443"/>
      <c r="F96" s="455"/>
      <c r="G96" s="134" t="s">
        <v>28</v>
      </c>
      <c r="H96" s="187" t="s">
        <v>29</v>
      </c>
      <c r="I96" s="212"/>
      <c r="J96" s="212">
        <f>($O$102*$D$87)+($O$105*$D$98)</f>
        <v>21050</v>
      </c>
      <c r="K96" s="212"/>
      <c r="L96" s="376"/>
      <c r="M96" s="212"/>
      <c r="N96" s="212"/>
      <c r="O96" s="212"/>
      <c r="P96" s="376"/>
      <c r="Q96" s="376"/>
      <c r="R96" s="376"/>
      <c r="S96" s="376"/>
      <c r="T96" s="212">
        <f>($O$102*$D$87)+($O$105*$D$98)</f>
        <v>21050</v>
      </c>
      <c r="U96" s="212"/>
      <c r="V96" s="376"/>
      <c r="W96" s="212"/>
      <c r="X96" s="212"/>
      <c r="Y96" s="212"/>
      <c r="Z96" s="376"/>
      <c r="AA96" s="212">
        <f>($O$102*$D$87)+($O$105*$D$98)</f>
        <v>21050</v>
      </c>
      <c r="AB96" s="212"/>
      <c r="AC96" s="212"/>
      <c r="AD96" s="212"/>
      <c r="AE96" s="212"/>
      <c r="AF96" s="212">
        <f>($O$102*$D$87)+($O$105*$D$98)</f>
        <v>21050</v>
      </c>
      <c r="AG96" s="376"/>
      <c r="AH96" s="212"/>
      <c r="AI96" s="212"/>
      <c r="AJ96" s="212"/>
      <c r="AK96" s="212"/>
      <c r="AL96" s="266">
        <f>SUM(I96:AK96)</f>
        <v>84200</v>
      </c>
      <c r="AM96" s="108"/>
      <c r="AN96" s="108"/>
      <c r="AO96" s="108"/>
      <c r="AP96" s="108"/>
      <c r="AQ96" s="108"/>
      <c r="AR96" s="108"/>
      <c r="AS96" s="108"/>
      <c r="AT96" s="108"/>
      <c r="AU96" s="108"/>
      <c r="AV96" s="428"/>
    </row>
    <row r="97" spans="1:48" hidden="1">
      <c r="A97" s="486"/>
      <c r="B97" s="502"/>
      <c r="C97" s="455"/>
      <c r="D97" s="472"/>
      <c r="E97" s="443"/>
      <c r="F97" s="455"/>
      <c r="G97" s="134"/>
      <c r="H97" s="187" t="s">
        <v>27</v>
      </c>
      <c r="I97" s="212"/>
      <c r="J97" s="212">
        <v>1</v>
      </c>
      <c r="K97" s="212"/>
      <c r="L97" s="376"/>
      <c r="M97" s="212"/>
      <c r="N97" s="212"/>
      <c r="O97" s="212"/>
      <c r="P97" s="376"/>
      <c r="Q97" s="376"/>
      <c r="R97" s="376"/>
      <c r="S97" s="376"/>
      <c r="T97" s="212">
        <v>1</v>
      </c>
      <c r="U97" s="212"/>
      <c r="V97" s="376"/>
      <c r="W97" s="212"/>
      <c r="X97" s="212"/>
      <c r="Y97" s="212"/>
      <c r="Z97" s="376"/>
      <c r="AA97" s="212">
        <v>1</v>
      </c>
      <c r="AB97" s="212"/>
      <c r="AC97" s="212"/>
      <c r="AD97" s="212"/>
      <c r="AE97" s="212"/>
      <c r="AF97" s="212">
        <v>1</v>
      </c>
      <c r="AG97" s="376"/>
      <c r="AH97" s="212"/>
      <c r="AI97" s="212"/>
      <c r="AJ97" s="212"/>
      <c r="AK97" s="212"/>
      <c r="AL97" s="266"/>
      <c r="AM97" s="108"/>
      <c r="AN97" s="108"/>
      <c r="AO97" s="108"/>
      <c r="AP97" s="108"/>
      <c r="AQ97" s="108"/>
      <c r="AR97" s="108"/>
      <c r="AS97" s="108"/>
      <c r="AT97" s="108"/>
      <c r="AU97" s="108"/>
      <c r="AV97" s="428"/>
    </row>
    <row r="98" spans="1:48" hidden="1">
      <c r="A98" s="486" t="s">
        <v>56</v>
      </c>
      <c r="B98" s="502" t="s">
        <v>57</v>
      </c>
      <c r="C98" s="455">
        <v>1000</v>
      </c>
      <c r="D98" s="473">
        <v>1.0900000000000001</v>
      </c>
      <c r="E98" s="443"/>
      <c r="F98" s="455" t="s">
        <v>58</v>
      </c>
      <c r="G98" s="134"/>
      <c r="H98" s="188" t="s">
        <v>15</v>
      </c>
      <c r="I98" s="215"/>
      <c r="J98" s="215"/>
      <c r="K98" s="215"/>
      <c r="L98" s="376"/>
      <c r="M98" s="215">
        <f>20910*2</f>
        <v>41820</v>
      </c>
      <c r="N98" s="215"/>
      <c r="O98" s="269">
        <f>6469</f>
        <v>6469</v>
      </c>
      <c r="P98" s="376"/>
      <c r="Q98" s="376"/>
      <c r="R98" s="376"/>
      <c r="S98" s="376"/>
      <c r="T98" s="215"/>
      <c r="U98" s="215">
        <f>10200</f>
        <v>10200</v>
      </c>
      <c r="V98" s="376"/>
      <c r="W98" s="215"/>
      <c r="X98" s="215"/>
      <c r="Y98" s="215"/>
      <c r="Z98" s="376"/>
      <c r="AA98" s="215"/>
      <c r="AB98" s="215"/>
      <c r="AC98" s="215"/>
      <c r="AD98" s="215"/>
      <c r="AE98" s="215"/>
      <c r="AF98" s="215"/>
      <c r="AG98" s="376"/>
      <c r="AH98" s="215"/>
      <c r="AI98" s="215"/>
      <c r="AJ98" s="215"/>
      <c r="AK98" s="215"/>
      <c r="AL98" s="265">
        <f>SUM(I98:AK98)</f>
        <v>58489</v>
      </c>
      <c r="AM98" s="108"/>
      <c r="AN98" s="108"/>
      <c r="AO98" s="108"/>
      <c r="AP98" s="108"/>
      <c r="AQ98" s="108"/>
      <c r="AR98" s="108"/>
      <c r="AS98" s="108"/>
      <c r="AT98" s="108"/>
      <c r="AU98" s="108"/>
      <c r="AV98" s="428"/>
    </row>
    <row r="99" spans="1:48" hidden="1">
      <c r="A99" s="486"/>
      <c r="B99" s="502"/>
      <c r="C99" s="455"/>
      <c r="D99" s="474"/>
      <c r="E99" s="443"/>
      <c r="F99" s="455"/>
      <c r="G99" s="134"/>
      <c r="H99" s="187" t="s">
        <v>49</v>
      </c>
      <c r="I99" s="212"/>
      <c r="J99" s="212"/>
      <c r="K99" s="235">
        <f>($O$102*$D$87/3)+($O$105*$D$98/3)</f>
        <v>7016.6666666666697</v>
      </c>
      <c r="L99" s="376"/>
      <c r="M99" s="235">
        <f>($O$102*$D$87/3)+($O$105*$D$98/3)</f>
        <v>7016.6666666666697</v>
      </c>
      <c r="N99" s="235">
        <f>($O$102*$D$87/3)+($O$105*$D$98/3)</f>
        <v>7016.6666666666697</v>
      </c>
      <c r="O99" s="212"/>
      <c r="P99" s="376"/>
      <c r="Q99" s="376"/>
      <c r="R99" s="376"/>
      <c r="S99" s="376"/>
      <c r="T99" s="212"/>
      <c r="U99" s="235">
        <f>($O$102*$D$87/3)+($O$105*$D$98/3)</f>
        <v>7016.6666666666697</v>
      </c>
      <c r="V99" s="376"/>
      <c r="W99" s="235">
        <f>($O$102*$D$87/3)+($O$105*$D$98/3)</f>
        <v>7016.6666666666697</v>
      </c>
      <c r="X99" s="235">
        <f>($O$102*$D$87/3)+($O$105*$D$98/3)</f>
        <v>7016.6666666666697</v>
      </c>
      <c r="Y99" s="212"/>
      <c r="Z99" s="376"/>
      <c r="AA99" s="212"/>
      <c r="AB99" s="235">
        <f>($O$102*$D$87/3)+($O$105*$D$98/3)</f>
        <v>7016.6666666666697</v>
      </c>
      <c r="AC99" s="235">
        <f>($O$102*$D$87/3)+($O$105*$D$98/3)</f>
        <v>7016.6666666666697</v>
      </c>
      <c r="AD99" s="235">
        <f>($O$102*$D$87/3)+($O$105*$D$98/3)</f>
        <v>7016.6666666666697</v>
      </c>
      <c r="AE99" s="212"/>
      <c r="AF99" s="212"/>
      <c r="AG99" s="376"/>
      <c r="AH99" s="235">
        <f>($O$102*$D$87/3)+($O$105*$D$98/3)</f>
        <v>7016.6666666666697</v>
      </c>
      <c r="AI99" s="235">
        <f>($O$102*$D$87/3)+($O$105*$D$98/3)</f>
        <v>7016.6666666666697</v>
      </c>
      <c r="AJ99" s="235">
        <f>($O$102*$D$87/3)+($O$105*$D$98/3)</f>
        <v>7016.6666666666697</v>
      </c>
      <c r="AK99" s="212"/>
      <c r="AL99" s="266">
        <f>SUM(I99:AK99)</f>
        <v>84200</v>
      </c>
      <c r="AM99" s="108"/>
      <c r="AN99" s="108"/>
      <c r="AO99" s="108"/>
      <c r="AP99" s="108"/>
      <c r="AQ99" s="108"/>
      <c r="AR99" s="108"/>
      <c r="AS99" s="108"/>
      <c r="AT99" s="108"/>
      <c r="AU99" s="108"/>
      <c r="AV99" s="428"/>
    </row>
    <row r="100" spans="1:48" hidden="1">
      <c r="A100" s="486"/>
      <c r="B100" s="502"/>
      <c r="C100" s="455"/>
      <c r="D100" s="474"/>
      <c r="E100" s="443"/>
      <c r="F100" s="455"/>
      <c r="G100" s="134"/>
      <c r="H100" s="187" t="s">
        <v>50</v>
      </c>
      <c r="I100" s="212"/>
      <c r="J100" s="212"/>
      <c r="K100" s="212">
        <v>1</v>
      </c>
      <c r="L100" s="376"/>
      <c r="M100" s="212">
        <v>1</v>
      </c>
      <c r="N100" s="212">
        <v>1</v>
      </c>
      <c r="O100" s="212"/>
      <c r="P100" s="376"/>
      <c r="Q100" s="376"/>
      <c r="R100" s="376"/>
      <c r="S100" s="376"/>
      <c r="T100" s="212"/>
      <c r="U100" s="212">
        <v>1</v>
      </c>
      <c r="V100" s="376"/>
      <c r="W100" s="212">
        <v>1</v>
      </c>
      <c r="X100" s="212">
        <v>1</v>
      </c>
      <c r="Y100" s="212"/>
      <c r="Z100" s="376"/>
      <c r="AA100" s="212"/>
      <c r="AB100" s="212">
        <v>1</v>
      </c>
      <c r="AC100" s="212">
        <v>1</v>
      </c>
      <c r="AD100" s="212">
        <v>1</v>
      </c>
      <c r="AE100" s="212"/>
      <c r="AF100" s="212"/>
      <c r="AG100" s="376"/>
      <c r="AH100" s="212">
        <v>1</v>
      </c>
      <c r="AI100" s="212">
        <v>1</v>
      </c>
      <c r="AJ100" s="212">
        <v>1</v>
      </c>
      <c r="AK100" s="212"/>
      <c r="AL100" s="266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428"/>
    </row>
    <row r="101" spans="1:48" hidden="1">
      <c r="A101" s="486"/>
      <c r="B101" s="502"/>
      <c r="C101" s="455"/>
      <c r="D101" s="474"/>
      <c r="E101" s="443"/>
      <c r="F101" s="455"/>
      <c r="G101" s="134"/>
      <c r="H101" s="188" t="s">
        <v>15</v>
      </c>
      <c r="I101" s="215"/>
      <c r="J101" s="215"/>
      <c r="K101" s="13"/>
      <c r="L101" s="377"/>
      <c r="M101" s="274">
        <f>9003*2</f>
        <v>18006</v>
      </c>
      <c r="N101" s="274">
        <f>9824*2</f>
        <v>19648</v>
      </c>
      <c r="O101" s="215">
        <f>1054+700+1832+600+1423</f>
        <v>5609</v>
      </c>
      <c r="P101" s="376"/>
      <c r="Q101" s="376"/>
      <c r="R101" s="376"/>
      <c r="S101" s="376"/>
      <c r="T101" s="215">
        <f>1000+750</f>
        <v>1750</v>
      </c>
      <c r="U101" s="274">
        <f>5350+5351</f>
        <v>10701</v>
      </c>
      <c r="V101" s="376"/>
      <c r="W101" s="274">
        <f>2046*2</f>
        <v>4092</v>
      </c>
      <c r="X101" s="274">
        <f>900+1099+1750+2260+1347</f>
        <v>7356</v>
      </c>
      <c r="Y101" s="215"/>
      <c r="Z101" s="376"/>
      <c r="AA101" s="215"/>
      <c r="AB101" s="13"/>
      <c r="AC101" s="13"/>
      <c r="AD101" s="13"/>
      <c r="AE101" s="215"/>
      <c r="AF101" s="215"/>
      <c r="AG101" s="376"/>
      <c r="AH101" s="13"/>
      <c r="AI101" s="13"/>
      <c r="AJ101" s="13"/>
      <c r="AK101" s="215"/>
      <c r="AL101" s="265">
        <f>SUM(I101:AK101)</f>
        <v>67162</v>
      </c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428"/>
    </row>
    <row r="102" spans="1:48" hidden="1">
      <c r="A102" s="486"/>
      <c r="B102" s="502"/>
      <c r="C102" s="455"/>
      <c r="D102" s="474"/>
      <c r="E102" s="443"/>
      <c r="F102" s="455"/>
      <c r="G102" s="134"/>
      <c r="H102" s="187" t="s">
        <v>32</v>
      </c>
      <c r="I102" s="212"/>
      <c r="J102" s="212"/>
      <c r="K102" s="212"/>
      <c r="L102" s="376"/>
      <c r="M102" s="212"/>
      <c r="N102" s="212"/>
      <c r="O102" s="212">
        <f>($C$87*5)</f>
        <v>10000</v>
      </c>
      <c r="P102" s="376"/>
      <c r="Q102" s="376"/>
      <c r="R102" s="376"/>
      <c r="S102" s="376"/>
      <c r="T102" s="212"/>
      <c r="U102" s="212"/>
      <c r="V102" s="376"/>
      <c r="W102" s="212"/>
      <c r="X102" s="212"/>
      <c r="Y102" s="212">
        <f>($C$87*5)+($C$87*5*10%)</f>
        <v>11000</v>
      </c>
      <c r="Z102" s="376"/>
      <c r="AA102" s="212"/>
      <c r="AB102" s="212"/>
      <c r="AC102" s="212"/>
      <c r="AD102" s="212"/>
      <c r="AE102" s="212">
        <f>($C$87*5)+($C$87*5*10%)</f>
        <v>11000</v>
      </c>
      <c r="AF102" s="212"/>
      <c r="AG102" s="376"/>
      <c r="AH102" s="212"/>
      <c r="AI102" s="212"/>
      <c r="AJ102" s="212"/>
      <c r="AK102" s="212">
        <f>($C$87*5)+($C$87*5*10%)</f>
        <v>11000</v>
      </c>
      <c r="AL102" s="266">
        <f>SUM(I102:AK102)</f>
        <v>43000</v>
      </c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428"/>
    </row>
    <row r="103" spans="1:48" hidden="1">
      <c r="A103" s="486"/>
      <c r="B103" s="502"/>
      <c r="C103" s="455"/>
      <c r="D103" s="474"/>
      <c r="E103" s="443"/>
      <c r="F103" s="455"/>
      <c r="G103" s="134"/>
      <c r="H103" s="187" t="s">
        <v>51</v>
      </c>
      <c r="I103" s="212"/>
      <c r="J103" s="212"/>
      <c r="K103" s="212"/>
      <c r="L103" s="376"/>
      <c r="M103" s="212"/>
      <c r="N103" s="212"/>
      <c r="O103" s="212">
        <v>1</v>
      </c>
      <c r="P103" s="376"/>
      <c r="Q103" s="376"/>
      <c r="R103" s="376"/>
      <c r="S103" s="376"/>
      <c r="T103" s="212"/>
      <c r="U103" s="212"/>
      <c r="V103" s="376"/>
      <c r="W103" s="212"/>
      <c r="X103" s="212"/>
      <c r="Y103" s="212">
        <v>1</v>
      </c>
      <c r="Z103" s="376"/>
      <c r="AA103" s="212"/>
      <c r="AB103" s="212"/>
      <c r="AC103" s="212"/>
      <c r="AD103" s="212"/>
      <c r="AE103" s="212">
        <v>1</v>
      </c>
      <c r="AF103" s="212"/>
      <c r="AG103" s="376"/>
      <c r="AH103" s="212"/>
      <c r="AI103" s="212"/>
      <c r="AJ103" s="212"/>
      <c r="AK103" s="212">
        <v>1</v>
      </c>
      <c r="AL103" s="266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428"/>
    </row>
    <row r="104" spans="1:48" hidden="1">
      <c r="A104" s="486"/>
      <c r="B104" s="502"/>
      <c r="C104" s="455"/>
      <c r="D104" s="474"/>
      <c r="E104" s="443"/>
      <c r="F104" s="455"/>
      <c r="G104" s="134"/>
      <c r="H104" s="188" t="s">
        <v>15</v>
      </c>
      <c r="I104" s="215"/>
      <c r="J104" s="215"/>
      <c r="K104" s="215"/>
      <c r="L104" s="376"/>
      <c r="M104" s="215"/>
      <c r="N104" s="215"/>
      <c r="O104" s="215"/>
      <c r="P104" s="376"/>
      <c r="Q104" s="376"/>
      <c r="R104" s="376"/>
      <c r="S104" s="376"/>
      <c r="T104" s="215"/>
      <c r="U104" s="215"/>
      <c r="V104" s="376"/>
      <c r="W104" s="215">
        <v>6611</v>
      </c>
      <c r="X104" s="215"/>
      <c r="Y104" s="215"/>
      <c r="Z104" s="376"/>
      <c r="AA104" s="215"/>
      <c r="AB104" s="215"/>
      <c r="AC104" s="215"/>
      <c r="AD104" s="215"/>
      <c r="AE104" s="215"/>
      <c r="AF104" s="215"/>
      <c r="AG104" s="376"/>
      <c r="AH104" s="215"/>
      <c r="AI104" s="215"/>
      <c r="AJ104" s="215"/>
      <c r="AK104" s="215"/>
      <c r="AL104" s="265">
        <f>SUM(I104:AK104)</f>
        <v>6611</v>
      </c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428"/>
    </row>
    <row r="105" spans="1:48" hidden="1">
      <c r="A105" s="486"/>
      <c r="B105" s="502"/>
      <c r="C105" s="455"/>
      <c r="D105" s="474"/>
      <c r="E105" s="198"/>
      <c r="F105" s="455"/>
      <c r="G105" s="134"/>
      <c r="H105" s="187" t="s">
        <v>32</v>
      </c>
      <c r="I105" s="212"/>
      <c r="J105" s="212"/>
      <c r="K105" s="212"/>
      <c r="L105" s="376"/>
      <c r="M105" s="212"/>
      <c r="N105" s="212"/>
      <c r="O105" s="212">
        <f>($C$98*5)</f>
        <v>5000</v>
      </c>
      <c r="P105" s="376"/>
      <c r="Q105" s="376"/>
      <c r="R105" s="376"/>
      <c r="S105" s="376"/>
      <c r="T105" s="212"/>
      <c r="U105" s="212"/>
      <c r="V105" s="376"/>
      <c r="W105" s="212"/>
      <c r="X105" s="212"/>
      <c r="Y105" s="212" t="e">
        <f>(#REF!*5)+(#REF!*5*10%)</f>
        <v>#REF!</v>
      </c>
      <c r="Z105" s="376"/>
      <c r="AA105" s="212"/>
      <c r="AB105" s="212"/>
      <c r="AC105" s="212"/>
      <c r="AD105" s="212"/>
      <c r="AE105" s="212" t="e">
        <f>(#REF!*5)+(#REF!*5*10%)</f>
        <v>#REF!</v>
      </c>
      <c r="AF105" s="212"/>
      <c r="AG105" s="376"/>
      <c r="AH105" s="212"/>
      <c r="AI105" s="212"/>
      <c r="AJ105" s="212"/>
      <c r="AK105" s="388" t="e">
        <f>(#REF!*5)+(#REF!*5*10%)</f>
        <v>#REF!</v>
      </c>
      <c r="AL105" s="256" t="e">
        <f>SUM(I105:AK105)</f>
        <v>#REF!</v>
      </c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428"/>
    </row>
    <row r="106" spans="1:48" hidden="1">
      <c r="A106" s="486"/>
      <c r="B106" s="502"/>
      <c r="C106" s="455"/>
      <c r="D106" s="474"/>
      <c r="E106" s="198"/>
      <c r="F106" s="455"/>
      <c r="G106" s="134"/>
      <c r="H106" s="187" t="s">
        <v>51</v>
      </c>
      <c r="I106" s="212"/>
      <c r="J106" s="212"/>
      <c r="K106" s="212"/>
      <c r="L106" s="376"/>
      <c r="M106" s="212"/>
      <c r="N106" s="212"/>
      <c r="O106" s="212">
        <v>1</v>
      </c>
      <c r="P106" s="376"/>
      <c r="Q106" s="376"/>
      <c r="R106" s="376"/>
      <c r="S106" s="376"/>
      <c r="T106" s="212"/>
      <c r="U106" s="212"/>
      <c r="V106" s="376"/>
      <c r="W106" s="212"/>
      <c r="X106" s="212"/>
      <c r="Y106" s="212">
        <v>1</v>
      </c>
      <c r="Z106" s="376"/>
      <c r="AA106" s="212"/>
      <c r="AB106" s="212"/>
      <c r="AC106" s="212"/>
      <c r="AD106" s="212"/>
      <c r="AE106" s="212">
        <v>1</v>
      </c>
      <c r="AF106" s="212"/>
      <c r="AG106" s="376"/>
      <c r="AH106" s="212"/>
      <c r="AI106" s="212"/>
      <c r="AJ106" s="212"/>
      <c r="AK106" s="388">
        <v>1</v>
      </c>
      <c r="AL106" s="256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428"/>
    </row>
    <row r="107" spans="1:48" hidden="1">
      <c r="A107" s="486"/>
      <c r="B107" s="502"/>
      <c r="C107" s="455"/>
      <c r="D107" s="471"/>
      <c r="E107" s="198"/>
      <c r="F107" s="455"/>
      <c r="G107" s="135"/>
      <c r="H107" s="192" t="s">
        <v>15</v>
      </c>
      <c r="I107" s="220"/>
      <c r="J107" s="220"/>
      <c r="K107" s="220"/>
      <c r="L107" s="397"/>
      <c r="M107" s="220"/>
      <c r="N107" s="220"/>
      <c r="O107" s="220"/>
      <c r="P107" s="397"/>
      <c r="Q107" s="397"/>
      <c r="R107" s="397"/>
      <c r="S107" s="397"/>
      <c r="T107" s="220"/>
      <c r="U107" s="220"/>
      <c r="V107" s="397"/>
      <c r="W107" s="220">
        <f>2592+10000+1500+8500</f>
        <v>22592</v>
      </c>
      <c r="X107" s="220"/>
      <c r="Y107" s="220"/>
      <c r="Z107" s="397"/>
      <c r="AA107" s="220"/>
      <c r="AB107" s="220"/>
      <c r="AC107" s="220"/>
      <c r="AD107" s="220"/>
      <c r="AE107" s="220"/>
      <c r="AF107" s="220"/>
      <c r="AG107" s="397"/>
      <c r="AH107" s="220"/>
      <c r="AI107" s="220"/>
      <c r="AJ107" s="220"/>
      <c r="AK107" s="400"/>
      <c r="AL107" s="253">
        <f>SUM(I107:AK107)</f>
        <v>22592</v>
      </c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428"/>
    </row>
    <row r="108" spans="1:48" hidden="1">
      <c r="A108" s="483" t="s">
        <v>59</v>
      </c>
      <c r="B108" s="503" t="s">
        <v>60</v>
      </c>
      <c r="C108" s="461">
        <v>10000</v>
      </c>
      <c r="D108" s="475">
        <v>1.56</v>
      </c>
      <c r="E108" s="446"/>
      <c r="F108" s="432" t="s">
        <v>61</v>
      </c>
      <c r="G108" s="132">
        <v>0.08</v>
      </c>
      <c r="H108" s="185" t="s">
        <v>12</v>
      </c>
      <c r="I108" s="275"/>
      <c r="J108" s="275"/>
      <c r="K108" s="275"/>
      <c r="L108" s="379"/>
      <c r="M108" s="275"/>
      <c r="N108" s="275">
        <v>47</v>
      </c>
      <c r="O108" s="275">
        <v>47</v>
      </c>
      <c r="P108" s="379"/>
      <c r="Q108" s="379"/>
      <c r="R108" s="379"/>
      <c r="S108" s="379"/>
      <c r="T108" s="275">
        <v>47</v>
      </c>
      <c r="U108" s="275">
        <v>47</v>
      </c>
      <c r="V108" s="379"/>
      <c r="W108" s="275">
        <v>47</v>
      </c>
      <c r="X108" s="275">
        <v>47</v>
      </c>
      <c r="Y108" s="275">
        <v>47</v>
      </c>
      <c r="Z108" s="379"/>
      <c r="AA108" s="275">
        <v>47</v>
      </c>
      <c r="AB108" s="275">
        <v>47</v>
      </c>
      <c r="AC108" s="275">
        <v>47</v>
      </c>
      <c r="AD108" s="275">
        <v>47</v>
      </c>
      <c r="AE108" s="275">
        <v>47</v>
      </c>
      <c r="AF108" s="275">
        <v>47</v>
      </c>
      <c r="AG108" s="379"/>
      <c r="AH108" s="275">
        <v>47</v>
      </c>
      <c r="AI108" s="275">
        <v>47</v>
      </c>
      <c r="AJ108" s="275">
        <v>47</v>
      </c>
      <c r="AK108" s="401">
        <v>47</v>
      </c>
      <c r="AL108" s="253"/>
      <c r="AM108" s="108"/>
      <c r="AN108" s="108"/>
      <c r="AO108" s="108"/>
      <c r="AP108" s="108"/>
      <c r="AQ108" s="108"/>
      <c r="AR108" s="108"/>
      <c r="AS108" s="108"/>
      <c r="AT108" s="108"/>
      <c r="AU108" s="428"/>
      <c r="AV108" s="428"/>
    </row>
    <row r="109" spans="1:48" hidden="1">
      <c r="A109" s="489"/>
      <c r="B109" s="504"/>
      <c r="C109" s="455"/>
      <c r="D109" s="476"/>
      <c r="E109" s="447"/>
      <c r="F109" s="433"/>
      <c r="G109" s="133"/>
      <c r="H109" s="187" t="s">
        <v>14</v>
      </c>
      <c r="I109" s="233"/>
      <c r="J109" s="233"/>
      <c r="K109" s="233"/>
      <c r="L109" s="398"/>
      <c r="M109" s="233"/>
      <c r="N109" s="233">
        <v>0.5</v>
      </c>
      <c r="O109" s="233">
        <v>0.5</v>
      </c>
      <c r="P109" s="398"/>
      <c r="Q109" s="398"/>
      <c r="R109" s="398"/>
      <c r="S109" s="398"/>
      <c r="T109" s="233">
        <v>0.5</v>
      </c>
      <c r="U109" s="233">
        <v>0.5</v>
      </c>
      <c r="V109" s="398"/>
      <c r="W109" s="233">
        <v>0.5</v>
      </c>
      <c r="X109" s="233">
        <v>0.5</v>
      </c>
      <c r="Y109" s="233">
        <v>0.5</v>
      </c>
      <c r="Z109" s="398"/>
      <c r="AA109" s="233">
        <v>0.5</v>
      </c>
      <c r="AB109" s="233">
        <v>0.5</v>
      </c>
      <c r="AC109" s="233">
        <v>0.5</v>
      </c>
      <c r="AD109" s="233">
        <v>0.5</v>
      </c>
      <c r="AE109" s="233">
        <v>0.5</v>
      </c>
      <c r="AF109" s="233">
        <v>0.5</v>
      </c>
      <c r="AG109" s="398"/>
      <c r="AH109" s="233">
        <v>0.5</v>
      </c>
      <c r="AI109" s="233">
        <v>0.5</v>
      </c>
      <c r="AJ109" s="233">
        <v>0.5</v>
      </c>
      <c r="AK109" s="395">
        <v>0.5</v>
      </c>
      <c r="AL109" s="253"/>
      <c r="AM109" s="108"/>
      <c r="AN109" s="108"/>
      <c r="AO109" s="108"/>
      <c r="AP109" s="108"/>
      <c r="AQ109" s="108"/>
      <c r="AR109" s="108"/>
      <c r="AS109" s="108"/>
      <c r="AT109" s="108"/>
      <c r="AU109" s="428"/>
      <c r="AV109" s="428"/>
    </row>
    <row r="110" spans="1:48" hidden="1">
      <c r="A110" s="489"/>
      <c r="B110" s="504"/>
      <c r="C110" s="455"/>
      <c r="D110" s="476"/>
      <c r="E110" s="447"/>
      <c r="F110" s="433"/>
      <c r="G110" s="55"/>
      <c r="H110" s="196" t="s">
        <v>15</v>
      </c>
      <c r="I110" s="278"/>
      <c r="J110" s="278"/>
      <c r="K110" s="278"/>
      <c r="L110" s="398"/>
      <c r="M110" s="278"/>
      <c r="N110" s="278"/>
      <c r="O110" s="278"/>
      <c r="P110" s="398"/>
      <c r="Q110" s="398"/>
      <c r="R110" s="398"/>
      <c r="S110" s="398"/>
      <c r="T110" s="278"/>
      <c r="U110" s="278"/>
      <c r="V110" s="398"/>
      <c r="W110" s="278"/>
      <c r="X110" s="278"/>
      <c r="Y110" s="278"/>
      <c r="Z110" s="398"/>
      <c r="AA110" s="278"/>
      <c r="AB110" s="278"/>
      <c r="AC110" s="278"/>
      <c r="AD110" s="278"/>
      <c r="AE110" s="278"/>
      <c r="AF110" s="278"/>
      <c r="AG110" s="398"/>
      <c r="AH110" s="278"/>
      <c r="AI110" s="278"/>
      <c r="AJ110" s="278"/>
      <c r="AK110" s="402"/>
      <c r="AL110" s="253"/>
      <c r="AM110" s="108"/>
      <c r="AN110" s="108"/>
      <c r="AO110" s="108"/>
      <c r="AP110" s="108"/>
      <c r="AQ110" s="108"/>
      <c r="AR110" s="108"/>
      <c r="AS110" s="108"/>
      <c r="AT110" s="108"/>
      <c r="AU110" s="428"/>
      <c r="AV110" s="428"/>
    </row>
    <row r="111" spans="1:48" hidden="1">
      <c r="A111" s="489"/>
      <c r="B111" s="504"/>
      <c r="C111" s="455"/>
      <c r="D111" s="476"/>
      <c r="E111" s="447"/>
      <c r="F111" s="433"/>
      <c r="G111" s="134" t="s">
        <v>62</v>
      </c>
      <c r="H111" s="187" t="s">
        <v>63</v>
      </c>
      <c r="I111" s="190"/>
      <c r="J111" s="233"/>
      <c r="K111" s="233"/>
      <c r="L111" s="398"/>
      <c r="M111" s="233"/>
      <c r="N111" s="190"/>
      <c r="O111" s="233"/>
      <c r="P111" s="398"/>
      <c r="Q111" s="398"/>
      <c r="R111" s="398"/>
      <c r="S111" s="398"/>
      <c r="T111" s="233"/>
      <c r="U111" s="233"/>
      <c r="V111" s="398"/>
      <c r="W111" s="233"/>
      <c r="X111" s="233"/>
      <c r="Y111" s="233"/>
      <c r="Z111" s="398"/>
      <c r="AA111" s="233"/>
      <c r="AB111" s="233"/>
      <c r="AC111" s="233"/>
      <c r="AD111" s="233"/>
      <c r="AE111" s="233"/>
      <c r="AF111" s="233"/>
      <c r="AG111" s="398"/>
      <c r="AH111" s="233">
        <f>987/4</f>
        <v>246.75</v>
      </c>
      <c r="AI111" s="233">
        <f>987/4</f>
        <v>246.75</v>
      </c>
      <c r="AJ111" s="233">
        <f>987/4</f>
        <v>246.75</v>
      </c>
      <c r="AK111" s="395">
        <f>987/4</f>
        <v>246.75</v>
      </c>
      <c r="AL111" s="253"/>
      <c r="AM111" s="108"/>
      <c r="AN111" s="108"/>
      <c r="AO111" s="108"/>
      <c r="AP111" s="108"/>
      <c r="AQ111" s="108"/>
      <c r="AR111" s="108"/>
      <c r="AS111" s="108"/>
      <c r="AT111" s="108"/>
      <c r="AU111" s="428"/>
      <c r="AV111" s="428"/>
    </row>
    <row r="112" spans="1:48" hidden="1">
      <c r="A112" s="489"/>
      <c r="B112" s="504"/>
      <c r="C112" s="455"/>
      <c r="D112" s="476"/>
      <c r="E112" s="447"/>
      <c r="F112" s="433"/>
      <c r="G112" s="133"/>
      <c r="H112" s="187" t="s">
        <v>14</v>
      </c>
      <c r="I112" s="212"/>
      <c r="J112" s="233"/>
      <c r="K112" s="233"/>
      <c r="L112" s="398"/>
      <c r="M112" s="233"/>
      <c r="N112" s="212"/>
      <c r="O112" s="233"/>
      <c r="P112" s="398"/>
      <c r="Q112" s="398"/>
      <c r="R112" s="398"/>
      <c r="S112" s="398"/>
      <c r="T112" s="233"/>
      <c r="U112" s="233"/>
      <c r="V112" s="398"/>
      <c r="W112" s="233"/>
      <c r="X112" s="233"/>
      <c r="Y112" s="233"/>
      <c r="Z112" s="398"/>
      <c r="AA112" s="233"/>
      <c r="AB112" s="233"/>
      <c r="AC112" s="233"/>
      <c r="AD112" s="233"/>
      <c r="AE112" s="233"/>
      <c r="AF112" s="233"/>
      <c r="AG112" s="398"/>
      <c r="AH112" s="233">
        <v>1</v>
      </c>
      <c r="AI112" s="233">
        <v>1</v>
      </c>
      <c r="AJ112" s="233">
        <v>1</v>
      </c>
      <c r="AK112" s="395">
        <v>1</v>
      </c>
      <c r="AL112" s="253"/>
      <c r="AM112" s="108"/>
      <c r="AN112" s="108"/>
      <c r="AO112" s="108"/>
      <c r="AP112" s="108"/>
      <c r="AQ112" s="108"/>
      <c r="AR112" s="108"/>
      <c r="AS112" s="108"/>
      <c r="AT112" s="108"/>
      <c r="AU112" s="428"/>
      <c r="AV112" s="428"/>
    </row>
    <row r="113" spans="1:48" hidden="1">
      <c r="A113" s="489"/>
      <c r="B113" s="504"/>
      <c r="C113" s="455"/>
      <c r="D113" s="476"/>
      <c r="E113" s="447"/>
      <c r="F113" s="433"/>
      <c r="G113" s="133"/>
      <c r="H113" s="188" t="s">
        <v>15</v>
      </c>
      <c r="I113" s="278"/>
      <c r="J113" s="278"/>
      <c r="K113" s="278"/>
      <c r="L113" s="398"/>
      <c r="M113" s="278"/>
      <c r="N113" s="278"/>
      <c r="O113" s="278"/>
      <c r="P113" s="398"/>
      <c r="Q113" s="398"/>
      <c r="R113" s="398"/>
      <c r="S113" s="398"/>
      <c r="T113" s="278"/>
      <c r="U113" s="278"/>
      <c r="V113" s="398"/>
      <c r="W113" s="278"/>
      <c r="X113" s="278"/>
      <c r="Y113" s="278"/>
      <c r="Z113" s="398"/>
      <c r="AA113" s="278"/>
      <c r="AB113" s="278"/>
      <c r="AC113" s="278"/>
      <c r="AD113" s="278"/>
      <c r="AE113" s="278"/>
      <c r="AF113" s="278"/>
      <c r="AG113" s="398"/>
      <c r="AH113" s="278"/>
      <c r="AI113" s="278"/>
      <c r="AJ113" s="278"/>
      <c r="AK113" s="402"/>
      <c r="AL113" s="253"/>
      <c r="AM113" s="108"/>
      <c r="AN113" s="108"/>
      <c r="AO113" s="108"/>
      <c r="AP113" s="108"/>
      <c r="AQ113" s="108"/>
      <c r="AR113" s="108"/>
      <c r="AS113" s="108"/>
      <c r="AT113" s="108"/>
      <c r="AU113" s="428"/>
      <c r="AV113" s="428"/>
    </row>
    <row r="114" spans="1:48" hidden="1">
      <c r="A114" s="489"/>
      <c r="B114" s="504"/>
      <c r="C114" s="455"/>
      <c r="D114" s="476"/>
      <c r="E114" s="447"/>
      <c r="F114" s="433"/>
      <c r="G114" s="133" t="s">
        <v>64</v>
      </c>
      <c r="H114" s="187" t="s">
        <v>22</v>
      </c>
      <c r="I114" s="233"/>
      <c r="J114" s="233"/>
      <c r="K114" s="233"/>
      <c r="L114" s="398"/>
      <c r="M114" s="233"/>
      <c r="N114" s="233">
        <f>$AJ$123*$D$108/4</f>
        <v>17160</v>
      </c>
      <c r="O114" s="233">
        <f>$AJ$123*$D$108/4</f>
        <v>17160</v>
      </c>
      <c r="P114" s="398"/>
      <c r="Q114" s="398"/>
      <c r="R114" s="398"/>
      <c r="S114" s="398"/>
      <c r="T114" s="233">
        <f>$AJ$123*$D$108/4</f>
        <v>17160</v>
      </c>
      <c r="U114" s="233">
        <f>$AJ$123*$D$108/4</f>
        <v>17160</v>
      </c>
      <c r="V114" s="398"/>
      <c r="W114" s="233">
        <f>$AJ$123*$D$108/4</f>
        <v>17160</v>
      </c>
      <c r="X114" s="233">
        <f>$AJ$123*$D$108/4</f>
        <v>17160</v>
      </c>
      <c r="Y114" s="233">
        <f>$AJ$123*$D$108/4</f>
        <v>17160</v>
      </c>
      <c r="Z114" s="398"/>
      <c r="AA114" s="233">
        <f t="shared" ref="AA114:AF114" si="20">$AJ$123*$D$108/4</f>
        <v>17160</v>
      </c>
      <c r="AB114" s="233">
        <f t="shared" si="20"/>
        <v>17160</v>
      </c>
      <c r="AC114" s="233">
        <f t="shared" si="20"/>
        <v>17160</v>
      </c>
      <c r="AD114" s="233">
        <f t="shared" si="20"/>
        <v>17160</v>
      </c>
      <c r="AE114" s="233">
        <f t="shared" si="20"/>
        <v>17160</v>
      </c>
      <c r="AF114" s="233">
        <f t="shared" si="20"/>
        <v>17160</v>
      </c>
      <c r="AG114" s="398"/>
      <c r="AH114" s="233">
        <f>$AJ$123*$D$108/4</f>
        <v>17160</v>
      </c>
      <c r="AI114" s="233">
        <f>$AJ$123*$D$108/4</f>
        <v>17160</v>
      </c>
      <c r="AJ114" s="233">
        <f>$AJ$123*$D$108/4</f>
        <v>17160</v>
      </c>
      <c r="AK114" s="395">
        <f>$AJ$123*$D$108/4</f>
        <v>17160</v>
      </c>
      <c r="AL114" s="256">
        <f>SUM(I114:AK114)</f>
        <v>291720</v>
      </c>
      <c r="AM114" s="108"/>
      <c r="AN114" s="108"/>
      <c r="AO114" s="108"/>
      <c r="AP114" s="108"/>
      <c r="AQ114" s="108"/>
      <c r="AR114" s="108"/>
      <c r="AS114" s="108"/>
      <c r="AT114" s="108"/>
      <c r="AU114" s="428"/>
      <c r="AV114" s="428"/>
    </row>
    <row r="115" spans="1:48" hidden="1">
      <c r="A115" s="489"/>
      <c r="B115" s="504"/>
      <c r="C115" s="455"/>
      <c r="D115" s="476"/>
      <c r="E115" s="447"/>
      <c r="F115" s="433"/>
      <c r="G115" s="133"/>
      <c r="H115" s="187" t="s">
        <v>20</v>
      </c>
      <c r="I115" s="233"/>
      <c r="J115" s="233"/>
      <c r="K115" s="233"/>
      <c r="L115" s="398"/>
      <c r="M115" s="233"/>
      <c r="N115" s="233">
        <v>1</v>
      </c>
      <c r="O115" s="233">
        <v>1</v>
      </c>
      <c r="P115" s="398"/>
      <c r="Q115" s="398"/>
      <c r="R115" s="398"/>
      <c r="S115" s="398"/>
      <c r="T115" s="233">
        <v>1</v>
      </c>
      <c r="U115" s="233">
        <v>1</v>
      </c>
      <c r="V115" s="398"/>
      <c r="W115" s="233">
        <v>1</v>
      </c>
      <c r="X115" s="233">
        <v>1</v>
      </c>
      <c r="Y115" s="233">
        <v>1</v>
      </c>
      <c r="Z115" s="398"/>
      <c r="AA115" s="233">
        <v>1</v>
      </c>
      <c r="AB115" s="233">
        <v>1</v>
      </c>
      <c r="AC115" s="233">
        <v>1</v>
      </c>
      <c r="AD115" s="233">
        <v>1</v>
      </c>
      <c r="AE115" s="233">
        <v>1</v>
      </c>
      <c r="AF115" s="233">
        <v>1</v>
      </c>
      <c r="AG115" s="398"/>
      <c r="AH115" s="233">
        <v>1</v>
      </c>
      <c r="AI115" s="233">
        <v>1</v>
      </c>
      <c r="AJ115" s="233">
        <v>1</v>
      </c>
      <c r="AK115" s="395">
        <v>1</v>
      </c>
      <c r="AL115" s="256"/>
      <c r="AM115" s="108"/>
      <c r="AN115" s="108"/>
      <c r="AO115" s="108"/>
      <c r="AP115" s="108"/>
      <c r="AQ115" s="108"/>
      <c r="AR115" s="108"/>
      <c r="AS115" s="108"/>
      <c r="AT115" s="108"/>
      <c r="AU115" s="428"/>
      <c r="AV115" s="428"/>
    </row>
    <row r="116" spans="1:48" hidden="1">
      <c r="A116" s="489"/>
      <c r="B116" s="504"/>
      <c r="C116" s="455"/>
      <c r="D116" s="476"/>
      <c r="E116" s="447"/>
      <c r="F116" s="433"/>
      <c r="G116" s="133"/>
      <c r="H116" s="188" t="s">
        <v>15</v>
      </c>
      <c r="I116" s="278"/>
      <c r="J116" s="278"/>
      <c r="K116" s="278">
        <f>6180+7261+4802</f>
        <v>18243</v>
      </c>
      <c r="L116" s="398"/>
      <c r="M116" s="278">
        <f>11343+13926</f>
        <v>25269</v>
      </c>
      <c r="N116" s="278">
        <f>11617+11162</f>
        <v>22779</v>
      </c>
      <c r="O116" s="278">
        <f>8064</f>
        <v>8064</v>
      </c>
      <c r="P116" s="398"/>
      <c r="Q116" s="398"/>
      <c r="R116" s="398"/>
      <c r="S116" s="398"/>
      <c r="T116" s="278"/>
      <c r="U116" s="278">
        <f>3446+7656</f>
        <v>11102</v>
      </c>
      <c r="V116" s="398"/>
      <c r="W116" s="278">
        <f>8744+7799</f>
        <v>16543</v>
      </c>
      <c r="X116" s="278">
        <f>9941+7537</f>
        <v>17478</v>
      </c>
      <c r="Y116" s="278"/>
      <c r="Z116" s="398"/>
      <c r="AA116" s="278"/>
      <c r="AB116" s="278"/>
      <c r="AC116" s="278"/>
      <c r="AD116" s="278"/>
      <c r="AE116" s="278"/>
      <c r="AF116" s="278"/>
      <c r="AG116" s="398"/>
      <c r="AH116" s="278"/>
      <c r="AI116" s="278"/>
      <c r="AJ116" s="278"/>
      <c r="AK116" s="402"/>
      <c r="AL116" s="253">
        <f>SUM(I116:AK116)</f>
        <v>119478</v>
      </c>
      <c r="AM116" s="108"/>
      <c r="AN116" s="108"/>
      <c r="AO116" s="108"/>
      <c r="AP116" s="108"/>
      <c r="AQ116" s="108"/>
      <c r="AR116" s="108"/>
      <c r="AS116" s="108"/>
      <c r="AT116" s="108"/>
      <c r="AU116" s="428"/>
      <c r="AV116" s="428"/>
    </row>
    <row r="117" spans="1:48" hidden="1">
      <c r="A117" s="489"/>
      <c r="B117" s="504"/>
      <c r="C117" s="455"/>
      <c r="D117" s="476"/>
      <c r="E117" s="447"/>
      <c r="F117" s="433"/>
      <c r="G117" s="133" t="s">
        <v>28</v>
      </c>
      <c r="H117" s="187" t="s">
        <v>29</v>
      </c>
      <c r="I117" s="233"/>
      <c r="J117" s="233"/>
      <c r="K117" s="233"/>
      <c r="L117" s="398"/>
      <c r="M117" s="233"/>
      <c r="N117" s="233"/>
      <c r="O117" s="233"/>
      <c r="P117" s="398"/>
      <c r="Q117" s="398"/>
      <c r="R117" s="398"/>
      <c r="S117" s="398"/>
      <c r="T117" s="233">
        <f>$AJ$123*$D$108/4</f>
        <v>17160</v>
      </c>
      <c r="U117" s="233">
        <f>$AJ$123*$D$108/4</f>
        <v>17160</v>
      </c>
      <c r="V117" s="398"/>
      <c r="W117" s="233">
        <f>$AJ$123*$D$108/4</f>
        <v>17160</v>
      </c>
      <c r="X117" s="233">
        <f>$AJ$123*$D$108/4</f>
        <v>17160</v>
      </c>
      <c r="Y117" s="233">
        <f>$AJ$123*$D$108/4</f>
        <v>17160</v>
      </c>
      <c r="Z117" s="398"/>
      <c r="AA117" s="233">
        <f t="shared" ref="AA117:AF117" si="21">$AJ$123*$D$108/4</f>
        <v>17160</v>
      </c>
      <c r="AB117" s="233">
        <f t="shared" si="21"/>
        <v>17160</v>
      </c>
      <c r="AC117" s="233">
        <f t="shared" si="21"/>
        <v>17160</v>
      </c>
      <c r="AD117" s="233">
        <f t="shared" si="21"/>
        <v>17160</v>
      </c>
      <c r="AE117" s="233">
        <f t="shared" si="21"/>
        <v>17160</v>
      </c>
      <c r="AF117" s="233">
        <f t="shared" si="21"/>
        <v>17160</v>
      </c>
      <c r="AG117" s="398"/>
      <c r="AH117" s="233">
        <f>$AJ$123*$D$108/4</f>
        <v>17160</v>
      </c>
      <c r="AI117" s="233">
        <f>$AJ$123*$D$108/4</f>
        <v>17160</v>
      </c>
      <c r="AJ117" s="233">
        <f>$AJ$123*$D$108/4</f>
        <v>17160</v>
      </c>
      <c r="AK117" s="395">
        <f>$AJ$123*$D$108/4</f>
        <v>17160</v>
      </c>
      <c r="AL117" s="256">
        <f>SUM(I117:AK117)</f>
        <v>257400</v>
      </c>
      <c r="AM117" s="108"/>
      <c r="AN117" s="108"/>
      <c r="AO117" s="108"/>
      <c r="AP117" s="108"/>
      <c r="AQ117" s="108"/>
      <c r="AR117" s="108"/>
      <c r="AS117" s="108"/>
      <c r="AT117" s="108"/>
      <c r="AU117" s="428"/>
      <c r="AV117" s="428"/>
    </row>
    <row r="118" spans="1:48" hidden="1">
      <c r="A118" s="489"/>
      <c r="B118" s="504"/>
      <c r="C118" s="455"/>
      <c r="D118" s="476"/>
      <c r="E118" s="447"/>
      <c r="F118" s="433"/>
      <c r="G118" s="133"/>
      <c r="H118" s="187" t="s">
        <v>27</v>
      </c>
      <c r="I118" s="233"/>
      <c r="J118" s="233"/>
      <c r="K118" s="233"/>
      <c r="L118" s="398"/>
      <c r="M118" s="233"/>
      <c r="N118" s="233"/>
      <c r="O118" s="233"/>
      <c r="P118" s="398"/>
      <c r="Q118" s="398"/>
      <c r="R118" s="398"/>
      <c r="S118" s="398"/>
      <c r="T118" s="233">
        <v>1</v>
      </c>
      <c r="U118" s="233">
        <v>1</v>
      </c>
      <c r="V118" s="398"/>
      <c r="W118" s="233">
        <v>1</v>
      </c>
      <c r="X118" s="233">
        <v>1</v>
      </c>
      <c r="Y118" s="233">
        <v>1</v>
      </c>
      <c r="Z118" s="398"/>
      <c r="AA118" s="233">
        <v>1</v>
      </c>
      <c r="AB118" s="233">
        <v>1</v>
      </c>
      <c r="AC118" s="233">
        <v>1</v>
      </c>
      <c r="AD118" s="233">
        <v>1</v>
      </c>
      <c r="AE118" s="233">
        <v>1</v>
      </c>
      <c r="AF118" s="233">
        <v>1</v>
      </c>
      <c r="AG118" s="398"/>
      <c r="AH118" s="233">
        <v>1</v>
      </c>
      <c r="AI118" s="233">
        <v>1</v>
      </c>
      <c r="AJ118" s="233">
        <v>1</v>
      </c>
      <c r="AK118" s="395">
        <v>1</v>
      </c>
      <c r="AL118" s="256"/>
      <c r="AM118" s="108"/>
      <c r="AN118" s="108"/>
      <c r="AO118" s="108"/>
      <c r="AP118" s="108"/>
      <c r="AQ118" s="108"/>
      <c r="AR118" s="108"/>
      <c r="AS118" s="108"/>
      <c r="AT118" s="108"/>
      <c r="AU118" s="428"/>
      <c r="AV118" s="428"/>
    </row>
    <row r="119" spans="1:48" hidden="1">
      <c r="A119" s="489"/>
      <c r="B119" s="504"/>
      <c r="C119" s="455"/>
      <c r="D119" s="476"/>
      <c r="E119" s="447"/>
      <c r="F119" s="433"/>
      <c r="G119" s="133"/>
      <c r="H119" s="188" t="s">
        <v>15</v>
      </c>
      <c r="I119" s="278"/>
      <c r="J119" s="278"/>
      <c r="K119" s="278"/>
      <c r="L119" s="398"/>
      <c r="M119" s="278"/>
      <c r="N119" s="278"/>
      <c r="O119" s="278"/>
      <c r="P119" s="398"/>
      <c r="Q119" s="398"/>
      <c r="R119" s="398"/>
      <c r="S119" s="398"/>
      <c r="T119" s="278">
        <f>50222+21889</f>
        <v>72111</v>
      </c>
      <c r="U119" s="278"/>
      <c r="V119" s="398"/>
      <c r="W119" s="278"/>
      <c r="X119" s="278"/>
      <c r="Y119" s="278"/>
      <c r="Z119" s="398"/>
      <c r="AA119" s="278"/>
      <c r="AB119" s="278"/>
      <c r="AC119" s="278"/>
      <c r="AD119" s="278"/>
      <c r="AE119" s="278"/>
      <c r="AF119" s="278"/>
      <c r="AG119" s="398"/>
      <c r="AH119" s="278"/>
      <c r="AI119" s="278"/>
      <c r="AJ119" s="278"/>
      <c r="AK119" s="402"/>
      <c r="AL119" s="253">
        <f>SUM(I119:AK119)</f>
        <v>72111</v>
      </c>
      <c r="AM119" s="108"/>
      <c r="AN119" s="108"/>
      <c r="AO119" s="108"/>
      <c r="AP119" s="108"/>
      <c r="AQ119" s="108"/>
      <c r="AR119" s="108"/>
      <c r="AS119" s="108"/>
      <c r="AT119" s="108"/>
      <c r="AU119" s="428"/>
      <c r="AV119" s="428"/>
    </row>
    <row r="120" spans="1:48" hidden="1">
      <c r="A120" s="489"/>
      <c r="B120" s="504"/>
      <c r="C120" s="455"/>
      <c r="D120" s="476"/>
      <c r="E120" s="447"/>
      <c r="F120" s="433"/>
      <c r="G120" s="133"/>
      <c r="H120" s="187" t="s">
        <v>49</v>
      </c>
      <c r="I120" s="233"/>
      <c r="J120" s="233"/>
      <c r="K120" s="233"/>
      <c r="L120" s="398"/>
      <c r="M120" s="233"/>
      <c r="N120" s="233"/>
      <c r="O120" s="233"/>
      <c r="P120" s="398"/>
      <c r="Q120" s="398"/>
      <c r="R120" s="398"/>
      <c r="S120" s="398"/>
      <c r="T120" s="233">
        <f>$AJ$123*$D$108/4</f>
        <v>17160</v>
      </c>
      <c r="U120" s="233">
        <f>$AJ$123*$D$108/4</f>
        <v>17160</v>
      </c>
      <c r="V120" s="398"/>
      <c r="W120" s="233">
        <f>$AJ$123*$D$108/4</f>
        <v>17160</v>
      </c>
      <c r="X120" s="233">
        <f>$AJ$123*$D$108/4</f>
        <v>17160</v>
      </c>
      <c r="Y120" s="233">
        <f>$AJ$123*$D$108/4</f>
        <v>17160</v>
      </c>
      <c r="Z120" s="398"/>
      <c r="AA120" s="233">
        <f t="shared" ref="AA120:AF120" si="22">$AJ$123*$D$108/4</f>
        <v>17160</v>
      </c>
      <c r="AB120" s="233">
        <f t="shared" si="22"/>
        <v>17160</v>
      </c>
      <c r="AC120" s="233">
        <f t="shared" si="22"/>
        <v>17160</v>
      </c>
      <c r="AD120" s="233">
        <f t="shared" si="22"/>
        <v>17160</v>
      </c>
      <c r="AE120" s="233">
        <f t="shared" si="22"/>
        <v>17160</v>
      </c>
      <c r="AF120" s="233">
        <f t="shared" si="22"/>
        <v>17160</v>
      </c>
      <c r="AG120" s="398"/>
      <c r="AH120" s="233">
        <f>$AJ$123*$D$108/4</f>
        <v>17160</v>
      </c>
      <c r="AI120" s="233">
        <f>$AJ$123*$D$108/4</f>
        <v>17160</v>
      </c>
      <c r="AJ120" s="233">
        <f>$AJ$123*$D$108/4</f>
        <v>17160</v>
      </c>
      <c r="AK120" s="395">
        <f>$AJ$123*$D$108/4</f>
        <v>17160</v>
      </c>
      <c r="AL120" s="256">
        <f>SUM(I120:AK120)</f>
        <v>257400</v>
      </c>
      <c r="AM120" s="108"/>
      <c r="AN120" s="108"/>
      <c r="AO120" s="108"/>
      <c r="AP120" s="108"/>
      <c r="AQ120" s="108"/>
      <c r="AR120" s="108"/>
      <c r="AS120" s="108"/>
      <c r="AT120" s="108"/>
      <c r="AU120" s="428"/>
      <c r="AV120" s="428"/>
    </row>
    <row r="121" spans="1:48" hidden="1">
      <c r="A121" s="489"/>
      <c r="B121" s="504"/>
      <c r="C121" s="455"/>
      <c r="D121" s="476"/>
      <c r="E121" s="447"/>
      <c r="F121" s="433"/>
      <c r="G121" s="133"/>
      <c r="H121" s="187" t="s">
        <v>50</v>
      </c>
      <c r="I121" s="233"/>
      <c r="J121" s="233"/>
      <c r="K121" s="233"/>
      <c r="L121" s="398"/>
      <c r="M121" s="233"/>
      <c r="N121" s="233"/>
      <c r="O121" s="233"/>
      <c r="P121" s="398"/>
      <c r="Q121" s="398"/>
      <c r="R121" s="398"/>
      <c r="S121" s="398"/>
      <c r="T121" s="233">
        <v>3</v>
      </c>
      <c r="U121" s="233">
        <v>3</v>
      </c>
      <c r="V121" s="398"/>
      <c r="W121" s="233">
        <v>3</v>
      </c>
      <c r="X121" s="233">
        <v>3</v>
      </c>
      <c r="Y121" s="233">
        <v>3</v>
      </c>
      <c r="Z121" s="398"/>
      <c r="AA121" s="233">
        <v>3</v>
      </c>
      <c r="AB121" s="233">
        <v>3</v>
      </c>
      <c r="AC121" s="233">
        <v>3</v>
      </c>
      <c r="AD121" s="233">
        <v>3</v>
      </c>
      <c r="AE121" s="233">
        <v>3</v>
      </c>
      <c r="AF121" s="233">
        <v>3</v>
      </c>
      <c r="AG121" s="398"/>
      <c r="AH121" s="233">
        <v>3</v>
      </c>
      <c r="AI121" s="233">
        <v>3</v>
      </c>
      <c r="AJ121" s="233">
        <v>3</v>
      </c>
      <c r="AK121" s="395">
        <v>3</v>
      </c>
      <c r="AL121" s="256"/>
      <c r="AM121" s="108"/>
      <c r="AN121" s="108"/>
      <c r="AO121" s="108"/>
      <c r="AP121" s="108"/>
      <c r="AQ121" s="108"/>
      <c r="AR121" s="108"/>
      <c r="AS121" s="108"/>
      <c r="AT121" s="108"/>
      <c r="AU121" s="428"/>
      <c r="AV121" s="428"/>
    </row>
    <row r="122" spans="1:48" hidden="1">
      <c r="A122" s="489"/>
      <c r="B122" s="504"/>
      <c r="C122" s="455"/>
      <c r="D122" s="476"/>
      <c r="E122" s="447"/>
      <c r="F122" s="433"/>
      <c r="G122" s="133"/>
      <c r="H122" s="188" t="s">
        <v>15</v>
      </c>
      <c r="I122" s="278"/>
      <c r="J122" s="278"/>
      <c r="K122" s="278"/>
      <c r="L122" s="398"/>
      <c r="M122" s="278"/>
      <c r="N122" s="278"/>
      <c r="O122" s="278"/>
      <c r="P122" s="398"/>
      <c r="Q122" s="398"/>
      <c r="R122" s="398"/>
      <c r="S122" s="398"/>
      <c r="T122" s="278">
        <f>200</f>
        <v>200</v>
      </c>
      <c r="U122" s="278">
        <f>1057+1389+1938</f>
        <v>4384</v>
      </c>
      <c r="V122" s="398"/>
      <c r="W122" s="278">
        <f>1884+1800</f>
        <v>3684</v>
      </c>
      <c r="X122" s="278">
        <f>1900+1918</f>
        <v>3818</v>
      </c>
      <c r="Y122" s="278"/>
      <c r="Z122" s="398"/>
      <c r="AA122" s="278"/>
      <c r="AB122" s="278"/>
      <c r="AC122" s="278"/>
      <c r="AD122" s="278"/>
      <c r="AE122" s="278"/>
      <c r="AF122" s="278"/>
      <c r="AG122" s="398"/>
      <c r="AH122" s="278"/>
      <c r="AI122" s="278"/>
      <c r="AJ122" s="278"/>
      <c r="AK122" s="402"/>
      <c r="AL122" s="253">
        <f>SUM(I122:AK122)</f>
        <v>12086</v>
      </c>
      <c r="AM122" s="108"/>
      <c r="AN122" s="108"/>
      <c r="AO122" s="108"/>
      <c r="AP122" s="108"/>
      <c r="AQ122" s="108"/>
      <c r="AR122" s="108"/>
      <c r="AS122" s="108"/>
      <c r="AT122" s="108"/>
      <c r="AU122" s="428"/>
      <c r="AV122" s="428"/>
    </row>
    <row r="123" spans="1:48" hidden="1">
      <c r="A123" s="489"/>
      <c r="B123" s="504"/>
      <c r="C123" s="455"/>
      <c r="D123" s="476"/>
      <c r="E123" s="447"/>
      <c r="F123" s="433"/>
      <c r="G123" s="133"/>
      <c r="H123" s="187" t="s">
        <v>32</v>
      </c>
      <c r="I123" s="233"/>
      <c r="J123" s="233"/>
      <c r="K123" s="233"/>
      <c r="L123" s="398"/>
      <c r="M123" s="233"/>
      <c r="N123" s="190"/>
      <c r="O123" s="233"/>
      <c r="P123" s="398"/>
      <c r="Q123" s="398"/>
      <c r="R123" s="398"/>
      <c r="S123" s="398"/>
      <c r="T123" s="233"/>
      <c r="U123" s="233"/>
      <c r="V123" s="398"/>
      <c r="W123" s="233"/>
      <c r="X123" s="233"/>
      <c r="Y123" s="233"/>
      <c r="Z123" s="398"/>
      <c r="AA123" s="233">
        <f>($C$108*4)+($C$108*4*10%)</f>
        <v>44000</v>
      </c>
      <c r="AB123" s="190"/>
      <c r="AC123" s="233"/>
      <c r="AD123" s="233"/>
      <c r="AE123" s="233">
        <f>($C$108*4)+($C$108*4*10%)</f>
        <v>44000</v>
      </c>
      <c r="AF123" s="190"/>
      <c r="AG123" s="398"/>
      <c r="AH123" s="233"/>
      <c r="AI123" s="233"/>
      <c r="AJ123" s="233">
        <f>($C$108*4)+($C$108*4*10%)</f>
        <v>44000</v>
      </c>
      <c r="AK123" s="391"/>
      <c r="AL123" s="256">
        <f>SUM(I123:AK123)</f>
        <v>132000</v>
      </c>
      <c r="AM123" s="108"/>
      <c r="AN123" s="108"/>
      <c r="AO123" s="108"/>
      <c r="AP123" s="108"/>
      <c r="AQ123" s="108"/>
      <c r="AR123" s="108"/>
      <c r="AS123" s="108"/>
      <c r="AT123" s="108"/>
      <c r="AU123" s="428"/>
      <c r="AV123" s="428"/>
    </row>
    <row r="124" spans="1:48" hidden="1">
      <c r="A124" s="489"/>
      <c r="B124" s="504"/>
      <c r="C124" s="455"/>
      <c r="D124" s="476"/>
      <c r="E124" s="447"/>
      <c r="F124" s="433"/>
      <c r="G124" s="133"/>
      <c r="H124" s="187" t="s">
        <v>51</v>
      </c>
      <c r="I124" s="233"/>
      <c r="J124" s="233"/>
      <c r="K124" s="233"/>
      <c r="L124" s="398"/>
      <c r="M124" s="233"/>
      <c r="N124" s="190"/>
      <c r="O124" s="233"/>
      <c r="P124" s="398"/>
      <c r="Q124" s="398"/>
      <c r="R124" s="398"/>
      <c r="S124" s="398"/>
      <c r="T124" s="233"/>
      <c r="U124" s="233"/>
      <c r="V124" s="398"/>
      <c r="W124" s="233"/>
      <c r="X124" s="233"/>
      <c r="Y124" s="233"/>
      <c r="Z124" s="398"/>
      <c r="AA124" s="233">
        <v>1</v>
      </c>
      <c r="AB124" s="190"/>
      <c r="AC124" s="233"/>
      <c r="AD124" s="233"/>
      <c r="AE124" s="233">
        <v>1</v>
      </c>
      <c r="AF124" s="190"/>
      <c r="AG124" s="398"/>
      <c r="AH124" s="233"/>
      <c r="AI124" s="233"/>
      <c r="AJ124" s="233">
        <v>1</v>
      </c>
      <c r="AK124" s="391"/>
      <c r="AL124" s="256"/>
      <c r="AM124" s="108"/>
      <c r="AN124" s="108"/>
      <c r="AO124" s="108"/>
      <c r="AP124" s="108"/>
      <c r="AQ124" s="108"/>
      <c r="AR124" s="108"/>
      <c r="AS124" s="108"/>
      <c r="AT124" s="108"/>
      <c r="AU124" s="428"/>
      <c r="AV124" s="428"/>
    </row>
    <row r="125" spans="1:48" hidden="1">
      <c r="A125" s="490"/>
      <c r="B125" s="504"/>
      <c r="C125" s="456"/>
      <c r="D125" s="477"/>
      <c r="E125" s="448"/>
      <c r="F125" s="433"/>
      <c r="G125" s="55"/>
      <c r="H125" s="196" t="s">
        <v>15</v>
      </c>
      <c r="I125" s="279"/>
      <c r="J125" s="279"/>
      <c r="K125" s="279"/>
      <c r="L125" s="399"/>
      <c r="M125" s="279"/>
      <c r="N125" s="279"/>
      <c r="O125" s="279"/>
      <c r="P125" s="399"/>
      <c r="Q125" s="399"/>
      <c r="R125" s="399"/>
      <c r="S125" s="399"/>
      <c r="T125" s="279"/>
      <c r="U125" s="279"/>
      <c r="V125" s="399"/>
      <c r="W125" s="279"/>
      <c r="X125" s="279"/>
      <c r="Y125" s="279"/>
      <c r="Z125" s="399"/>
      <c r="AA125" s="279"/>
      <c r="AB125" s="279"/>
      <c r="AC125" s="279"/>
      <c r="AD125" s="279"/>
      <c r="AE125" s="279"/>
      <c r="AF125" s="279"/>
      <c r="AG125" s="399"/>
      <c r="AH125" s="279"/>
      <c r="AI125" s="279"/>
      <c r="AJ125" s="279"/>
      <c r="AK125" s="403"/>
      <c r="AL125" s="253">
        <f>SUM(I125:AK125)</f>
        <v>0</v>
      </c>
      <c r="AM125" s="108"/>
      <c r="AN125" s="108"/>
      <c r="AO125" s="108"/>
      <c r="AP125" s="108"/>
      <c r="AQ125" s="108"/>
      <c r="AR125" s="108"/>
      <c r="AS125" s="108"/>
      <c r="AT125" s="108"/>
      <c r="AU125" s="428"/>
      <c r="AV125" s="428"/>
    </row>
    <row r="126" spans="1:48" hidden="1">
      <c r="A126" s="483" t="s">
        <v>65</v>
      </c>
      <c r="B126" s="505" t="s">
        <v>66</v>
      </c>
      <c r="C126" s="461">
        <v>1500</v>
      </c>
      <c r="D126" s="478">
        <v>1.5249999999999999</v>
      </c>
      <c r="E126" s="61"/>
      <c r="F126" s="432" t="s">
        <v>67</v>
      </c>
      <c r="G126" s="132">
        <v>0.16</v>
      </c>
      <c r="H126" s="185" t="s">
        <v>12</v>
      </c>
      <c r="I126" s="275"/>
      <c r="J126" s="275"/>
      <c r="K126" s="275"/>
      <c r="L126" s="379"/>
      <c r="M126" s="275"/>
      <c r="N126" s="275"/>
      <c r="O126" s="275"/>
      <c r="P126" s="379"/>
      <c r="Q126" s="379"/>
      <c r="R126" s="379"/>
      <c r="S126" s="379"/>
      <c r="T126" s="275"/>
      <c r="U126" s="275"/>
      <c r="V126" s="379"/>
      <c r="W126" s="275"/>
      <c r="X126" s="275"/>
      <c r="Y126" s="275"/>
      <c r="Z126" s="379"/>
      <c r="AA126" s="275"/>
      <c r="AB126" s="275"/>
      <c r="AC126" s="275"/>
      <c r="AD126" s="275"/>
      <c r="AE126" s="275"/>
      <c r="AF126" s="275"/>
      <c r="AG126" s="379"/>
      <c r="AH126" s="275">
        <v>55</v>
      </c>
      <c r="AI126" s="275">
        <v>55</v>
      </c>
      <c r="AJ126" s="275">
        <v>55</v>
      </c>
      <c r="AK126" s="401">
        <v>55</v>
      </c>
      <c r="AL126" s="253"/>
      <c r="AM126" s="108"/>
      <c r="AN126" s="108"/>
      <c r="AO126" s="108"/>
      <c r="AP126" s="108"/>
      <c r="AQ126" s="108"/>
      <c r="AR126" s="108"/>
      <c r="AS126" s="108"/>
      <c r="AT126" s="108"/>
      <c r="AU126" s="428"/>
      <c r="AV126" s="428"/>
    </row>
    <row r="127" spans="1:48" hidden="1">
      <c r="A127" s="489"/>
      <c r="B127" s="488"/>
      <c r="C127" s="455"/>
      <c r="D127" s="479"/>
      <c r="E127" s="63"/>
      <c r="F127" s="433"/>
      <c r="G127" s="133"/>
      <c r="H127" s="187" t="s">
        <v>14</v>
      </c>
      <c r="I127" s="233"/>
      <c r="J127" s="233"/>
      <c r="K127" s="233"/>
      <c r="L127" s="398"/>
      <c r="M127" s="233"/>
      <c r="N127" s="233"/>
      <c r="O127" s="233"/>
      <c r="P127" s="398"/>
      <c r="Q127" s="398"/>
      <c r="R127" s="398"/>
      <c r="S127" s="398"/>
      <c r="T127" s="233"/>
      <c r="U127" s="233"/>
      <c r="V127" s="398"/>
      <c r="W127" s="233"/>
      <c r="X127" s="233"/>
      <c r="Y127" s="233"/>
      <c r="Z127" s="398"/>
      <c r="AA127" s="233"/>
      <c r="AB127" s="233"/>
      <c r="AC127" s="233"/>
      <c r="AD127" s="233"/>
      <c r="AE127" s="233"/>
      <c r="AF127" s="233"/>
      <c r="AG127" s="398"/>
      <c r="AH127" s="233">
        <v>0.5</v>
      </c>
      <c r="AI127" s="233">
        <v>0.5</v>
      </c>
      <c r="AJ127" s="233">
        <v>0.5</v>
      </c>
      <c r="AK127" s="395">
        <v>0.5</v>
      </c>
      <c r="AL127" s="253"/>
      <c r="AM127" s="108"/>
      <c r="AN127" s="108"/>
      <c r="AO127" s="108"/>
      <c r="AP127" s="108"/>
      <c r="AQ127" s="108"/>
      <c r="AR127" s="108"/>
      <c r="AS127" s="108"/>
      <c r="AT127" s="108"/>
      <c r="AU127" s="428"/>
      <c r="AV127" s="428"/>
    </row>
    <row r="128" spans="1:48" hidden="1">
      <c r="A128" s="489"/>
      <c r="B128" s="488"/>
      <c r="C128" s="455"/>
      <c r="D128" s="479"/>
      <c r="E128" s="63"/>
      <c r="F128" s="433"/>
      <c r="G128" s="55"/>
      <c r="H128" s="188" t="s">
        <v>15</v>
      </c>
      <c r="I128" s="278"/>
      <c r="J128" s="278"/>
      <c r="K128" s="278"/>
      <c r="L128" s="398"/>
      <c r="M128" s="278"/>
      <c r="N128" s="278"/>
      <c r="O128" s="278"/>
      <c r="P128" s="398"/>
      <c r="Q128" s="398"/>
      <c r="R128" s="398"/>
      <c r="S128" s="398"/>
      <c r="T128" s="278"/>
      <c r="U128" s="278"/>
      <c r="V128" s="398"/>
      <c r="W128" s="278"/>
      <c r="X128" s="278"/>
      <c r="Y128" s="278"/>
      <c r="Z128" s="398"/>
      <c r="AA128" s="278"/>
      <c r="AB128" s="278"/>
      <c r="AC128" s="278"/>
      <c r="AD128" s="278"/>
      <c r="AE128" s="278"/>
      <c r="AF128" s="278"/>
      <c r="AG128" s="398"/>
      <c r="AH128" s="278"/>
      <c r="AI128" s="278"/>
      <c r="AJ128" s="278"/>
      <c r="AK128" s="402"/>
      <c r="AL128" s="253"/>
      <c r="AM128" s="108"/>
      <c r="AN128" s="108"/>
      <c r="AO128" s="108"/>
      <c r="AP128" s="108"/>
      <c r="AQ128" s="108"/>
      <c r="AR128" s="108"/>
      <c r="AS128" s="108"/>
      <c r="AT128" s="108"/>
      <c r="AU128" s="428"/>
      <c r="AV128" s="428"/>
    </row>
    <row r="129" spans="1:48" hidden="1">
      <c r="A129" s="489"/>
      <c r="B129" s="488"/>
      <c r="C129" s="455"/>
      <c r="D129" s="479"/>
      <c r="E129" s="63"/>
      <c r="F129" s="433"/>
      <c r="G129" s="134" t="s">
        <v>68</v>
      </c>
      <c r="H129" s="187" t="s">
        <v>22</v>
      </c>
      <c r="I129" s="233"/>
      <c r="J129" s="233"/>
      <c r="K129" s="233"/>
      <c r="L129" s="398"/>
      <c r="M129" s="233"/>
      <c r="N129" s="233"/>
      <c r="O129" s="233"/>
      <c r="P129" s="398"/>
      <c r="Q129" s="398"/>
      <c r="R129" s="398"/>
      <c r="S129" s="398"/>
      <c r="T129" s="233"/>
      <c r="U129" s="233"/>
      <c r="V129" s="398"/>
      <c r="W129" s="233"/>
      <c r="X129" s="233"/>
      <c r="Y129" s="233"/>
      <c r="Z129" s="398"/>
      <c r="AA129" s="233"/>
      <c r="AB129" s="233"/>
      <c r="AC129" s="233"/>
      <c r="AD129" s="233"/>
      <c r="AE129" s="233"/>
      <c r="AF129" s="233"/>
      <c r="AG129" s="398"/>
      <c r="AH129" s="233"/>
      <c r="AI129" s="233">
        <f>$AK$138*$D$126</f>
        <v>10065</v>
      </c>
      <c r="AJ129" s="233"/>
      <c r="AK129" s="395"/>
      <c r="AL129" s="256">
        <f>SUM(I129:AK129)</f>
        <v>10065</v>
      </c>
      <c r="AM129" s="108"/>
      <c r="AN129" s="108"/>
      <c r="AO129" s="108"/>
      <c r="AP129" s="108"/>
      <c r="AQ129" s="108"/>
      <c r="AR129" s="108"/>
      <c r="AS129" s="108"/>
      <c r="AT129" s="108"/>
      <c r="AU129" s="428"/>
      <c r="AV129" s="428"/>
    </row>
    <row r="130" spans="1:48" hidden="1">
      <c r="A130" s="489"/>
      <c r="B130" s="488"/>
      <c r="C130" s="455"/>
      <c r="D130" s="479"/>
      <c r="E130" s="63"/>
      <c r="F130" s="433"/>
      <c r="G130" s="133"/>
      <c r="H130" s="187" t="s">
        <v>20</v>
      </c>
      <c r="I130" s="233"/>
      <c r="J130" s="233"/>
      <c r="K130" s="233"/>
      <c r="L130" s="398"/>
      <c r="M130" s="233"/>
      <c r="N130" s="233"/>
      <c r="O130" s="233"/>
      <c r="P130" s="398"/>
      <c r="Q130" s="398"/>
      <c r="R130" s="398"/>
      <c r="S130" s="398"/>
      <c r="T130" s="233"/>
      <c r="U130" s="233"/>
      <c r="V130" s="398"/>
      <c r="W130" s="233"/>
      <c r="X130" s="233"/>
      <c r="Y130" s="233"/>
      <c r="Z130" s="398"/>
      <c r="AA130" s="233"/>
      <c r="AB130" s="233"/>
      <c r="AC130" s="233"/>
      <c r="AD130" s="233"/>
      <c r="AE130" s="233"/>
      <c r="AF130" s="233"/>
      <c r="AG130" s="398"/>
      <c r="AH130" s="233"/>
      <c r="AI130" s="233">
        <v>1</v>
      </c>
      <c r="AJ130" s="233"/>
      <c r="AK130" s="395"/>
      <c r="AL130" s="256"/>
      <c r="AM130" s="108"/>
      <c r="AN130" s="108"/>
      <c r="AO130" s="108"/>
      <c r="AP130" s="108"/>
      <c r="AQ130" s="108"/>
      <c r="AR130" s="108"/>
      <c r="AS130" s="108"/>
      <c r="AT130" s="108"/>
      <c r="AU130" s="428"/>
      <c r="AV130" s="428"/>
    </row>
    <row r="131" spans="1:48" hidden="1">
      <c r="A131" s="489"/>
      <c r="B131" s="488"/>
      <c r="C131" s="455"/>
      <c r="D131" s="479"/>
      <c r="E131" s="63"/>
      <c r="F131" s="433"/>
      <c r="G131" s="133"/>
      <c r="H131" s="188" t="s">
        <v>15</v>
      </c>
      <c r="I131" s="278"/>
      <c r="J131" s="278"/>
      <c r="K131" s="278"/>
      <c r="L131" s="398"/>
      <c r="M131" s="278"/>
      <c r="N131" s="278"/>
      <c r="O131" s="278"/>
      <c r="P131" s="398"/>
      <c r="Q131" s="398"/>
      <c r="R131" s="398"/>
      <c r="S131" s="398"/>
      <c r="T131" s="278"/>
      <c r="U131" s="278"/>
      <c r="V131" s="398"/>
      <c r="W131" s="278"/>
      <c r="X131" s="278"/>
      <c r="Y131" s="278"/>
      <c r="Z131" s="398"/>
      <c r="AA131" s="278"/>
      <c r="AB131" s="278"/>
      <c r="AC131" s="278"/>
      <c r="AD131" s="278"/>
      <c r="AE131" s="278"/>
      <c r="AF131" s="278"/>
      <c r="AG131" s="398"/>
      <c r="AH131" s="278"/>
      <c r="AI131" s="278"/>
      <c r="AJ131" s="278"/>
      <c r="AK131" s="402"/>
      <c r="AL131" s="253">
        <f>SUM(I131:AK131)</f>
        <v>0</v>
      </c>
      <c r="AM131" s="108"/>
      <c r="AN131" s="108"/>
      <c r="AO131" s="108"/>
      <c r="AP131" s="108"/>
      <c r="AQ131" s="108"/>
      <c r="AR131" s="108"/>
      <c r="AS131" s="108"/>
      <c r="AT131" s="108"/>
      <c r="AU131" s="428"/>
      <c r="AV131" s="428"/>
    </row>
    <row r="132" spans="1:48" hidden="1">
      <c r="A132" s="489"/>
      <c r="B132" s="488"/>
      <c r="C132" s="455"/>
      <c r="D132" s="479"/>
      <c r="E132" s="63"/>
      <c r="F132" s="433"/>
      <c r="G132" s="134" t="s">
        <v>28</v>
      </c>
      <c r="H132" s="187" t="s">
        <v>29</v>
      </c>
      <c r="I132" s="233"/>
      <c r="J132" s="233"/>
      <c r="K132" s="233"/>
      <c r="L132" s="398"/>
      <c r="M132" s="233"/>
      <c r="N132" s="233"/>
      <c r="O132" s="233"/>
      <c r="P132" s="398"/>
      <c r="Q132" s="398"/>
      <c r="R132" s="398"/>
      <c r="S132" s="398"/>
      <c r="T132" s="233"/>
      <c r="U132" s="233"/>
      <c r="V132" s="398"/>
      <c r="W132" s="233"/>
      <c r="X132" s="233"/>
      <c r="Y132" s="233"/>
      <c r="Z132" s="398"/>
      <c r="AA132" s="233"/>
      <c r="AB132" s="233"/>
      <c r="AC132" s="233"/>
      <c r="AD132" s="233"/>
      <c r="AE132" s="233"/>
      <c r="AF132" s="233"/>
      <c r="AG132" s="398"/>
      <c r="AH132" s="233"/>
      <c r="AI132" s="233">
        <f>$AK$138*$D$126</f>
        <v>10065</v>
      </c>
      <c r="AJ132" s="233"/>
      <c r="AK132" s="395"/>
      <c r="AL132" s="256">
        <f>SUM(I132:AK132)</f>
        <v>10065</v>
      </c>
      <c r="AM132" s="108"/>
      <c r="AN132" s="108"/>
      <c r="AO132" s="108"/>
      <c r="AP132" s="108"/>
      <c r="AQ132" s="108"/>
      <c r="AR132" s="108"/>
      <c r="AS132" s="108"/>
      <c r="AT132" s="108"/>
      <c r="AU132" s="428"/>
      <c r="AV132" s="428"/>
    </row>
    <row r="133" spans="1:48" hidden="1">
      <c r="A133" s="489"/>
      <c r="B133" s="488"/>
      <c r="C133" s="455"/>
      <c r="D133" s="479"/>
      <c r="E133" s="63"/>
      <c r="F133" s="433"/>
      <c r="G133" s="133"/>
      <c r="H133" s="187" t="s">
        <v>27</v>
      </c>
      <c r="I133" s="233"/>
      <c r="J133" s="233"/>
      <c r="K133" s="233"/>
      <c r="L133" s="398"/>
      <c r="M133" s="233"/>
      <c r="N133" s="233"/>
      <c r="O133" s="233"/>
      <c r="P133" s="398"/>
      <c r="Q133" s="398"/>
      <c r="R133" s="398"/>
      <c r="S133" s="398"/>
      <c r="T133" s="233"/>
      <c r="U133" s="233"/>
      <c r="V133" s="398"/>
      <c r="W133" s="233"/>
      <c r="X133" s="233"/>
      <c r="Y133" s="233"/>
      <c r="Z133" s="398"/>
      <c r="AA133" s="233"/>
      <c r="AB133" s="233"/>
      <c r="AC133" s="233"/>
      <c r="AD133" s="233"/>
      <c r="AE133" s="233"/>
      <c r="AF133" s="233"/>
      <c r="AG133" s="398"/>
      <c r="AH133" s="233"/>
      <c r="AI133" s="233">
        <v>1</v>
      </c>
      <c r="AJ133" s="233"/>
      <c r="AK133" s="395"/>
      <c r="AL133" s="256"/>
      <c r="AM133" s="108"/>
      <c r="AN133" s="108"/>
      <c r="AO133" s="108"/>
      <c r="AP133" s="108"/>
      <c r="AQ133" s="108"/>
      <c r="AR133" s="108"/>
      <c r="AS133" s="108"/>
      <c r="AT133" s="108"/>
      <c r="AU133" s="428"/>
      <c r="AV133" s="428"/>
    </row>
    <row r="134" spans="1:48" hidden="1">
      <c r="A134" s="489"/>
      <c r="B134" s="488"/>
      <c r="C134" s="455"/>
      <c r="D134" s="479"/>
      <c r="E134" s="63"/>
      <c r="F134" s="433"/>
      <c r="G134" s="133"/>
      <c r="H134" s="188" t="s">
        <v>15</v>
      </c>
      <c r="I134" s="278"/>
      <c r="J134" s="278"/>
      <c r="K134" s="278"/>
      <c r="L134" s="398"/>
      <c r="M134" s="278"/>
      <c r="N134" s="278"/>
      <c r="O134" s="278"/>
      <c r="P134" s="398"/>
      <c r="Q134" s="398"/>
      <c r="R134" s="398"/>
      <c r="S134" s="398"/>
      <c r="T134" s="278"/>
      <c r="U134" s="278"/>
      <c r="V134" s="398"/>
      <c r="W134" s="278"/>
      <c r="X134" s="278"/>
      <c r="Y134" s="278"/>
      <c r="Z134" s="398"/>
      <c r="AA134" s="278"/>
      <c r="AB134" s="278"/>
      <c r="AC134" s="278"/>
      <c r="AD134" s="278"/>
      <c r="AE134" s="278"/>
      <c r="AF134" s="278"/>
      <c r="AG134" s="398"/>
      <c r="AH134" s="278"/>
      <c r="AI134" s="278"/>
      <c r="AJ134" s="278"/>
      <c r="AK134" s="402"/>
      <c r="AL134" s="253">
        <f>SUM(I134:AK134)</f>
        <v>0</v>
      </c>
      <c r="AM134" s="108"/>
      <c r="AN134" s="108"/>
      <c r="AO134" s="108"/>
      <c r="AP134" s="108"/>
      <c r="AQ134" s="108"/>
      <c r="AR134" s="108"/>
      <c r="AS134" s="108"/>
      <c r="AT134" s="108"/>
      <c r="AU134" s="428"/>
      <c r="AV134" s="428"/>
    </row>
    <row r="135" spans="1:48" hidden="1">
      <c r="A135" s="489"/>
      <c r="B135" s="488"/>
      <c r="C135" s="455"/>
      <c r="D135" s="479"/>
      <c r="E135" s="63"/>
      <c r="F135" s="433"/>
      <c r="G135" s="133"/>
      <c r="H135" s="187" t="s">
        <v>49</v>
      </c>
      <c r="I135" s="233"/>
      <c r="J135" s="233"/>
      <c r="K135" s="233"/>
      <c r="L135" s="398"/>
      <c r="M135" s="233"/>
      <c r="N135" s="233"/>
      <c r="O135" s="233"/>
      <c r="P135" s="398"/>
      <c r="Q135" s="398"/>
      <c r="R135" s="398"/>
      <c r="S135" s="398"/>
      <c r="T135" s="233"/>
      <c r="U135" s="233"/>
      <c r="V135" s="398"/>
      <c r="W135" s="233"/>
      <c r="X135" s="233"/>
      <c r="Y135" s="233"/>
      <c r="Z135" s="398"/>
      <c r="AA135" s="233"/>
      <c r="AB135" s="233"/>
      <c r="AC135" s="233"/>
      <c r="AD135" s="233"/>
      <c r="AE135" s="233"/>
      <c r="AF135" s="233"/>
      <c r="AG135" s="398"/>
      <c r="AH135" s="233">
        <f>$AK$138*$D$126/3</f>
        <v>3355</v>
      </c>
      <c r="AI135" s="233">
        <f>$AK$138*$D$126/3</f>
        <v>3355</v>
      </c>
      <c r="AJ135" s="233">
        <f>$AK$138*$D$126/3</f>
        <v>3355</v>
      </c>
      <c r="AK135" s="395">
        <f>$AK$138*$D$126/3</f>
        <v>3355</v>
      </c>
      <c r="AL135" s="256">
        <f>SUM(I135:AK135)</f>
        <v>13420</v>
      </c>
      <c r="AM135" s="108"/>
      <c r="AN135" s="108"/>
      <c r="AO135" s="108"/>
      <c r="AP135" s="108"/>
      <c r="AQ135" s="108"/>
      <c r="AR135" s="108"/>
      <c r="AS135" s="108"/>
      <c r="AT135" s="108"/>
      <c r="AU135" s="428"/>
      <c r="AV135" s="428"/>
    </row>
    <row r="136" spans="1:48" hidden="1">
      <c r="A136" s="489"/>
      <c r="B136" s="488"/>
      <c r="C136" s="455"/>
      <c r="D136" s="479"/>
      <c r="E136" s="63"/>
      <c r="F136" s="433"/>
      <c r="G136" s="133"/>
      <c r="H136" s="187" t="s">
        <v>50</v>
      </c>
      <c r="I136" s="233"/>
      <c r="J136" s="233"/>
      <c r="K136" s="233"/>
      <c r="L136" s="398"/>
      <c r="M136" s="233"/>
      <c r="N136" s="233"/>
      <c r="O136" s="233"/>
      <c r="P136" s="398"/>
      <c r="Q136" s="398"/>
      <c r="R136" s="398"/>
      <c r="S136" s="398"/>
      <c r="T136" s="233"/>
      <c r="U136" s="233"/>
      <c r="V136" s="398"/>
      <c r="W136" s="233"/>
      <c r="X136" s="233"/>
      <c r="Y136" s="233"/>
      <c r="Z136" s="398"/>
      <c r="AA136" s="233"/>
      <c r="AB136" s="233"/>
      <c r="AC136" s="233"/>
      <c r="AD136" s="233"/>
      <c r="AE136" s="233"/>
      <c r="AF136" s="233"/>
      <c r="AG136" s="398"/>
      <c r="AH136" s="233">
        <v>1</v>
      </c>
      <c r="AI136" s="233">
        <v>1</v>
      </c>
      <c r="AJ136" s="233">
        <v>1</v>
      </c>
      <c r="AK136" s="395">
        <v>1</v>
      </c>
      <c r="AL136" s="256"/>
      <c r="AM136" s="108"/>
      <c r="AN136" s="108"/>
      <c r="AO136" s="108"/>
      <c r="AP136" s="108"/>
      <c r="AQ136" s="108"/>
      <c r="AR136" s="108"/>
      <c r="AS136" s="108"/>
      <c r="AT136" s="108"/>
      <c r="AU136" s="428"/>
      <c r="AV136" s="428"/>
    </row>
    <row r="137" spans="1:48" hidden="1">
      <c r="A137" s="489"/>
      <c r="B137" s="488"/>
      <c r="C137" s="455"/>
      <c r="D137" s="479"/>
      <c r="E137" s="63"/>
      <c r="F137" s="433"/>
      <c r="G137" s="133"/>
      <c r="H137" s="188" t="s">
        <v>15</v>
      </c>
      <c r="I137" s="278"/>
      <c r="J137" s="278"/>
      <c r="K137" s="278"/>
      <c r="L137" s="398"/>
      <c r="M137" s="278"/>
      <c r="N137" s="278"/>
      <c r="O137" s="278"/>
      <c r="P137" s="398"/>
      <c r="Q137" s="398"/>
      <c r="R137" s="398"/>
      <c r="S137" s="398"/>
      <c r="T137" s="278"/>
      <c r="U137" s="278"/>
      <c r="V137" s="398"/>
      <c r="W137" s="278"/>
      <c r="X137" s="278">
        <f>1537</f>
        <v>1537</v>
      </c>
      <c r="Y137" s="278"/>
      <c r="Z137" s="398"/>
      <c r="AA137" s="278"/>
      <c r="AB137" s="278"/>
      <c r="AC137" s="278"/>
      <c r="AD137" s="278"/>
      <c r="AE137" s="278"/>
      <c r="AF137" s="278"/>
      <c r="AG137" s="398"/>
      <c r="AH137" s="278"/>
      <c r="AI137" s="278"/>
      <c r="AJ137" s="278"/>
      <c r="AK137" s="402"/>
      <c r="AL137" s="253">
        <f>SUM(I137:AK137)</f>
        <v>1537</v>
      </c>
      <c r="AM137" s="108"/>
      <c r="AN137" s="108"/>
      <c r="AO137" s="108"/>
      <c r="AP137" s="108"/>
      <c r="AQ137" s="108"/>
      <c r="AR137" s="108"/>
      <c r="AS137" s="108"/>
      <c r="AT137" s="108"/>
      <c r="AU137" s="428"/>
      <c r="AV137" s="428"/>
    </row>
    <row r="138" spans="1:48" hidden="1">
      <c r="A138" s="489"/>
      <c r="B138" s="488"/>
      <c r="C138" s="455"/>
      <c r="D138" s="479"/>
      <c r="E138" s="63"/>
      <c r="F138" s="433"/>
      <c r="G138" s="133"/>
      <c r="H138" s="187" t="s">
        <v>32</v>
      </c>
      <c r="I138" s="233"/>
      <c r="J138" s="233"/>
      <c r="K138" s="233"/>
      <c r="L138" s="398"/>
      <c r="M138" s="291"/>
      <c r="N138" s="233"/>
      <c r="O138" s="233"/>
      <c r="P138" s="398"/>
      <c r="Q138" s="398"/>
      <c r="R138" s="398"/>
      <c r="S138" s="398"/>
      <c r="T138" s="233"/>
      <c r="U138" s="233"/>
      <c r="V138" s="398"/>
      <c r="W138" s="233"/>
      <c r="X138" s="233"/>
      <c r="Y138" s="233"/>
      <c r="Z138" s="398"/>
      <c r="AA138" s="233"/>
      <c r="AB138" s="233"/>
      <c r="AC138" s="233"/>
      <c r="AD138" s="233"/>
      <c r="AE138" s="233"/>
      <c r="AF138" s="233"/>
      <c r="AG138" s="398"/>
      <c r="AH138" s="233"/>
      <c r="AI138" s="233"/>
      <c r="AJ138" s="233"/>
      <c r="AK138" s="395">
        <f>($C$126*4)+($C$126*4*10%)</f>
        <v>6600</v>
      </c>
      <c r="AL138" s="256">
        <f>SUM(I138:AK138)</f>
        <v>6600</v>
      </c>
      <c r="AM138" s="108"/>
      <c r="AN138" s="108"/>
      <c r="AO138" s="108"/>
      <c r="AP138" s="108"/>
      <c r="AQ138" s="108"/>
      <c r="AR138" s="108"/>
      <c r="AS138" s="108"/>
      <c r="AT138" s="108"/>
      <c r="AU138" s="428"/>
      <c r="AV138" s="428"/>
    </row>
    <row r="139" spans="1:48" hidden="1">
      <c r="A139" s="484"/>
      <c r="B139" s="486"/>
      <c r="C139" s="455"/>
      <c r="D139" s="479"/>
      <c r="E139" s="63"/>
      <c r="F139" s="433"/>
      <c r="G139" s="134"/>
      <c r="H139" s="187" t="s">
        <v>51</v>
      </c>
      <c r="I139" s="212"/>
      <c r="J139" s="212"/>
      <c r="K139" s="212"/>
      <c r="L139" s="376"/>
      <c r="M139" s="291"/>
      <c r="N139" s="212"/>
      <c r="O139" s="212"/>
      <c r="P139" s="376"/>
      <c r="Q139" s="376"/>
      <c r="R139" s="376"/>
      <c r="S139" s="376"/>
      <c r="T139" s="233"/>
      <c r="U139" s="212"/>
      <c r="V139" s="376"/>
      <c r="W139" s="212"/>
      <c r="X139" s="233"/>
      <c r="Y139" s="212"/>
      <c r="Z139" s="376"/>
      <c r="AA139" s="212"/>
      <c r="AB139" s="233"/>
      <c r="AC139" s="212"/>
      <c r="AD139" s="212"/>
      <c r="AE139" s="233"/>
      <c r="AF139" s="212"/>
      <c r="AG139" s="376"/>
      <c r="AH139" s="212"/>
      <c r="AI139" s="212"/>
      <c r="AJ139" s="212"/>
      <c r="AK139" s="388">
        <v>1</v>
      </c>
      <c r="AL139" s="256"/>
      <c r="AM139" s="267"/>
      <c r="AN139" s="267"/>
      <c r="AO139" s="267"/>
      <c r="AP139" s="108"/>
      <c r="AQ139" s="108"/>
      <c r="AR139" s="108"/>
      <c r="AS139" s="108"/>
      <c r="AT139" s="108"/>
      <c r="AU139" s="428"/>
      <c r="AV139" s="428"/>
    </row>
    <row r="140" spans="1:48" hidden="1">
      <c r="A140" s="485"/>
      <c r="B140" s="506"/>
      <c r="C140" s="462"/>
      <c r="D140" s="479"/>
      <c r="E140" s="63"/>
      <c r="F140" s="433"/>
      <c r="G140" s="195"/>
      <c r="H140" s="196" t="s">
        <v>15</v>
      </c>
      <c r="I140" s="226"/>
      <c r="J140" s="226"/>
      <c r="K140" s="226"/>
      <c r="L140" s="380"/>
      <c r="M140" s="226"/>
      <c r="N140" s="226"/>
      <c r="O140" s="226"/>
      <c r="P140" s="380"/>
      <c r="Q140" s="380"/>
      <c r="R140" s="380"/>
      <c r="S140" s="380"/>
      <c r="T140" s="226"/>
      <c r="U140" s="226"/>
      <c r="V140" s="380"/>
      <c r="W140" s="226"/>
      <c r="X140" s="226"/>
      <c r="Y140" s="226"/>
      <c r="Z140" s="380"/>
      <c r="AA140" s="226"/>
      <c r="AB140" s="226"/>
      <c r="AC140" s="226"/>
      <c r="AD140" s="226"/>
      <c r="AE140" s="226"/>
      <c r="AF140" s="226"/>
      <c r="AG140" s="380"/>
      <c r="AH140" s="226"/>
      <c r="AI140" s="226"/>
      <c r="AJ140" s="226"/>
      <c r="AK140" s="396"/>
      <c r="AL140" s="264">
        <f>SUM(I140:AK140)</f>
        <v>0</v>
      </c>
      <c r="AM140" s="267"/>
      <c r="AN140" s="267"/>
      <c r="AO140" s="267"/>
      <c r="AP140" s="108"/>
      <c r="AQ140" s="108"/>
      <c r="AR140" s="108"/>
      <c r="AS140" s="108"/>
      <c r="AT140" s="108"/>
      <c r="AU140" s="428"/>
      <c r="AV140" s="428"/>
    </row>
    <row r="141" spans="1:48" ht="15" hidden="1" customHeight="1">
      <c r="A141" s="491" t="s">
        <v>69</v>
      </c>
      <c r="B141" s="506"/>
      <c r="C141" s="458"/>
      <c r="D141" s="265"/>
      <c r="E141" s="449"/>
      <c r="F141" s="458"/>
      <c r="G141" s="134">
        <v>0.127</v>
      </c>
      <c r="H141" s="187" t="s">
        <v>12</v>
      </c>
      <c r="I141" s="229">
        <f>(5.65*20)+(11.5*20)</f>
        <v>343</v>
      </c>
      <c r="J141" s="212"/>
      <c r="K141" s="212"/>
      <c r="L141" s="376"/>
      <c r="M141" s="212"/>
      <c r="N141" s="212"/>
      <c r="O141" s="212"/>
      <c r="P141" s="376"/>
      <c r="Q141" s="376"/>
      <c r="R141" s="376"/>
      <c r="S141" s="376"/>
      <c r="T141" s="212"/>
      <c r="U141" s="212"/>
      <c r="V141" s="376"/>
      <c r="W141" s="212"/>
      <c r="X141" s="212"/>
      <c r="Y141" s="212"/>
      <c r="Z141" s="376"/>
      <c r="AA141" s="212"/>
      <c r="AB141" s="212"/>
      <c r="AC141" s="212"/>
      <c r="AD141" s="212"/>
      <c r="AE141" s="212"/>
      <c r="AF141" s="212"/>
      <c r="AG141" s="376"/>
      <c r="AH141" s="212"/>
      <c r="AI141" s="212"/>
      <c r="AJ141" s="212"/>
      <c r="AK141" s="212"/>
      <c r="AL141" s="265"/>
      <c r="AM141" s="108"/>
      <c r="AN141" s="108"/>
      <c r="AO141" s="108"/>
      <c r="AP141" s="108"/>
      <c r="AQ141" s="108"/>
      <c r="AR141" s="108"/>
      <c r="AS141" s="428"/>
      <c r="AT141" s="428"/>
      <c r="AU141" s="121"/>
      <c r="AV141" s="428"/>
    </row>
    <row r="142" spans="1:48" hidden="1">
      <c r="A142" s="492"/>
      <c r="B142" s="500"/>
      <c r="C142" s="459"/>
      <c r="D142" s="265"/>
      <c r="E142" s="449"/>
      <c r="F142" s="459"/>
      <c r="G142" s="134"/>
      <c r="H142" s="187" t="s">
        <v>14</v>
      </c>
      <c r="I142" s="212">
        <v>1</v>
      </c>
      <c r="J142" s="212"/>
      <c r="K142" s="212"/>
      <c r="L142" s="376"/>
      <c r="M142" s="212"/>
      <c r="N142" s="212"/>
      <c r="O142" s="212"/>
      <c r="P142" s="376"/>
      <c r="Q142" s="376"/>
      <c r="R142" s="376"/>
      <c r="S142" s="376"/>
      <c r="T142" s="212"/>
      <c r="U142" s="212"/>
      <c r="V142" s="376"/>
      <c r="W142" s="212"/>
      <c r="X142" s="212"/>
      <c r="Y142" s="212"/>
      <c r="Z142" s="376"/>
      <c r="AA142" s="212"/>
      <c r="AB142" s="212"/>
      <c r="AC142" s="212"/>
      <c r="AD142" s="212"/>
      <c r="AE142" s="212"/>
      <c r="AF142" s="212"/>
      <c r="AG142" s="376"/>
      <c r="AH142" s="212"/>
      <c r="AI142" s="212"/>
      <c r="AJ142" s="212"/>
      <c r="AK142" s="212"/>
      <c r="AL142" s="265"/>
      <c r="AM142" s="108"/>
      <c r="AN142" s="108"/>
      <c r="AO142" s="108"/>
      <c r="AP142" s="108"/>
      <c r="AQ142" s="108"/>
      <c r="AR142" s="108"/>
      <c r="AS142" s="428"/>
      <c r="AT142" s="428"/>
      <c r="AU142" s="121"/>
      <c r="AV142" s="428"/>
    </row>
    <row r="143" spans="1:48" hidden="1">
      <c r="A143" s="492"/>
      <c r="B143" s="500"/>
      <c r="C143" s="459"/>
      <c r="D143" s="265"/>
      <c r="E143" s="449"/>
      <c r="F143" s="459"/>
      <c r="G143" s="134"/>
      <c r="H143" s="188" t="s">
        <v>15</v>
      </c>
      <c r="I143" s="13"/>
      <c r="J143" s="215"/>
      <c r="K143" s="215"/>
      <c r="L143" s="376"/>
      <c r="M143" s="215"/>
      <c r="N143" s="215"/>
      <c r="O143" s="215"/>
      <c r="P143" s="376"/>
      <c r="Q143" s="376"/>
      <c r="R143" s="376"/>
      <c r="S143" s="376"/>
      <c r="T143" s="215"/>
      <c r="U143" s="215"/>
      <c r="V143" s="376"/>
      <c r="W143" s="215"/>
      <c r="X143" s="215"/>
      <c r="Y143" s="215"/>
      <c r="Z143" s="376"/>
      <c r="AA143" s="215"/>
      <c r="AB143" s="215"/>
      <c r="AC143" s="215"/>
      <c r="AD143" s="215"/>
      <c r="AE143" s="215"/>
      <c r="AF143" s="215"/>
      <c r="AG143" s="376"/>
      <c r="AH143" s="215"/>
      <c r="AI143" s="215"/>
      <c r="AJ143" s="215"/>
      <c r="AK143" s="215"/>
      <c r="AL143" s="265"/>
      <c r="AM143" s="108"/>
      <c r="AN143" s="108"/>
      <c r="AO143" s="108"/>
      <c r="AP143" s="108"/>
      <c r="AQ143" s="108"/>
      <c r="AR143" s="108"/>
      <c r="AS143" s="428"/>
      <c r="AT143" s="428"/>
      <c r="AU143" s="121"/>
      <c r="AV143" s="428"/>
    </row>
    <row r="144" spans="1:48" hidden="1">
      <c r="A144" s="492"/>
      <c r="B144" s="500"/>
      <c r="C144" s="459"/>
      <c r="D144" s="265"/>
      <c r="E144" s="449"/>
      <c r="F144" s="459"/>
      <c r="G144" s="134">
        <v>0.12</v>
      </c>
      <c r="H144" s="187" t="s">
        <v>12</v>
      </c>
      <c r="I144" s="235">
        <f>(2.5*20)+(2.5*20)</f>
        <v>100</v>
      </c>
      <c r="J144" s="212"/>
      <c r="K144" s="212"/>
      <c r="L144" s="376"/>
      <c r="M144" s="212"/>
      <c r="N144" s="212"/>
      <c r="O144" s="212"/>
      <c r="P144" s="376"/>
      <c r="Q144" s="376"/>
      <c r="R144" s="376"/>
      <c r="S144" s="376"/>
      <c r="T144" s="212"/>
      <c r="U144" s="212"/>
      <c r="V144" s="376"/>
      <c r="W144" s="212"/>
      <c r="X144" s="212"/>
      <c r="Y144" s="212"/>
      <c r="Z144" s="376"/>
      <c r="AA144" s="212"/>
      <c r="AB144" s="212"/>
      <c r="AC144" s="212"/>
      <c r="AD144" s="212"/>
      <c r="AE144" s="212"/>
      <c r="AF144" s="212"/>
      <c r="AG144" s="376"/>
      <c r="AH144" s="212"/>
      <c r="AI144" s="212"/>
      <c r="AJ144" s="212"/>
      <c r="AK144" s="212"/>
      <c r="AL144" s="265"/>
      <c r="AM144" s="108"/>
      <c r="AN144" s="108"/>
      <c r="AO144" s="108"/>
      <c r="AP144" s="108"/>
      <c r="AQ144" s="108"/>
      <c r="AR144" s="108"/>
      <c r="AS144" s="428"/>
      <c r="AT144" s="428"/>
      <c r="AU144" s="121"/>
      <c r="AV144" s="428"/>
    </row>
    <row r="145" spans="1:48" hidden="1">
      <c r="A145" s="492"/>
      <c r="B145" s="500"/>
      <c r="C145" s="459"/>
      <c r="D145" s="265"/>
      <c r="E145" s="449"/>
      <c r="F145" s="459"/>
      <c r="G145" s="134"/>
      <c r="H145" s="187" t="s">
        <v>14</v>
      </c>
      <c r="I145" s="212">
        <v>0.5</v>
      </c>
      <c r="J145" s="212"/>
      <c r="K145" s="212"/>
      <c r="L145" s="376"/>
      <c r="M145" s="212"/>
      <c r="N145" s="212"/>
      <c r="O145" s="212"/>
      <c r="P145" s="376"/>
      <c r="Q145" s="376"/>
      <c r="R145" s="376"/>
      <c r="S145" s="376"/>
      <c r="T145" s="212"/>
      <c r="U145" s="212"/>
      <c r="V145" s="376"/>
      <c r="W145" s="212"/>
      <c r="X145" s="212"/>
      <c r="Y145" s="212"/>
      <c r="Z145" s="376"/>
      <c r="AA145" s="212"/>
      <c r="AB145" s="212"/>
      <c r="AC145" s="212"/>
      <c r="AD145" s="212"/>
      <c r="AE145" s="212"/>
      <c r="AF145" s="212"/>
      <c r="AG145" s="376"/>
      <c r="AH145" s="212"/>
      <c r="AI145" s="212"/>
      <c r="AJ145" s="212"/>
      <c r="AK145" s="212"/>
      <c r="AL145" s="265"/>
      <c r="AM145" s="108"/>
      <c r="AN145" s="108"/>
      <c r="AO145" s="108"/>
      <c r="AP145" s="108"/>
      <c r="AQ145" s="108"/>
      <c r="AR145" s="108"/>
      <c r="AS145" s="428"/>
      <c r="AT145" s="428"/>
      <c r="AU145" s="121"/>
      <c r="AV145" s="428"/>
    </row>
    <row r="146" spans="1:48" hidden="1">
      <c r="A146" s="492"/>
      <c r="B146" s="500"/>
      <c r="C146" s="459"/>
      <c r="D146" s="265"/>
      <c r="E146" s="449"/>
      <c r="F146" s="459"/>
      <c r="G146" s="134"/>
      <c r="H146" s="188" t="s">
        <v>15</v>
      </c>
      <c r="I146" s="13"/>
      <c r="J146" s="215"/>
      <c r="K146" s="215"/>
      <c r="L146" s="376"/>
      <c r="M146" s="215"/>
      <c r="N146" s="215"/>
      <c r="O146" s="215"/>
      <c r="P146" s="376"/>
      <c r="Q146" s="376"/>
      <c r="R146" s="376"/>
      <c r="S146" s="376"/>
      <c r="T146" s="215"/>
      <c r="U146" s="215"/>
      <c r="V146" s="376"/>
      <c r="W146" s="215"/>
      <c r="X146" s="215"/>
      <c r="Y146" s="215"/>
      <c r="Z146" s="376"/>
      <c r="AA146" s="215"/>
      <c r="AB146" s="215"/>
      <c r="AC146" s="215"/>
      <c r="AD146" s="215"/>
      <c r="AE146" s="215"/>
      <c r="AF146" s="215"/>
      <c r="AG146" s="376"/>
      <c r="AH146" s="215"/>
      <c r="AI146" s="215"/>
      <c r="AJ146" s="215"/>
      <c r="AK146" s="215"/>
      <c r="AL146" s="265"/>
      <c r="AM146" s="108"/>
      <c r="AN146" s="108"/>
      <c r="AO146" s="108"/>
      <c r="AP146" s="108"/>
      <c r="AQ146" s="108"/>
      <c r="AR146" s="108"/>
      <c r="AS146" s="428"/>
      <c r="AT146" s="428"/>
      <c r="AU146" s="121"/>
      <c r="AV146" s="428"/>
    </row>
    <row r="147" spans="1:48" hidden="1">
      <c r="A147" s="492"/>
      <c r="B147" s="500"/>
      <c r="C147" s="459"/>
      <c r="D147" s="265"/>
      <c r="E147" s="449"/>
      <c r="F147" s="459"/>
      <c r="G147" s="134">
        <v>0.2</v>
      </c>
      <c r="H147" s="187" t="s">
        <v>12</v>
      </c>
      <c r="I147" s="235">
        <f>(14*20)</f>
        <v>280</v>
      </c>
      <c r="J147" s="235"/>
      <c r="K147" s="229"/>
      <c r="L147" s="376"/>
      <c r="M147" s="229"/>
      <c r="N147" s="229"/>
      <c r="O147" s="229"/>
      <c r="P147" s="376"/>
      <c r="Q147" s="376"/>
      <c r="R147" s="376"/>
      <c r="S147" s="376"/>
      <c r="T147" s="229"/>
      <c r="U147" s="229"/>
      <c r="V147" s="376"/>
      <c r="W147" s="229"/>
      <c r="X147" s="229"/>
      <c r="Y147" s="229"/>
      <c r="Z147" s="376"/>
      <c r="AA147" s="229"/>
      <c r="AB147" s="229"/>
      <c r="AC147" s="229"/>
      <c r="AD147" s="229"/>
      <c r="AE147" s="229"/>
      <c r="AF147" s="229"/>
      <c r="AG147" s="376"/>
      <c r="AH147" s="229"/>
      <c r="AI147" s="229"/>
      <c r="AJ147" s="229"/>
      <c r="AK147" s="229"/>
      <c r="AL147" s="265"/>
      <c r="AM147" s="108"/>
      <c r="AN147" s="108"/>
      <c r="AO147" s="108"/>
      <c r="AP147" s="108"/>
      <c r="AQ147" s="108"/>
      <c r="AR147" s="108"/>
      <c r="AS147" s="428"/>
      <c r="AT147" s="428"/>
      <c r="AU147" s="121"/>
      <c r="AV147" s="428"/>
    </row>
    <row r="148" spans="1:48" hidden="1">
      <c r="A148" s="492"/>
      <c r="B148" s="500"/>
      <c r="C148" s="459"/>
      <c r="D148" s="265"/>
      <c r="E148" s="449"/>
      <c r="F148" s="459"/>
      <c r="G148" s="13"/>
      <c r="H148" s="187" t="s">
        <v>14</v>
      </c>
      <c r="I148" s="212">
        <v>1</v>
      </c>
      <c r="J148" s="212"/>
      <c r="K148" s="212"/>
      <c r="L148" s="376"/>
      <c r="M148" s="212"/>
      <c r="N148" s="212"/>
      <c r="O148" s="212"/>
      <c r="P148" s="376"/>
      <c r="Q148" s="376"/>
      <c r="R148" s="376"/>
      <c r="S148" s="376"/>
      <c r="T148" s="212"/>
      <c r="U148" s="212"/>
      <c r="V148" s="376"/>
      <c r="W148" s="212"/>
      <c r="X148" s="212"/>
      <c r="Y148" s="212"/>
      <c r="Z148" s="376"/>
      <c r="AA148" s="212"/>
      <c r="AB148" s="212"/>
      <c r="AC148" s="212"/>
      <c r="AD148" s="212"/>
      <c r="AE148" s="212"/>
      <c r="AF148" s="212"/>
      <c r="AG148" s="376"/>
      <c r="AH148" s="212"/>
      <c r="AI148" s="212"/>
      <c r="AJ148" s="212"/>
      <c r="AK148" s="212"/>
      <c r="AL148" s="265"/>
      <c r="AM148" s="108"/>
      <c r="AN148" s="108"/>
      <c r="AO148" s="108"/>
      <c r="AP148" s="108"/>
      <c r="AQ148" s="108"/>
      <c r="AR148" s="108"/>
      <c r="AS148" s="428"/>
      <c r="AT148" s="428"/>
      <c r="AU148" s="121"/>
      <c r="AV148" s="428"/>
    </row>
    <row r="149" spans="1:48" hidden="1">
      <c r="A149" s="492"/>
      <c r="B149" s="500"/>
      <c r="C149" s="459"/>
      <c r="D149" s="265"/>
      <c r="E149" s="449"/>
      <c r="F149" s="459"/>
      <c r="G149" s="13"/>
      <c r="H149" s="188" t="s">
        <v>15</v>
      </c>
      <c r="I149" s="215"/>
      <c r="J149" s="215"/>
      <c r="K149" s="215"/>
      <c r="L149" s="376"/>
      <c r="M149" s="215"/>
      <c r="N149" s="215"/>
      <c r="O149" s="215"/>
      <c r="P149" s="376"/>
      <c r="Q149" s="376"/>
      <c r="R149" s="376"/>
      <c r="S149" s="376"/>
      <c r="T149" s="215"/>
      <c r="U149" s="215"/>
      <c r="V149" s="376"/>
      <c r="W149" s="215"/>
      <c r="X149" s="215"/>
      <c r="Y149" s="215"/>
      <c r="Z149" s="376"/>
      <c r="AA149" s="215"/>
      <c r="AB149" s="215"/>
      <c r="AC149" s="215"/>
      <c r="AD149" s="215"/>
      <c r="AE149" s="215"/>
      <c r="AF149" s="215"/>
      <c r="AG149" s="376"/>
      <c r="AH149" s="215"/>
      <c r="AI149" s="215"/>
      <c r="AJ149" s="215"/>
      <c r="AK149" s="215"/>
      <c r="AL149" s="265"/>
      <c r="AM149" s="108"/>
      <c r="AN149" s="108"/>
      <c r="AO149" s="108"/>
      <c r="AP149" s="108"/>
      <c r="AQ149" s="108"/>
      <c r="AR149" s="108"/>
      <c r="AS149" s="428"/>
      <c r="AT149" s="428"/>
      <c r="AU149" s="121"/>
      <c r="AV149" s="428"/>
    </row>
    <row r="150" spans="1:48" hidden="1">
      <c r="A150" s="492"/>
      <c r="B150" s="500"/>
      <c r="C150" s="459"/>
      <c r="D150" s="265"/>
      <c r="E150" s="449"/>
      <c r="F150" s="459"/>
      <c r="G150" s="134" t="s">
        <v>70</v>
      </c>
      <c r="H150" s="187" t="s">
        <v>19</v>
      </c>
      <c r="I150" s="212">
        <f>($N$186*2)/4</f>
        <v>6700</v>
      </c>
      <c r="J150" s="212">
        <f>($N$186*2)/4</f>
        <v>6700</v>
      </c>
      <c r="K150" s="212">
        <f>($N$186*2)/4</f>
        <v>6700</v>
      </c>
      <c r="L150" s="376"/>
      <c r="M150" s="212">
        <f>($N$186*2)/4</f>
        <v>6700</v>
      </c>
      <c r="N150" s="212">
        <f>($N$186*2)/4</f>
        <v>6700</v>
      </c>
      <c r="O150" s="212">
        <f>($N$186*2)/4</f>
        <v>6700</v>
      </c>
      <c r="P150" s="376"/>
      <c r="Q150" s="376"/>
      <c r="R150" s="376"/>
      <c r="S150" s="376"/>
      <c r="T150" s="212">
        <f>($N$186*2)/4</f>
        <v>6700</v>
      </c>
      <c r="U150" s="212">
        <f>($N$186*2)/4</f>
        <v>6700</v>
      </c>
      <c r="V150" s="376"/>
      <c r="W150" s="212">
        <f>($N$186*2)/4</f>
        <v>6700</v>
      </c>
      <c r="X150" s="212">
        <f>($N$186*2)/4</f>
        <v>6700</v>
      </c>
      <c r="Y150" s="212">
        <f>($N$186*2)/4</f>
        <v>6700</v>
      </c>
      <c r="Z150" s="376"/>
      <c r="AA150" s="212">
        <f t="shared" ref="AA150:AF150" si="23">($N$186*2)/4</f>
        <v>6700</v>
      </c>
      <c r="AB150" s="212">
        <f t="shared" si="23"/>
        <v>6700</v>
      </c>
      <c r="AC150" s="212">
        <f t="shared" si="23"/>
        <v>6700</v>
      </c>
      <c r="AD150" s="212">
        <f t="shared" si="23"/>
        <v>6700</v>
      </c>
      <c r="AE150" s="212">
        <f t="shared" si="23"/>
        <v>6700</v>
      </c>
      <c r="AF150" s="212">
        <f t="shared" si="23"/>
        <v>6700</v>
      </c>
      <c r="AG150" s="376"/>
      <c r="AH150" s="212">
        <f>($N$186*2)/4</f>
        <v>6700</v>
      </c>
      <c r="AI150" s="212">
        <f>($N$186*2)/4</f>
        <v>6700</v>
      </c>
      <c r="AJ150" s="212">
        <f>($N$186*2)/4</f>
        <v>6700</v>
      </c>
      <c r="AK150" s="212">
        <f>($N$186*2)/4</f>
        <v>6700</v>
      </c>
      <c r="AL150" s="266">
        <f>SUM(I150:AK150)</f>
        <v>140700</v>
      </c>
      <c r="AM150" s="108"/>
      <c r="AN150" s="108"/>
      <c r="AO150" s="108"/>
      <c r="AP150" s="108"/>
      <c r="AQ150" s="108"/>
      <c r="AR150" s="108"/>
      <c r="AS150" s="428"/>
      <c r="AT150" s="428"/>
      <c r="AU150" s="121"/>
      <c r="AV150" s="428"/>
    </row>
    <row r="151" spans="1:48" hidden="1">
      <c r="A151" s="492"/>
      <c r="B151" s="500"/>
      <c r="C151" s="459"/>
      <c r="D151" s="265"/>
      <c r="E151" s="449"/>
      <c r="F151" s="459"/>
      <c r="G151" s="134"/>
      <c r="H151" s="187" t="s">
        <v>20</v>
      </c>
      <c r="I151" s="212">
        <v>1</v>
      </c>
      <c r="J151" s="212">
        <v>1</v>
      </c>
      <c r="K151" s="212">
        <v>1</v>
      </c>
      <c r="L151" s="376"/>
      <c r="M151" s="212">
        <v>1</v>
      </c>
      <c r="N151" s="212">
        <v>1</v>
      </c>
      <c r="O151" s="212">
        <v>1</v>
      </c>
      <c r="P151" s="376"/>
      <c r="Q151" s="376"/>
      <c r="R151" s="376"/>
      <c r="S151" s="376"/>
      <c r="T151" s="212">
        <v>1</v>
      </c>
      <c r="U151" s="212">
        <v>1</v>
      </c>
      <c r="V151" s="376"/>
      <c r="W151" s="212">
        <v>1</v>
      </c>
      <c r="X151" s="212">
        <v>1</v>
      </c>
      <c r="Y151" s="212">
        <v>1</v>
      </c>
      <c r="Z151" s="376"/>
      <c r="AA151" s="212">
        <v>1</v>
      </c>
      <c r="AB151" s="212">
        <v>1</v>
      </c>
      <c r="AC151" s="212">
        <v>1</v>
      </c>
      <c r="AD151" s="212">
        <v>1</v>
      </c>
      <c r="AE151" s="212">
        <v>1</v>
      </c>
      <c r="AF151" s="212">
        <v>1</v>
      </c>
      <c r="AG151" s="376"/>
      <c r="AH151" s="212">
        <v>1</v>
      </c>
      <c r="AI151" s="212">
        <v>1</v>
      </c>
      <c r="AJ151" s="212">
        <v>1</v>
      </c>
      <c r="AK151" s="212">
        <v>1</v>
      </c>
      <c r="AL151" s="266"/>
      <c r="AM151" s="108"/>
      <c r="AN151" s="108"/>
      <c r="AO151" s="108"/>
      <c r="AP151" s="108"/>
      <c r="AQ151" s="108"/>
      <c r="AR151" s="108"/>
      <c r="AS151" s="428"/>
      <c r="AT151" s="428"/>
      <c r="AU151" s="121"/>
      <c r="AV151" s="428"/>
    </row>
    <row r="152" spans="1:48" hidden="1">
      <c r="A152" s="492"/>
      <c r="B152" s="500"/>
      <c r="C152" s="459"/>
      <c r="D152" s="265"/>
      <c r="E152" s="449"/>
      <c r="F152" s="459"/>
      <c r="G152" s="134"/>
      <c r="H152" s="188" t="s">
        <v>15</v>
      </c>
      <c r="I152" s="215">
        <f>10352+2364</f>
        <v>12716</v>
      </c>
      <c r="J152" s="215"/>
      <c r="K152" s="215"/>
      <c r="L152" s="376"/>
      <c r="M152" s="215"/>
      <c r="N152" s="215"/>
      <c r="O152" s="215"/>
      <c r="P152" s="376"/>
      <c r="Q152" s="376"/>
      <c r="R152" s="376"/>
      <c r="S152" s="376"/>
      <c r="T152" s="215"/>
      <c r="U152" s="215"/>
      <c r="V152" s="376"/>
      <c r="W152" s="215"/>
      <c r="X152" s="215"/>
      <c r="Y152" s="215"/>
      <c r="Z152" s="376"/>
      <c r="AA152" s="215"/>
      <c r="AB152" s="215"/>
      <c r="AC152" s="215"/>
      <c r="AD152" s="215"/>
      <c r="AE152" s="215"/>
      <c r="AF152" s="215"/>
      <c r="AG152" s="376"/>
      <c r="AH152" s="215"/>
      <c r="AI152" s="215"/>
      <c r="AJ152" s="215"/>
      <c r="AK152" s="215"/>
      <c r="AL152" s="265">
        <f>SUM(I152:AK152)</f>
        <v>12716</v>
      </c>
      <c r="AM152" s="108"/>
      <c r="AN152" s="108"/>
      <c r="AO152" s="108"/>
      <c r="AP152" s="108"/>
      <c r="AQ152" s="108"/>
      <c r="AR152" s="108"/>
      <c r="AS152" s="428"/>
      <c r="AT152" s="428"/>
      <c r="AU152" s="121"/>
      <c r="AV152" s="428"/>
    </row>
    <row r="153" spans="1:48" hidden="1">
      <c r="A153" s="492"/>
      <c r="B153" s="500"/>
      <c r="C153" s="459"/>
      <c r="D153" s="265"/>
      <c r="E153" s="449"/>
      <c r="F153" s="459"/>
      <c r="G153" s="134" t="s">
        <v>71</v>
      </c>
      <c r="H153" s="187" t="s">
        <v>72</v>
      </c>
      <c r="I153" s="212">
        <f>(($N$186)/4)*2</f>
        <v>6700</v>
      </c>
      <c r="J153" s="212">
        <f t="shared" ref="J153:K153" si="24">(($N$186)/4)*2</f>
        <v>6700</v>
      </c>
      <c r="K153" s="212">
        <f t="shared" si="24"/>
        <v>6700</v>
      </c>
      <c r="L153" s="376"/>
      <c r="M153" s="212">
        <f t="shared" ref="M153:O153" si="25">(($N$186)/4)*2</f>
        <v>6700</v>
      </c>
      <c r="N153" s="212">
        <f t="shared" si="25"/>
        <v>6700</v>
      </c>
      <c r="O153" s="212">
        <f t="shared" si="25"/>
        <v>6700</v>
      </c>
      <c r="P153" s="376"/>
      <c r="Q153" s="376"/>
      <c r="R153" s="376"/>
      <c r="S153" s="376"/>
      <c r="T153" s="212">
        <f t="shared" ref="T153:U153" si="26">(($N$186)/4)*2</f>
        <v>6700</v>
      </c>
      <c r="U153" s="212">
        <f t="shared" si="26"/>
        <v>6700</v>
      </c>
      <c r="V153" s="376"/>
      <c r="W153" s="212">
        <f t="shared" ref="W153:Y153" si="27">(($N$186)/4)*2</f>
        <v>6700</v>
      </c>
      <c r="X153" s="212">
        <f t="shared" si="27"/>
        <v>6700</v>
      </c>
      <c r="Y153" s="212">
        <f t="shared" si="27"/>
        <v>6700</v>
      </c>
      <c r="Z153" s="376"/>
      <c r="AA153" s="212">
        <f t="shared" ref="AA153:AF153" si="28">(($N$186)/4)*2</f>
        <v>6700</v>
      </c>
      <c r="AB153" s="212">
        <f t="shared" si="28"/>
        <v>6700</v>
      </c>
      <c r="AC153" s="212">
        <f t="shared" si="28"/>
        <v>6700</v>
      </c>
      <c r="AD153" s="212">
        <f t="shared" si="28"/>
        <v>6700</v>
      </c>
      <c r="AE153" s="212">
        <f t="shared" si="28"/>
        <v>6700</v>
      </c>
      <c r="AF153" s="212">
        <f t="shared" si="28"/>
        <v>6700</v>
      </c>
      <c r="AG153" s="376"/>
      <c r="AH153" s="212">
        <f t="shared" ref="AH153:AK153" si="29">(($N$186)/4)*2</f>
        <v>6700</v>
      </c>
      <c r="AI153" s="212">
        <f t="shared" si="29"/>
        <v>6700</v>
      </c>
      <c r="AJ153" s="212">
        <f t="shared" si="29"/>
        <v>6700</v>
      </c>
      <c r="AK153" s="212">
        <f t="shared" si="29"/>
        <v>6700</v>
      </c>
      <c r="AL153" s="266">
        <f>SUM(I153:AK153)</f>
        <v>140700</v>
      </c>
      <c r="AM153" s="108"/>
      <c r="AN153" s="108"/>
      <c r="AO153" s="108"/>
      <c r="AP153" s="108"/>
      <c r="AQ153" s="108"/>
      <c r="AR153" s="108"/>
      <c r="AS153" s="428"/>
      <c r="AT153" s="428"/>
      <c r="AU153" s="121"/>
      <c r="AV153" s="428"/>
    </row>
    <row r="154" spans="1:48" hidden="1">
      <c r="A154" s="492"/>
      <c r="B154" s="500"/>
      <c r="C154" s="459"/>
      <c r="D154" s="265"/>
      <c r="E154" s="449"/>
      <c r="F154" s="459"/>
      <c r="G154" s="134"/>
      <c r="H154" s="187" t="s">
        <v>20</v>
      </c>
      <c r="I154" s="212">
        <v>1</v>
      </c>
      <c r="J154" s="212">
        <v>1</v>
      </c>
      <c r="K154" s="212">
        <v>1</v>
      </c>
      <c r="L154" s="376"/>
      <c r="M154" s="212">
        <v>1</v>
      </c>
      <c r="N154" s="212">
        <v>1</v>
      </c>
      <c r="O154" s="212">
        <v>1</v>
      </c>
      <c r="P154" s="376"/>
      <c r="Q154" s="376"/>
      <c r="R154" s="376"/>
      <c r="S154" s="376"/>
      <c r="T154" s="212">
        <v>1</v>
      </c>
      <c r="U154" s="212">
        <v>1</v>
      </c>
      <c r="V154" s="376"/>
      <c r="W154" s="212">
        <v>1</v>
      </c>
      <c r="X154" s="212">
        <v>1</v>
      </c>
      <c r="Y154" s="212">
        <v>1</v>
      </c>
      <c r="Z154" s="376"/>
      <c r="AA154" s="212">
        <v>1</v>
      </c>
      <c r="AB154" s="212">
        <v>1</v>
      </c>
      <c r="AC154" s="212">
        <v>1</v>
      </c>
      <c r="AD154" s="212">
        <v>1</v>
      </c>
      <c r="AE154" s="212">
        <v>1</v>
      </c>
      <c r="AF154" s="212">
        <v>1</v>
      </c>
      <c r="AG154" s="376"/>
      <c r="AH154" s="212">
        <v>1</v>
      </c>
      <c r="AI154" s="212">
        <v>1</v>
      </c>
      <c r="AJ154" s="212">
        <v>1</v>
      </c>
      <c r="AK154" s="212">
        <v>1</v>
      </c>
      <c r="AL154" s="266"/>
      <c r="AM154" s="108"/>
      <c r="AN154" s="108"/>
      <c r="AO154" s="108"/>
      <c r="AP154" s="108"/>
      <c r="AQ154" s="108"/>
      <c r="AR154" s="108"/>
      <c r="AS154" s="428"/>
      <c r="AT154" s="428"/>
      <c r="AU154" s="121"/>
      <c r="AV154" s="428"/>
    </row>
    <row r="155" spans="1:48" hidden="1">
      <c r="A155" s="492"/>
      <c r="B155" s="500"/>
      <c r="C155" s="459"/>
      <c r="D155" s="265"/>
      <c r="E155" s="449"/>
      <c r="F155" s="459"/>
      <c r="G155" s="134"/>
      <c r="H155" s="188" t="s">
        <v>15</v>
      </c>
      <c r="I155" s="215">
        <f>(9225+12431)/2</f>
        <v>10828</v>
      </c>
      <c r="J155" s="269">
        <f>(12156+9983)/2</f>
        <v>11069.5</v>
      </c>
      <c r="K155" s="215">
        <f>(4740+7096)/2</f>
        <v>5918</v>
      </c>
      <c r="L155" s="376"/>
      <c r="M155" s="269">
        <f>(12976+12485)/2</f>
        <v>12730.5</v>
      </c>
      <c r="N155" s="269">
        <f>(8246+11087)/2</f>
        <v>9666.5</v>
      </c>
      <c r="O155" s="215">
        <f>(11720+6616)/2</f>
        <v>9168</v>
      </c>
      <c r="P155" s="376"/>
      <c r="Q155" s="376"/>
      <c r="R155" s="376"/>
      <c r="S155" s="376"/>
      <c r="T155" s="215">
        <f>(11079+12219)/2</f>
        <v>11649</v>
      </c>
      <c r="U155" s="269">
        <f>(14978+14315)/2</f>
        <v>14646.5</v>
      </c>
      <c r="V155" s="376"/>
      <c r="W155" s="215">
        <f>6602+9064</f>
        <v>15666</v>
      </c>
      <c r="X155" s="215">
        <f>12850+4845</f>
        <v>17695</v>
      </c>
      <c r="Y155" s="215"/>
      <c r="Z155" s="376"/>
      <c r="AA155" s="215"/>
      <c r="AB155" s="215"/>
      <c r="AC155" s="215"/>
      <c r="AD155" s="215"/>
      <c r="AE155" s="215"/>
      <c r="AF155" s="215"/>
      <c r="AG155" s="376"/>
      <c r="AH155" s="215"/>
      <c r="AI155" s="215"/>
      <c r="AJ155" s="215"/>
      <c r="AK155" s="215"/>
      <c r="AL155" s="265">
        <f>SUM(I155:AK155)</f>
        <v>119037</v>
      </c>
      <c r="AM155" s="108"/>
      <c r="AN155" s="108"/>
      <c r="AO155" s="108"/>
      <c r="AP155" s="108"/>
      <c r="AQ155" s="108"/>
      <c r="AR155" s="108"/>
      <c r="AS155" s="428"/>
      <c r="AT155" s="428"/>
      <c r="AU155" s="121"/>
      <c r="AV155" s="428"/>
    </row>
    <row r="156" spans="1:48" hidden="1">
      <c r="A156" s="492"/>
      <c r="B156" s="500"/>
      <c r="C156" s="459"/>
      <c r="D156" s="265"/>
      <c r="E156" s="449"/>
      <c r="F156" s="459"/>
      <c r="G156" s="134" t="s">
        <v>73</v>
      </c>
      <c r="H156" s="187" t="s">
        <v>74</v>
      </c>
      <c r="I156" s="212">
        <f>(($N$186*2)/4)+$N$189</f>
        <v>20100</v>
      </c>
      <c r="J156" s="212">
        <f t="shared" ref="J156:K156" si="30">(($N$186*2)/4)+$N$189</f>
        <v>20100</v>
      </c>
      <c r="K156" s="212">
        <f t="shared" si="30"/>
        <v>20100</v>
      </c>
      <c r="L156" s="376"/>
      <c r="M156" s="212">
        <f t="shared" ref="M156:O156" si="31">(($N$186*2)/4)+$N$189</f>
        <v>20100</v>
      </c>
      <c r="N156" s="212">
        <f t="shared" si="31"/>
        <v>20100</v>
      </c>
      <c r="O156" s="212">
        <f t="shared" si="31"/>
        <v>20100</v>
      </c>
      <c r="P156" s="376"/>
      <c r="Q156" s="376"/>
      <c r="R156" s="376"/>
      <c r="S156" s="376"/>
      <c r="T156" s="212">
        <f t="shared" ref="T156:U156" si="32">(($N$186*2)/4)+$N$189</f>
        <v>20100</v>
      </c>
      <c r="U156" s="212">
        <f t="shared" si="32"/>
        <v>20100</v>
      </c>
      <c r="V156" s="376"/>
      <c r="W156" s="212">
        <f t="shared" ref="W156:Y156" si="33">(($N$186*2)/4)+$N$189</f>
        <v>20100</v>
      </c>
      <c r="X156" s="212">
        <f t="shared" si="33"/>
        <v>20100</v>
      </c>
      <c r="Y156" s="212">
        <f t="shared" si="33"/>
        <v>20100</v>
      </c>
      <c r="Z156" s="376"/>
      <c r="AA156" s="212">
        <f t="shared" ref="AA156:AF156" si="34">(($N$186*2)/4)+$N$189</f>
        <v>20100</v>
      </c>
      <c r="AB156" s="212">
        <f t="shared" si="34"/>
        <v>20100</v>
      </c>
      <c r="AC156" s="212">
        <f t="shared" si="34"/>
        <v>20100</v>
      </c>
      <c r="AD156" s="212">
        <f t="shared" si="34"/>
        <v>20100</v>
      </c>
      <c r="AE156" s="212">
        <f t="shared" si="34"/>
        <v>20100</v>
      </c>
      <c r="AF156" s="212">
        <f t="shared" si="34"/>
        <v>20100</v>
      </c>
      <c r="AG156" s="376"/>
      <c r="AH156" s="212">
        <f t="shared" ref="AH156:AK156" si="35">(($N$186*2)/4)+$N$189</f>
        <v>20100</v>
      </c>
      <c r="AI156" s="212">
        <f t="shared" si="35"/>
        <v>20100</v>
      </c>
      <c r="AJ156" s="212">
        <f t="shared" si="35"/>
        <v>20100</v>
      </c>
      <c r="AK156" s="212">
        <f t="shared" si="35"/>
        <v>20100</v>
      </c>
      <c r="AL156" s="266">
        <f>SUM(I156:AK156)</f>
        <v>422100</v>
      </c>
      <c r="AM156" s="108"/>
      <c r="AN156" s="108"/>
      <c r="AO156" s="108"/>
      <c r="AP156" s="108"/>
      <c r="AQ156" s="108"/>
      <c r="AR156" s="108"/>
      <c r="AS156" s="428"/>
      <c r="AT156" s="428"/>
      <c r="AU156" s="121"/>
      <c r="AV156" s="428"/>
    </row>
    <row r="157" spans="1:48" hidden="1">
      <c r="A157" s="492"/>
      <c r="B157" s="500"/>
      <c r="C157" s="459"/>
      <c r="D157" s="265"/>
      <c r="E157" s="449"/>
      <c r="F157" s="459"/>
      <c r="G157" s="134"/>
      <c r="H157" s="187" t="s">
        <v>20</v>
      </c>
      <c r="I157" s="212">
        <v>2</v>
      </c>
      <c r="J157" s="212">
        <v>2</v>
      </c>
      <c r="K157" s="212">
        <v>2</v>
      </c>
      <c r="L157" s="376"/>
      <c r="M157" s="212">
        <v>2</v>
      </c>
      <c r="N157" s="212">
        <v>2</v>
      </c>
      <c r="O157" s="212">
        <v>2</v>
      </c>
      <c r="P157" s="376"/>
      <c r="Q157" s="376"/>
      <c r="R157" s="376"/>
      <c r="S157" s="376"/>
      <c r="T157" s="212">
        <v>2</v>
      </c>
      <c r="U157" s="212">
        <v>2</v>
      </c>
      <c r="V157" s="376"/>
      <c r="W157" s="212">
        <v>2</v>
      </c>
      <c r="X157" s="212">
        <v>2</v>
      </c>
      <c r="Y157" s="212">
        <v>2</v>
      </c>
      <c r="Z157" s="376"/>
      <c r="AA157" s="212">
        <v>2</v>
      </c>
      <c r="AB157" s="212">
        <v>2</v>
      </c>
      <c r="AC157" s="212">
        <v>2</v>
      </c>
      <c r="AD157" s="212">
        <v>2</v>
      </c>
      <c r="AE157" s="212">
        <v>2</v>
      </c>
      <c r="AF157" s="212">
        <v>2</v>
      </c>
      <c r="AG157" s="376"/>
      <c r="AH157" s="212">
        <v>2</v>
      </c>
      <c r="AI157" s="212">
        <v>2</v>
      </c>
      <c r="AJ157" s="212">
        <v>2</v>
      </c>
      <c r="AK157" s="212">
        <v>2</v>
      </c>
      <c r="AL157" s="266"/>
      <c r="AM157" s="108"/>
      <c r="AN157" s="108"/>
      <c r="AO157" s="108"/>
      <c r="AP157" s="108"/>
      <c r="AQ157" s="108"/>
      <c r="AR157" s="108"/>
      <c r="AS157" s="428"/>
      <c r="AT157" s="428"/>
      <c r="AU157" s="121"/>
      <c r="AV157" s="428"/>
    </row>
    <row r="158" spans="1:48" hidden="1">
      <c r="A158" s="492"/>
      <c r="B158" s="500"/>
      <c r="C158" s="459"/>
      <c r="D158" s="265"/>
      <c r="E158" s="449"/>
      <c r="F158" s="459"/>
      <c r="G158" s="134"/>
      <c r="H158" s="188" t="s">
        <v>15</v>
      </c>
      <c r="I158" s="215">
        <f>6051+6461</f>
        <v>12512</v>
      </c>
      <c r="J158" s="215">
        <f>8004+5720</f>
        <v>13724</v>
      </c>
      <c r="K158" s="215">
        <f>1674</f>
        <v>1674</v>
      </c>
      <c r="L158" s="376"/>
      <c r="M158" s="215"/>
      <c r="N158" s="215"/>
      <c r="O158" s="215"/>
      <c r="P158" s="376"/>
      <c r="Q158" s="376"/>
      <c r="R158" s="376"/>
      <c r="S158" s="376"/>
      <c r="T158" s="215"/>
      <c r="U158" s="215">
        <f>1391+6000</f>
        <v>7391</v>
      </c>
      <c r="V158" s="376"/>
      <c r="W158" s="215">
        <f>9064+8790</f>
        <v>17854</v>
      </c>
      <c r="X158" s="215"/>
      <c r="Y158" s="215"/>
      <c r="Z158" s="376"/>
      <c r="AA158" s="215"/>
      <c r="AB158" s="215"/>
      <c r="AC158" s="215"/>
      <c r="AD158" s="215"/>
      <c r="AE158" s="215"/>
      <c r="AF158" s="215"/>
      <c r="AG158" s="376"/>
      <c r="AH158" s="215"/>
      <c r="AI158" s="215"/>
      <c r="AJ158" s="215"/>
      <c r="AK158" s="215"/>
      <c r="AL158" s="265">
        <f>SUM(I158:AK158)</f>
        <v>53155</v>
      </c>
      <c r="AM158" s="108"/>
      <c r="AN158" s="108"/>
      <c r="AO158" s="108"/>
      <c r="AP158" s="108"/>
      <c r="AQ158" s="108"/>
      <c r="AR158" s="108"/>
      <c r="AS158" s="428"/>
      <c r="AT158" s="428"/>
      <c r="AU158" s="121"/>
      <c r="AV158" s="428"/>
    </row>
    <row r="159" spans="1:48" hidden="1">
      <c r="A159" s="492"/>
      <c r="B159" s="500"/>
      <c r="C159" s="459"/>
      <c r="D159" s="265"/>
      <c r="E159" s="449"/>
      <c r="F159" s="459"/>
      <c r="G159" s="190" t="s">
        <v>23</v>
      </c>
      <c r="H159" s="187" t="s">
        <v>75</v>
      </c>
      <c r="I159" s="212"/>
      <c r="J159" s="212">
        <f>$N$186</f>
        <v>13400</v>
      </c>
      <c r="K159" s="212"/>
      <c r="L159" s="376"/>
      <c r="M159" s="212"/>
      <c r="N159" s="212"/>
      <c r="O159" s="212">
        <f>$N$186</f>
        <v>13400</v>
      </c>
      <c r="P159" s="376"/>
      <c r="Q159" s="376"/>
      <c r="R159" s="376"/>
      <c r="S159" s="376"/>
      <c r="T159" s="212"/>
      <c r="U159" s="212"/>
      <c r="V159" s="376"/>
      <c r="W159" s="212"/>
      <c r="X159" s="212">
        <f>$N$186</f>
        <v>13400</v>
      </c>
      <c r="Y159" s="212"/>
      <c r="Z159" s="376"/>
      <c r="AA159" s="212"/>
      <c r="AB159" s="212"/>
      <c r="AC159" s="212">
        <f>$N$186</f>
        <v>13400</v>
      </c>
      <c r="AD159" s="212"/>
      <c r="AE159" s="212"/>
      <c r="AF159" s="212"/>
      <c r="AG159" s="376"/>
      <c r="AH159" s="212">
        <f>$N$186</f>
        <v>13400</v>
      </c>
      <c r="AI159" s="212"/>
      <c r="AJ159" s="212"/>
      <c r="AK159" s="212"/>
      <c r="AL159" s="266">
        <f>SUM(I159:AK159)</f>
        <v>67000</v>
      </c>
      <c r="AM159" s="108"/>
      <c r="AN159" s="108"/>
      <c r="AO159" s="108"/>
      <c r="AP159" s="108"/>
      <c r="AQ159" s="108"/>
      <c r="AR159" s="108"/>
      <c r="AS159" s="428"/>
      <c r="AT159" s="428"/>
      <c r="AU159" s="121"/>
      <c r="AV159" s="428"/>
    </row>
    <row r="160" spans="1:48" hidden="1">
      <c r="A160" s="492"/>
      <c r="B160" s="500"/>
      <c r="C160" s="459"/>
      <c r="D160" s="265"/>
      <c r="E160" s="449"/>
      <c r="F160" s="459"/>
      <c r="G160" s="134"/>
      <c r="H160" s="188" t="s">
        <v>15</v>
      </c>
      <c r="I160" s="215"/>
      <c r="J160" s="215"/>
      <c r="K160" s="215"/>
      <c r="L160" s="376"/>
      <c r="M160" s="215"/>
      <c r="N160" s="215"/>
      <c r="O160" s="215"/>
      <c r="P160" s="376"/>
      <c r="Q160" s="376"/>
      <c r="R160" s="376"/>
      <c r="S160" s="376"/>
      <c r="T160" s="215">
        <f>29800</f>
        <v>29800</v>
      </c>
      <c r="U160" s="215"/>
      <c r="V160" s="376"/>
      <c r="W160" s="215"/>
      <c r="X160" s="215"/>
      <c r="Y160" s="215"/>
      <c r="Z160" s="376"/>
      <c r="AA160" s="215"/>
      <c r="AB160" s="215"/>
      <c r="AC160" s="215"/>
      <c r="AD160" s="215"/>
      <c r="AE160" s="215"/>
      <c r="AF160" s="215"/>
      <c r="AG160" s="376"/>
      <c r="AH160" s="215"/>
      <c r="AI160" s="215"/>
      <c r="AJ160" s="215"/>
      <c r="AK160" s="215"/>
      <c r="AL160" s="265"/>
      <c r="AM160" s="108"/>
      <c r="AN160" s="108"/>
      <c r="AO160" s="108"/>
      <c r="AP160" s="108"/>
      <c r="AQ160" s="108"/>
      <c r="AR160" s="108"/>
      <c r="AS160" s="428"/>
      <c r="AT160" s="428"/>
      <c r="AU160" s="121"/>
      <c r="AV160" s="428"/>
    </row>
    <row r="161" spans="1:48" hidden="1">
      <c r="A161" s="492"/>
      <c r="B161" s="500"/>
      <c r="C161" s="459"/>
      <c r="D161" s="265"/>
      <c r="E161" s="449"/>
      <c r="F161" s="459"/>
      <c r="G161" s="190" t="s">
        <v>25</v>
      </c>
      <c r="H161" s="187" t="s">
        <v>76</v>
      </c>
      <c r="I161" s="212"/>
      <c r="J161" s="212">
        <f>$N$186</f>
        <v>13400</v>
      </c>
      <c r="K161" s="212"/>
      <c r="L161" s="376"/>
      <c r="M161" s="212"/>
      <c r="N161" s="212"/>
      <c r="O161" s="212">
        <f>$N$186</f>
        <v>13400</v>
      </c>
      <c r="P161" s="376"/>
      <c r="Q161" s="376"/>
      <c r="R161" s="376"/>
      <c r="S161" s="376"/>
      <c r="T161" s="212"/>
      <c r="U161" s="212"/>
      <c r="V161" s="376"/>
      <c r="W161" s="212"/>
      <c r="X161" s="212">
        <f>$N$186</f>
        <v>13400</v>
      </c>
      <c r="Y161" s="212"/>
      <c r="Z161" s="376"/>
      <c r="AA161" s="212"/>
      <c r="AB161" s="212"/>
      <c r="AC161" s="212">
        <f>$N$186</f>
        <v>13400</v>
      </c>
      <c r="AD161" s="212"/>
      <c r="AE161" s="212"/>
      <c r="AF161" s="212"/>
      <c r="AG161" s="376"/>
      <c r="AH161" s="212">
        <f>$N$186</f>
        <v>13400</v>
      </c>
      <c r="AI161" s="212"/>
      <c r="AJ161" s="212"/>
      <c r="AK161" s="212"/>
      <c r="AL161" s="266">
        <f>SUM(I161:AK161)</f>
        <v>67000</v>
      </c>
      <c r="AM161" s="108"/>
      <c r="AN161" s="108"/>
      <c r="AO161" s="108"/>
      <c r="AP161" s="108"/>
      <c r="AQ161" s="108"/>
      <c r="AR161" s="108"/>
      <c r="AS161" s="428"/>
      <c r="AT161" s="428"/>
      <c r="AU161" s="121"/>
      <c r="AV161" s="428"/>
    </row>
    <row r="162" spans="1:48" hidden="1">
      <c r="A162" s="492"/>
      <c r="B162" s="500"/>
      <c r="C162" s="459"/>
      <c r="D162" s="265"/>
      <c r="E162" s="449"/>
      <c r="F162" s="459"/>
      <c r="G162" s="190"/>
      <c r="H162" s="187" t="s">
        <v>27</v>
      </c>
      <c r="I162" s="212"/>
      <c r="J162" s="212">
        <v>1</v>
      </c>
      <c r="K162" s="212"/>
      <c r="L162" s="376"/>
      <c r="M162" s="212"/>
      <c r="N162" s="212"/>
      <c r="O162" s="212">
        <v>1</v>
      </c>
      <c r="P162" s="376"/>
      <c r="Q162" s="376"/>
      <c r="R162" s="376"/>
      <c r="S162" s="376"/>
      <c r="T162" s="212"/>
      <c r="U162" s="212"/>
      <c r="V162" s="376"/>
      <c r="W162" s="212"/>
      <c r="X162" s="212">
        <v>1</v>
      </c>
      <c r="Y162" s="212"/>
      <c r="Z162" s="376"/>
      <c r="AA162" s="212"/>
      <c r="AB162" s="212"/>
      <c r="AC162" s="212">
        <v>1</v>
      </c>
      <c r="AD162" s="212"/>
      <c r="AE162" s="212"/>
      <c r="AF162" s="212"/>
      <c r="AG162" s="376"/>
      <c r="AH162" s="212">
        <v>1</v>
      </c>
      <c r="AI162" s="212"/>
      <c r="AJ162" s="212"/>
      <c r="AK162" s="212"/>
      <c r="AL162" s="266"/>
      <c r="AM162" s="108"/>
      <c r="AN162" s="108"/>
      <c r="AO162" s="108"/>
      <c r="AP162" s="108"/>
      <c r="AQ162" s="108"/>
      <c r="AR162" s="108"/>
      <c r="AS162" s="428"/>
      <c r="AT162" s="428"/>
      <c r="AU162" s="121"/>
      <c r="AV162" s="428"/>
    </row>
    <row r="163" spans="1:48" hidden="1">
      <c r="A163" s="492"/>
      <c r="B163" s="500"/>
      <c r="C163" s="459"/>
      <c r="D163" s="265"/>
      <c r="E163" s="449"/>
      <c r="F163" s="459"/>
      <c r="G163" s="134"/>
      <c r="H163" s="188" t="s">
        <v>15</v>
      </c>
      <c r="I163" s="215"/>
      <c r="J163" s="215"/>
      <c r="K163" s="215"/>
      <c r="L163" s="376"/>
      <c r="M163" s="215"/>
      <c r="N163" s="215"/>
      <c r="O163" s="215">
        <f>11488</f>
        <v>11488</v>
      </c>
      <c r="P163" s="376"/>
      <c r="Q163" s="376"/>
      <c r="R163" s="376"/>
      <c r="S163" s="376"/>
      <c r="T163" s="215"/>
      <c r="U163" s="215"/>
      <c r="V163" s="376"/>
      <c r="W163" s="215"/>
      <c r="X163" s="215"/>
      <c r="Y163" s="215"/>
      <c r="Z163" s="376"/>
      <c r="AA163" s="215"/>
      <c r="AB163" s="215"/>
      <c r="AC163" s="215"/>
      <c r="AD163" s="215"/>
      <c r="AE163" s="215"/>
      <c r="AF163" s="215"/>
      <c r="AG163" s="376"/>
      <c r="AH163" s="215"/>
      <c r="AI163" s="215"/>
      <c r="AJ163" s="215"/>
      <c r="AK163" s="215"/>
      <c r="AL163" s="265">
        <f>SUM(I163:AK163)</f>
        <v>11488</v>
      </c>
      <c r="AM163" s="108"/>
      <c r="AN163" s="108"/>
      <c r="AO163" s="108"/>
      <c r="AP163" s="108"/>
      <c r="AQ163" s="108"/>
      <c r="AR163" s="108"/>
      <c r="AS163" s="428"/>
      <c r="AT163" s="428"/>
      <c r="AU163" s="121"/>
      <c r="AV163" s="428"/>
    </row>
    <row r="164" spans="1:48" hidden="1">
      <c r="A164" s="492"/>
      <c r="B164" s="500"/>
      <c r="C164" s="459"/>
      <c r="D164" s="265"/>
      <c r="E164" s="449"/>
      <c r="F164" s="459"/>
      <c r="G164" s="190" t="s">
        <v>23</v>
      </c>
      <c r="H164" s="187" t="s">
        <v>77</v>
      </c>
      <c r="I164" s="212"/>
      <c r="J164" s="212">
        <f>$N$186+$N$189</f>
        <v>26800</v>
      </c>
      <c r="K164" s="212"/>
      <c r="L164" s="376"/>
      <c r="M164" s="212"/>
      <c r="N164" s="212"/>
      <c r="O164" s="212">
        <f>$N$186+$N$189</f>
        <v>26800</v>
      </c>
      <c r="P164" s="376"/>
      <c r="Q164" s="376"/>
      <c r="R164" s="376"/>
      <c r="S164" s="376"/>
      <c r="T164" s="212"/>
      <c r="U164" s="212"/>
      <c r="V164" s="376"/>
      <c r="W164" s="212"/>
      <c r="X164" s="212">
        <f>$N$186+$N$189</f>
        <v>26800</v>
      </c>
      <c r="Y164" s="212"/>
      <c r="Z164" s="376"/>
      <c r="AA164" s="212"/>
      <c r="AB164" s="212"/>
      <c r="AC164" s="212">
        <f>$N$186+$N$189</f>
        <v>26800</v>
      </c>
      <c r="AD164" s="212"/>
      <c r="AE164" s="212"/>
      <c r="AF164" s="212"/>
      <c r="AG164" s="376"/>
      <c r="AH164" s="212">
        <f>$N$186+$N$189</f>
        <v>26800</v>
      </c>
      <c r="AI164" s="212"/>
      <c r="AJ164" s="212"/>
      <c r="AK164" s="212"/>
      <c r="AL164" s="266">
        <f>SUM(I164:AK164)</f>
        <v>134000</v>
      </c>
      <c r="AM164" s="108"/>
      <c r="AN164" s="108"/>
      <c r="AO164" s="108"/>
      <c r="AP164" s="108"/>
      <c r="AQ164" s="108"/>
      <c r="AR164" s="108"/>
      <c r="AS164" s="428"/>
      <c r="AT164" s="428"/>
      <c r="AU164" s="121"/>
      <c r="AV164" s="428"/>
    </row>
    <row r="165" spans="1:48" hidden="1">
      <c r="A165" s="492"/>
      <c r="B165" s="500"/>
      <c r="C165" s="459"/>
      <c r="D165" s="265"/>
      <c r="E165" s="449"/>
      <c r="F165" s="459"/>
      <c r="G165" s="134"/>
      <c r="H165" s="188" t="s">
        <v>15</v>
      </c>
      <c r="I165" s="215"/>
      <c r="J165" s="215"/>
      <c r="K165" s="215"/>
      <c r="L165" s="376"/>
      <c r="M165" s="215"/>
      <c r="N165" s="215"/>
      <c r="O165" s="215"/>
      <c r="P165" s="376"/>
      <c r="Q165" s="376"/>
      <c r="R165" s="376"/>
      <c r="S165" s="376"/>
      <c r="T165" s="215">
        <f>29800</f>
        <v>29800</v>
      </c>
      <c r="U165" s="215"/>
      <c r="V165" s="376"/>
      <c r="W165" s="215"/>
      <c r="X165" s="215"/>
      <c r="Y165" s="215"/>
      <c r="Z165" s="376"/>
      <c r="AA165" s="215"/>
      <c r="AB165" s="215"/>
      <c r="AC165" s="215"/>
      <c r="AD165" s="215"/>
      <c r="AE165" s="215"/>
      <c r="AF165" s="215"/>
      <c r="AG165" s="376"/>
      <c r="AH165" s="215"/>
      <c r="AI165" s="215"/>
      <c r="AJ165" s="215"/>
      <c r="AK165" s="215"/>
      <c r="AL165" s="265"/>
      <c r="AM165" s="108"/>
      <c r="AN165" s="108"/>
      <c r="AO165" s="108"/>
      <c r="AP165" s="108"/>
      <c r="AQ165" s="108"/>
      <c r="AR165" s="108"/>
      <c r="AS165" s="428"/>
      <c r="AT165" s="428"/>
      <c r="AU165" s="121"/>
      <c r="AV165" s="428"/>
    </row>
    <row r="166" spans="1:48" hidden="1">
      <c r="A166" s="492"/>
      <c r="B166" s="500"/>
      <c r="C166" s="459"/>
      <c r="D166" s="265"/>
      <c r="E166" s="449"/>
      <c r="F166" s="459"/>
      <c r="G166" s="190" t="s">
        <v>25</v>
      </c>
      <c r="H166" s="187" t="s">
        <v>78</v>
      </c>
      <c r="I166" s="212"/>
      <c r="J166" s="212">
        <f>$N$189</f>
        <v>13400</v>
      </c>
      <c r="K166" s="212"/>
      <c r="L166" s="376"/>
      <c r="M166" s="212"/>
      <c r="N166" s="212"/>
      <c r="O166" s="212">
        <f>$N$189</f>
        <v>13400</v>
      </c>
      <c r="P166" s="376"/>
      <c r="Q166" s="376"/>
      <c r="R166" s="376"/>
      <c r="S166" s="376"/>
      <c r="T166" s="212"/>
      <c r="U166" s="212"/>
      <c r="V166" s="376"/>
      <c r="W166" s="212"/>
      <c r="X166" s="212">
        <f>$N$189</f>
        <v>13400</v>
      </c>
      <c r="Y166" s="212"/>
      <c r="Z166" s="376"/>
      <c r="AA166" s="212"/>
      <c r="AB166" s="212"/>
      <c r="AC166" s="212">
        <f>$N$189</f>
        <v>13400</v>
      </c>
      <c r="AD166" s="212"/>
      <c r="AE166" s="212"/>
      <c r="AF166" s="212"/>
      <c r="AG166" s="376"/>
      <c r="AH166" s="212">
        <f>$N$189</f>
        <v>13400</v>
      </c>
      <c r="AI166" s="212"/>
      <c r="AJ166" s="212"/>
      <c r="AK166" s="212"/>
      <c r="AL166" s="266">
        <f>SUM(I166:AK166)</f>
        <v>67000</v>
      </c>
      <c r="AM166" s="108"/>
      <c r="AN166" s="108"/>
      <c r="AO166" s="108"/>
      <c r="AP166" s="108"/>
      <c r="AQ166" s="108"/>
      <c r="AR166" s="108"/>
      <c r="AS166" s="428"/>
      <c r="AT166" s="428"/>
      <c r="AU166" s="121"/>
      <c r="AV166" s="428"/>
    </row>
    <row r="167" spans="1:48" hidden="1">
      <c r="A167" s="492"/>
      <c r="B167" s="500"/>
      <c r="C167" s="459"/>
      <c r="D167" s="265"/>
      <c r="E167" s="449"/>
      <c r="F167" s="459"/>
      <c r="G167" s="190"/>
      <c r="H167" s="187" t="s">
        <v>27</v>
      </c>
      <c r="I167" s="212"/>
      <c r="J167" s="212">
        <v>1</v>
      </c>
      <c r="K167" s="212"/>
      <c r="L167" s="376"/>
      <c r="M167" s="212"/>
      <c r="N167" s="212"/>
      <c r="O167" s="212">
        <v>1</v>
      </c>
      <c r="P167" s="376"/>
      <c r="Q167" s="376"/>
      <c r="R167" s="376"/>
      <c r="S167" s="376"/>
      <c r="T167" s="212"/>
      <c r="U167" s="212"/>
      <c r="V167" s="376"/>
      <c r="W167" s="212"/>
      <c r="X167" s="212">
        <v>1</v>
      </c>
      <c r="Y167" s="212"/>
      <c r="Z167" s="376"/>
      <c r="AA167" s="212"/>
      <c r="AB167" s="212"/>
      <c r="AC167" s="212">
        <v>1</v>
      </c>
      <c r="AD167" s="212"/>
      <c r="AE167" s="212"/>
      <c r="AF167" s="212"/>
      <c r="AG167" s="376"/>
      <c r="AH167" s="212">
        <v>1</v>
      </c>
      <c r="AI167" s="212"/>
      <c r="AJ167" s="212"/>
      <c r="AK167" s="212"/>
      <c r="AL167" s="266"/>
      <c r="AM167" s="108"/>
      <c r="AN167" s="108"/>
      <c r="AO167" s="108"/>
      <c r="AP167" s="108"/>
      <c r="AQ167" s="108"/>
      <c r="AR167" s="108"/>
      <c r="AS167" s="428"/>
      <c r="AT167" s="428"/>
      <c r="AU167" s="121"/>
      <c r="AV167" s="428"/>
    </row>
    <row r="168" spans="1:48" hidden="1">
      <c r="A168" s="492"/>
      <c r="B168" s="500"/>
      <c r="C168" s="459"/>
      <c r="D168" s="265"/>
      <c r="E168" s="449"/>
      <c r="F168" s="459"/>
      <c r="G168" s="134"/>
      <c r="H168" s="188" t="s">
        <v>15</v>
      </c>
      <c r="I168" s="215"/>
      <c r="J168" s="215"/>
      <c r="K168" s="215"/>
      <c r="L168" s="376"/>
      <c r="M168" s="215"/>
      <c r="N168" s="215"/>
      <c r="O168" s="215">
        <f>11488</f>
        <v>11488</v>
      </c>
      <c r="P168" s="376"/>
      <c r="Q168" s="376"/>
      <c r="R168" s="376"/>
      <c r="S168" s="376"/>
      <c r="T168" s="215"/>
      <c r="U168" s="215"/>
      <c r="V168" s="376"/>
      <c r="W168" s="215"/>
      <c r="X168" s="215"/>
      <c r="Y168" s="215"/>
      <c r="Z168" s="376"/>
      <c r="AA168" s="215"/>
      <c r="AB168" s="215"/>
      <c r="AC168" s="215"/>
      <c r="AD168" s="215"/>
      <c r="AE168" s="215"/>
      <c r="AF168" s="215"/>
      <c r="AG168" s="376"/>
      <c r="AH168" s="215"/>
      <c r="AI168" s="215"/>
      <c r="AJ168" s="215"/>
      <c r="AK168" s="215"/>
      <c r="AL168" s="265">
        <f>SUM(I168:AK168)</f>
        <v>11488</v>
      </c>
      <c r="AM168" s="108"/>
      <c r="AN168" s="108"/>
      <c r="AO168" s="108"/>
      <c r="AP168" s="108"/>
      <c r="AQ168" s="108"/>
      <c r="AR168" s="108"/>
      <c r="AS168" s="428"/>
      <c r="AT168" s="428"/>
      <c r="AU168" s="121"/>
      <c r="AV168" s="428"/>
    </row>
    <row r="169" spans="1:48" hidden="1">
      <c r="A169" s="492"/>
      <c r="B169" s="500"/>
      <c r="C169" s="459"/>
      <c r="D169" s="265"/>
      <c r="E169" s="449"/>
      <c r="F169" s="459"/>
      <c r="G169" s="190" t="s">
        <v>28</v>
      </c>
      <c r="H169" s="187" t="s">
        <v>29</v>
      </c>
      <c r="I169" s="212"/>
      <c r="J169" s="212">
        <f>$N$189</f>
        <v>13400</v>
      </c>
      <c r="K169" s="212"/>
      <c r="L169" s="376"/>
      <c r="M169" s="212"/>
      <c r="N169" s="212"/>
      <c r="O169" s="212">
        <f>$N$189</f>
        <v>13400</v>
      </c>
      <c r="P169" s="376"/>
      <c r="Q169" s="376"/>
      <c r="R169" s="376"/>
      <c r="S169" s="376"/>
      <c r="T169" s="212"/>
      <c r="U169" s="212"/>
      <c r="V169" s="376"/>
      <c r="W169" s="212"/>
      <c r="X169" s="212">
        <f>$N$189</f>
        <v>13400</v>
      </c>
      <c r="Y169" s="212"/>
      <c r="Z169" s="376"/>
      <c r="AA169" s="212"/>
      <c r="AB169" s="212"/>
      <c r="AC169" s="212">
        <f>$N$189</f>
        <v>13400</v>
      </c>
      <c r="AD169" s="212"/>
      <c r="AE169" s="212"/>
      <c r="AF169" s="212"/>
      <c r="AG169" s="376"/>
      <c r="AH169" s="212">
        <f>$N$189</f>
        <v>13400</v>
      </c>
      <c r="AI169" s="212"/>
      <c r="AJ169" s="212"/>
      <c r="AK169" s="212"/>
      <c r="AL169" s="266">
        <f>SUM(I169:AK169)</f>
        <v>67000</v>
      </c>
      <c r="AM169" s="108"/>
      <c r="AN169" s="108"/>
      <c r="AO169" s="108"/>
      <c r="AP169" s="108"/>
      <c r="AQ169" s="108"/>
      <c r="AR169" s="108"/>
      <c r="AS169" s="428"/>
      <c r="AT169" s="428"/>
      <c r="AU169" s="121"/>
      <c r="AV169" s="428"/>
    </row>
    <row r="170" spans="1:48" hidden="1">
      <c r="A170" s="492"/>
      <c r="B170" s="500"/>
      <c r="C170" s="459"/>
      <c r="D170" s="265"/>
      <c r="E170" s="449"/>
      <c r="F170" s="459"/>
      <c r="G170" s="134"/>
      <c r="H170" s="188" t="s">
        <v>15</v>
      </c>
      <c r="I170" s="215">
        <f>27437</f>
        <v>27437</v>
      </c>
      <c r="J170" s="215"/>
      <c r="K170" s="215"/>
      <c r="L170" s="376"/>
      <c r="M170" s="215"/>
      <c r="N170" s="215"/>
      <c r="O170" s="215"/>
      <c r="P170" s="376"/>
      <c r="Q170" s="376"/>
      <c r="R170" s="376"/>
      <c r="S170" s="376"/>
      <c r="T170" s="215"/>
      <c r="U170" s="215"/>
      <c r="V170" s="376"/>
      <c r="W170" s="215">
        <f>17984</f>
        <v>17984</v>
      </c>
      <c r="X170" s="215"/>
      <c r="Y170" s="215"/>
      <c r="Z170" s="376"/>
      <c r="AA170" s="215"/>
      <c r="AB170" s="215"/>
      <c r="AC170" s="215"/>
      <c r="AD170" s="215"/>
      <c r="AE170" s="215"/>
      <c r="AF170" s="215"/>
      <c r="AG170" s="376"/>
      <c r="AH170" s="215"/>
      <c r="AI170" s="215"/>
      <c r="AJ170" s="215"/>
      <c r="AK170" s="215"/>
      <c r="AL170" s="265">
        <f>SUM(I170:AK170)</f>
        <v>45421</v>
      </c>
      <c r="AM170" s="108"/>
      <c r="AN170" s="108"/>
      <c r="AO170" s="108"/>
      <c r="AP170" s="108"/>
      <c r="AQ170" s="108"/>
      <c r="AR170" s="108"/>
      <c r="AS170" s="428"/>
      <c r="AT170" s="428"/>
      <c r="AU170" s="121"/>
      <c r="AV170" s="428"/>
    </row>
    <row r="171" spans="1:48" hidden="1">
      <c r="A171" s="492"/>
      <c r="B171" s="500"/>
      <c r="C171" s="459"/>
      <c r="D171" s="265"/>
      <c r="E171" s="449"/>
      <c r="F171" s="459"/>
      <c r="G171" s="190" t="s">
        <v>79</v>
      </c>
      <c r="H171" s="187" t="s">
        <v>80</v>
      </c>
      <c r="I171" s="212"/>
      <c r="J171" s="212">
        <f>$N$186+$N$189</f>
        <v>26800</v>
      </c>
      <c r="K171" s="212"/>
      <c r="L171" s="376"/>
      <c r="M171" s="212"/>
      <c r="N171" s="212"/>
      <c r="O171" s="212">
        <f>$N$186+$N$189</f>
        <v>26800</v>
      </c>
      <c r="P171" s="376"/>
      <c r="Q171" s="376"/>
      <c r="R171" s="376"/>
      <c r="S171" s="376"/>
      <c r="T171" s="212"/>
      <c r="U171" s="212"/>
      <c r="V171" s="376"/>
      <c r="W171" s="212"/>
      <c r="X171" s="212">
        <f>$N$186+$N$189</f>
        <v>26800</v>
      </c>
      <c r="Y171" s="212"/>
      <c r="Z171" s="376"/>
      <c r="AA171" s="212"/>
      <c r="AB171" s="212"/>
      <c r="AC171" s="212">
        <f>$N$186+$N$189</f>
        <v>26800</v>
      </c>
      <c r="AD171" s="212"/>
      <c r="AE171" s="212"/>
      <c r="AF171" s="212"/>
      <c r="AG171" s="376"/>
      <c r="AH171" s="212">
        <f>$N$186+$N$189</f>
        <v>26800</v>
      </c>
      <c r="AI171" s="212"/>
      <c r="AJ171" s="212"/>
      <c r="AK171" s="212"/>
      <c r="AL171" s="266">
        <f>SUM(I171:AK171)</f>
        <v>134000</v>
      </c>
      <c r="AM171" s="108"/>
      <c r="AN171" s="108"/>
      <c r="AO171" s="108"/>
      <c r="AP171" s="108"/>
      <c r="AQ171" s="108"/>
      <c r="AR171" s="108"/>
      <c r="AS171" s="428"/>
      <c r="AT171" s="428"/>
      <c r="AU171" s="121"/>
      <c r="AV171" s="428"/>
    </row>
    <row r="172" spans="1:48" hidden="1">
      <c r="A172" s="492"/>
      <c r="B172" s="500"/>
      <c r="C172" s="459"/>
      <c r="D172" s="265"/>
      <c r="E172" s="449"/>
      <c r="F172" s="459"/>
      <c r="G172" s="190"/>
      <c r="H172" s="187" t="s">
        <v>27</v>
      </c>
      <c r="I172" s="212"/>
      <c r="J172" s="212">
        <v>1</v>
      </c>
      <c r="K172" s="212"/>
      <c r="L172" s="376"/>
      <c r="M172" s="212"/>
      <c r="N172" s="212"/>
      <c r="O172" s="212">
        <v>1</v>
      </c>
      <c r="P172" s="376"/>
      <c r="Q172" s="376"/>
      <c r="R172" s="376"/>
      <c r="S172" s="376"/>
      <c r="T172" s="212"/>
      <c r="U172" s="212"/>
      <c r="V172" s="376"/>
      <c r="W172" s="212"/>
      <c r="X172" s="212">
        <v>1</v>
      </c>
      <c r="Y172" s="212"/>
      <c r="Z172" s="376"/>
      <c r="AA172" s="212"/>
      <c r="AB172" s="212"/>
      <c r="AC172" s="212">
        <v>1</v>
      </c>
      <c r="AD172" s="212"/>
      <c r="AE172" s="212"/>
      <c r="AF172" s="212"/>
      <c r="AG172" s="376"/>
      <c r="AH172" s="212">
        <v>1</v>
      </c>
      <c r="AI172" s="212"/>
      <c r="AJ172" s="212"/>
      <c r="AK172" s="212"/>
      <c r="AL172" s="266"/>
      <c r="AM172" s="108"/>
      <c r="AN172" s="108"/>
      <c r="AO172" s="108"/>
      <c r="AP172" s="108"/>
      <c r="AQ172" s="108"/>
      <c r="AR172" s="108"/>
      <c r="AS172" s="428"/>
      <c r="AT172" s="428"/>
      <c r="AU172" s="121"/>
      <c r="AV172" s="428"/>
    </row>
    <row r="173" spans="1:48" hidden="1">
      <c r="A173" s="492"/>
      <c r="B173" s="500"/>
      <c r="C173" s="459"/>
      <c r="D173" s="265"/>
      <c r="E173" s="449"/>
      <c r="F173" s="459"/>
      <c r="G173" s="134"/>
      <c r="H173" s="188" t="s">
        <v>15</v>
      </c>
      <c r="I173" s="215">
        <f>32608</f>
        <v>32608</v>
      </c>
      <c r="J173" s="215"/>
      <c r="K173" s="215"/>
      <c r="L173" s="376"/>
      <c r="M173" s="215"/>
      <c r="N173" s="215"/>
      <c r="O173" s="215">
        <f>18894</f>
        <v>18894</v>
      </c>
      <c r="P173" s="376"/>
      <c r="Q173" s="376"/>
      <c r="R173" s="376"/>
      <c r="S173" s="376"/>
      <c r="T173" s="215"/>
      <c r="U173" s="215"/>
      <c r="V173" s="376"/>
      <c r="W173" s="215"/>
      <c r="X173" s="215"/>
      <c r="Y173" s="215"/>
      <c r="Z173" s="376"/>
      <c r="AA173" s="215"/>
      <c r="AB173" s="215"/>
      <c r="AC173" s="215"/>
      <c r="AD173" s="215"/>
      <c r="AE173" s="215"/>
      <c r="AF173" s="215"/>
      <c r="AG173" s="376"/>
      <c r="AH173" s="215"/>
      <c r="AI173" s="215"/>
      <c r="AJ173" s="215"/>
      <c r="AK173" s="215"/>
      <c r="AL173" s="265">
        <f>SUM(I173:AK173)</f>
        <v>51502</v>
      </c>
      <c r="AM173" s="108"/>
      <c r="AN173" s="108"/>
      <c r="AO173" s="108"/>
      <c r="AP173" s="108"/>
      <c r="AQ173" s="108"/>
      <c r="AR173" s="108"/>
      <c r="AS173" s="428"/>
      <c r="AT173" s="428"/>
      <c r="AU173" s="121"/>
      <c r="AV173" s="428"/>
    </row>
    <row r="174" spans="1:48" hidden="1">
      <c r="A174" s="492"/>
      <c r="B174" s="500"/>
      <c r="C174" s="459"/>
      <c r="D174" s="265"/>
      <c r="E174" s="449"/>
      <c r="F174" s="459"/>
      <c r="G174" s="134"/>
      <c r="H174" s="187" t="s">
        <v>81</v>
      </c>
      <c r="I174" s="235"/>
      <c r="J174" s="235">
        <f>$N$186/2</f>
        <v>6700</v>
      </c>
      <c r="K174" s="235">
        <f>$N$186/2</f>
        <v>6700</v>
      </c>
      <c r="L174" s="376"/>
      <c r="M174" s="212"/>
      <c r="N174" s="212"/>
      <c r="O174" s="212">
        <f>$N$186/2</f>
        <v>6700</v>
      </c>
      <c r="P174" s="376"/>
      <c r="Q174" s="376"/>
      <c r="R174" s="376"/>
      <c r="S174" s="376"/>
      <c r="T174" s="212">
        <f>$N$186/2</f>
        <v>6700</v>
      </c>
      <c r="U174" s="212"/>
      <c r="V174" s="376"/>
      <c r="W174" s="212"/>
      <c r="X174" s="212">
        <f>$N$186/2</f>
        <v>6700</v>
      </c>
      <c r="Y174" s="212">
        <f>$N$186/2</f>
        <v>6700</v>
      </c>
      <c r="Z174" s="376"/>
      <c r="AA174" s="212"/>
      <c r="AB174" s="212"/>
      <c r="AC174" s="212">
        <f>$N$186/2</f>
        <v>6700</v>
      </c>
      <c r="AD174" s="212">
        <f>$N$186/2</f>
        <v>6700</v>
      </c>
      <c r="AE174" s="212"/>
      <c r="AF174" s="212">
        <f>$N$186/2</f>
        <v>6700</v>
      </c>
      <c r="AG174" s="376"/>
      <c r="AH174" s="212"/>
      <c r="AI174" s="212">
        <f>$N$186/2</f>
        <v>6700</v>
      </c>
      <c r="AJ174" s="212"/>
      <c r="AK174" s="212"/>
      <c r="AL174" s="266">
        <f>SUM(I174:AK174)</f>
        <v>67000</v>
      </c>
      <c r="AM174" s="108"/>
      <c r="AN174" s="108"/>
      <c r="AO174" s="108"/>
      <c r="AP174" s="108"/>
      <c r="AQ174" s="108"/>
      <c r="AR174" s="108"/>
      <c r="AS174" s="428"/>
      <c r="AT174" s="428"/>
      <c r="AU174" s="121"/>
      <c r="AV174" s="428"/>
    </row>
    <row r="175" spans="1:48" hidden="1">
      <c r="A175" s="492"/>
      <c r="B175" s="500"/>
      <c r="C175" s="459"/>
      <c r="D175" s="265"/>
      <c r="E175" s="449"/>
      <c r="F175" s="459"/>
      <c r="G175" s="134"/>
      <c r="H175" s="187" t="s">
        <v>31</v>
      </c>
      <c r="I175" s="212"/>
      <c r="J175" s="212">
        <v>1</v>
      </c>
      <c r="K175" s="212">
        <v>1</v>
      </c>
      <c r="L175" s="376"/>
      <c r="M175" s="212"/>
      <c r="N175" s="212"/>
      <c r="O175" s="212">
        <v>1</v>
      </c>
      <c r="P175" s="376"/>
      <c r="Q175" s="376"/>
      <c r="R175" s="376"/>
      <c r="S175" s="376"/>
      <c r="T175" s="212">
        <v>1</v>
      </c>
      <c r="U175" s="212"/>
      <c r="V175" s="376"/>
      <c r="W175" s="212"/>
      <c r="X175" s="212">
        <v>1</v>
      </c>
      <c r="Y175" s="212">
        <v>1</v>
      </c>
      <c r="Z175" s="376"/>
      <c r="AA175" s="212"/>
      <c r="AB175" s="212"/>
      <c r="AC175" s="212">
        <v>1</v>
      </c>
      <c r="AD175" s="212">
        <v>1</v>
      </c>
      <c r="AE175" s="212"/>
      <c r="AF175" s="212">
        <v>1</v>
      </c>
      <c r="AG175" s="376"/>
      <c r="AH175" s="212"/>
      <c r="AI175" s="212">
        <v>1</v>
      </c>
      <c r="AJ175" s="212"/>
      <c r="AK175" s="212"/>
      <c r="AL175" s="266"/>
      <c r="AM175" s="108"/>
      <c r="AN175" s="108"/>
      <c r="AO175" s="108"/>
      <c r="AP175" s="108"/>
      <c r="AQ175" s="108"/>
      <c r="AR175" s="108"/>
      <c r="AS175" s="428"/>
      <c r="AT175" s="428"/>
      <c r="AU175" s="121"/>
      <c r="AV175" s="428"/>
    </row>
    <row r="176" spans="1:48" hidden="1">
      <c r="A176" s="492"/>
      <c r="B176" s="500"/>
      <c r="C176" s="459"/>
      <c r="D176" s="265"/>
      <c r="E176" s="449"/>
      <c r="F176" s="459"/>
      <c r="G176" s="134"/>
      <c r="H176" s="188" t="s">
        <v>15</v>
      </c>
      <c r="I176" s="215"/>
      <c r="J176" s="215"/>
      <c r="K176" s="215"/>
      <c r="L176" s="376"/>
      <c r="M176" s="215"/>
      <c r="N176" s="215"/>
      <c r="O176" s="215">
        <f>3733</f>
        <v>3733</v>
      </c>
      <c r="P176" s="376"/>
      <c r="Q176" s="376"/>
      <c r="R176" s="376"/>
      <c r="S176" s="376"/>
      <c r="T176" s="215"/>
      <c r="U176" s="215"/>
      <c r="V176" s="376"/>
      <c r="W176" s="215"/>
      <c r="X176" s="215"/>
      <c r="Y176" s="215"/>
      <c r="Z176" s="376"/>
      <c r="AA176" s="215"/>
      <c r="AB176" s="215"/>
      <c r="AC176" s="215"/>
      <c r="AD176" s="215"/>
      <c r="AE176" s="215"/>
      <c r="AF176" s="215"/>
      <c r="AG176" s="376"/>
      <c r="AH176" s="215"/>
      <c r="AI176" s="215"/>
      <c r="AJ176" s="215"/>
      <c r="AK176" s="215"/>
      <c r="AL176" s="265">
        <f>SUM(I176:AK176)</f>
        <v>3733</v>
      </c>
      <c r="AM176" s="108"/>
      <c r="AN176" s="108"/>
      <c r="AO176" s="108"/>
      <c r="AP176" s="108"/>
      <c r="AQ176" s="108"/>
      <c r="AR176" s="108"/>
      <c r="AS176" s="428"/>
      <c r="AT176" s="428"/>
      <c r="AU176" s="121"/>
      <c r="AV176" s="428"/>
    </row>
    <row r="177" spans="1:48" hidden="1">
      <c r="A177" s="492"/>
      <c r="B177" s="500"/>
      <c r="C177" s="459"/>
      <c r="D177" s="265"/>
      <c r="E177" s="449"/>
      <c r="F177" s="459"/>
      <c r="G177" s="134"/>
      <c r="H177" s="187" t="s">
        <v>82</v>
      </c>
      <c r="I177" s="212"/>
      <c r="J177" s="212">
        <f>$N$189/2</f>
        <v>6700</v>
      </c>
      <c r="K177" s="212">
        <f>$N$189/2</f>
        <v>6700</v>
      </c>
      <c r="L177" s="376"/>
      <c r="M177" s="212"/>
      <c r="N177" s="212"/>
      <c r="O177" s="212">
        <f>$N$189/2</f>
        <v>6700</v>
      </c>
      <c r="P177" s="376"/>
      <c r="Q177" s="376"/>
      <c r="R177" s="376"/>
      <c r="S177" s="376"/>
      <c r="T177" s="212">
        <f>$N$189/2</f>
        <v>6700</v>
      </c>
      <c r="U177" s="212"/>
      <c r="V177" s="376"/>
      <c r="W177" s="212"/>
      <c r="X177" s="212">
        <f>$N$189/2</f>
        <v>6700</v>
      </c>
      <c r="Y177" s="212">
        <f>$N$189/2</f>
        <v>6700</v>
      </c>
      <c r="Z177" s="376"/>
      <c r="AA177" s="212"/>
      <c r="AB177" s="212"/>
      <c r="AC177" s="212">
        <f>$N$189/2</f>
        <v>6700</v>
      </c>
      <c r="AD177" s="212">
        <f>$N$189/2</f>
        <v>6700</v>
      </c>
      <c r="AE177" s="212"/>
      <c r="AF177" s="212"/>
      <c r="AG177" s="376"/>
      <c r="AH177" s="212">
        <f>$N$189/2</f>
        <v>6700</v>
      </c>
      <c r="AI177" s="212">
        <f>$N$189/2</f>
        <v>6700</v>
      </c>
      <c r="AJ177" s="212"/>
      <c r="AK177" s="388"/>
      <c r="AL177" s="266">
        <f>SUM(I177:AK177)</f>
        <v>67000</v>
      </c>
      <c r="AM177" s="108"/>
      <c r="AN177" s="108"/>
      <c r="AO177" s="108"/>
      <c r="AP177" s="108"/>
      <c r="AQ177" s="108"/>
      <c r="AR177" s="108"/>
      <c r="AS177" s="428"/>
      <c r="AT177" s="428"/>
      <c r="AU177" s="121"/>
      <c r="AV177" s="428"/>
    </row>
    <row r="178" spans="1:48" hidden="1">
      <c r="A178" s="492"/>
      <c r="B178" s="500"/>
      <c r="C178" s="459"/>
      <c r="D178" s="265"/>
      <c r="E178" s="449"/>
      <c r="F178" s="459"/>
      <c r="G178" s="134"/>
      <c r="H178" s="187" t="s">
        <v>31</v>
      </c>
      <c r="I178" s="212"/>
      <c r="J178" s="212">
        <v>1</v>
      </c>
      <c r="K178" s="212">
        <v>1</v>
      </c>
      <c r="L178" s="376"/>
      <c r="M178" s="212"/>
      <c r="N178" s="212"/>
      <c r="O178" s="212">
        <v>1</v>
      </c>
      <c r="P178" s="376"/>
      <c r="Q178" s="376"/>
      <c r="R178" s="376"/>
      <c r="S178" s="376"/>
      <c r="T178" s="212">
        <v>1</v>
      </c>
      <c r="U178" s="212"/>
      <c r="V178" s="376"/>
      <c r="W178" s="212"/>
      <c r="X178" s="212">
        <v>1</v>
      </c>
      <c r="Y178" s="212">
        <v>1</v>
      </c>
      <c r="Z178" s="376"/>
      <c r="AA178" s="212"/>
      <c r="AB178" s="212"/>
      <c r="AC178" s="212">
        <v>1</v>
      </c>
      <c r="AD178" s="212">
        <v>1</v>
      </c>
      <c r="AE178" s="212"/>
      <c r="AF178" s="212"/>
      <c r="AG178" s="376"/>
      <c r="AH178" s="212">
        <v>1</v>
      </c>
      <c r="AI178" s="212">
        <v>1</v>
      </c>
      <c r="AJ178" s="212"/>
      <c r="AK178" s="388"/>
      <c r="AL178" s="266"/>
      <c r="AM178" s="108"/>
      <c r="AN178" s="108"/>
      <c r="AO178" s="108"/>
      <c r="AP178" s="108"/>
      <c r="AQ178" s="108"/>
      <c r="AR178" s="108"/>
      <c r="AS178" s="428"/>
      <c r="AT178" s="428"/>
      <c r="AU178" s="121"/>
      <c r="AV178" s="428"/>
    </row>
    <row r="179" spans="1:48" hidden="1">
      <c r="A179" s="492"/>
      <c r="B179" s="500"/>
      <c r="C179" s="459"/>
      <c r="D179" s="265"/>
      <c r="E179" s="449"/>
      <c r="F179" s="459"/>
      <c r="G179" s="134"/>
      <c r="H179" s="188" t="s">
        <v>15</v>
      </c>
      <c r="I179" s="215"/>
      <c r="J179" s="215">
        <f>4020+3800+667+4461+2637</f>
        <v>15585</v>
      </c>
      <c r="K179" s="215">
        <f>2033+3400+1268+3367</f>
        <v>10068</v>
      </c>
      <c r="L179" s="376"/>
      <c r="M179" s="215">
        <f>750+4660+3310+1299+4565+3908</f>
        <v>18492</v>
      </c>
      <c r="N179" s="215">
        <f>1358+4669+1112+2778</f>
        <v>9917</v>
      </c>
      <c r="O179" s="215">
        <f>4020+1434+4667+649</f>
        <v>10770</v>
      </c>
      <c r="P179" s="376"/>
      <c r="Q179" s="376"/>
      <c r="R179" s="376"/>
      <c r="S179" s="376"/>
      <c r="T179" s="215"/>
      <c r="U179" s="215"/>
      <c r="V179" s="376"/>
      <c r="W179" s="215"/>
      <c r="X179" s="215"/>
      <c r="Y179" s="215"/>
      <c r="Z179" s="376"/>
      <c r="AA179" s="215"/>
      <c r="AB179" s="215"/>
      <c r="AC179" s="215"/>
      <c r="AD179" s="215"/>
      <c r="AE179" s="215"/>
      <c r="AF179" s="215"/>
      <c r="AG179" s="376"/>
      <c r="AH179" s="215"/>
      <c r="AI179" s="215"/>
      <c r="AJ179" s="215"/>
      <c r="AK179" s="389"/>
      <c r="AL179" s="265">
        <f>SUM(I179:AK179)</f>
        <v>64832</v>
      </c>
      <c r="AM179" s="108"/>
      <c r="AN179" s="108"/>
      <c r="AO179" s="108"/>
      <c r="AP179" s="108"/>
      <c r="AQ179" s="108"/>
      <c r="AR179" s="108"/>
      <c r="AS179" s="428"/>
      <c r="AT179" s="428"/>
      <c r="AU179" s="121"/>
      <c r="AV179" s="428"/>
    </row>
    <row r="180" spans="1:48" hidden="1">
      <c r="A180" s="492"/>
      <c r="B180" s="500"/>
      <c r="C180" s="459"/>
      <c r="D180" s="265"/>
      <c r="E180" s="449"/>
      <c r="F180" s="459"/>
      <c r="G180" s="134"/>
      <c r="H180" s="187" t="s">
        <v>83</v>
      </c>
      <c r="I180" s="212">
        <f>$N$186/4</f>
        <v>3350</v>
      </c>
      <c r="J180" s="212">
        <f>$N$186/4</f>
        <v>3350</v>
      </c>
      <c r="K180" s="212">
        <f>$N$186/4</f>
        <v>3350</v>
      </c>
      <c r="L180" s="376"/>
      <c r="M180" s="212">
        <f>$N$186/4</f>
        <v>3350</v>
      </c>
      <c r="N180" s="212">
        <f>$N$186/4</f>
        <v>3350</v>
      </c>
      <c r="O180" s="212">
        <f>$N$186/4</f>
        <v>3350</v>
      </c>
      <c r="P180" s="376"/>
      <c r="Q180" s="376"/>
      <c r="R180" s="376"/>
      <c r="S180" s="376"/>
      <c r="T180" s="212">
        <f>$N$186/4</f>
        <v>3350</v>
      </c>
      <c r="U180" s="212">
        <f>$N$186/4</f>
        <v>3350</v>
      </c>
      <c r="V180" s="376"/>
      <c r="W180" s="212">
        <f>$N$186/4</f>
        <v>3350</v>
      </c>
      <c r="X180" s="212">
        <f>$N$186/4</f>
        <v>3350</v>
      </c>
      <c r="Y180" s="212">
        <f>$N$186/4</f>
        <v>3350</v>
      </c>
      <c r="Z180" s="376"/>
      <c r="AA180" s="212">
        <f t="shared" ref="AA180:AF180" si="36">$N$186/4</f>
        <v>3350</v>
      </c>
      <c r="AB180" s="212">
        <f t="shared" si="36"/>
        <v>3350</v>
      </c>
      <c r="AC180" s="212">
        <f t="shared" si="36"/>
        <v>3350</v>
      </c>
      <c r="AD180" s="212">
        <f t="shared" si="36"/>
        <v>3350</v>
      </c>
      <c r="AE180" s="212">
        <f t="shared" si="36"/>
        <v>3350</v>
      </c>
      <c r="AF180" s="212">
        <f t="shared" si="36"/>
        <v>3350</v>
      </c>
      <c r="AG180" s="376"/>
      <c r="AH180" s="212">
        <f>$N$186/4</f>
        <v>3350</v>
      </c>
      <c r="AI180" s="212">
        <f>$N$186/4</f>
        <v>3350</v>
      </c>
      <c r="AJ180" s="212">
        <f>$N$186/4</f>
        <v>3350</v>
      </c>
      <c r="AK180" s="212">
        <f>$N$186/4</f>
        <v>3350</v>
      </c>
      <c r="AL180" s="266">
        <f>SUM(I180:AK180)</f>
        <v>70350</v>
      </c>
      <c r="AM180" s="108"/>
      <c r="AN180" s="108"/>
      <c r="AO180" s="108"/>
      <c r="AP180" s="108"/>
      <c r="AQ180" s="108"/>
      <c r="AR180" s="108"/>
      <c r="AS180" s="428"/>
      <c r="AT180" s="428"/>
      <c r="AU180" s="121"/>
      <c r="AV180" s="428"/>
    </row>
    <row r="181" spans="1:48" hidden="1">
      <c r="A181" s="492"/>
      <c r="B181" s="500"/>
      <c r="C181" s="459"/>
      <c r="D181" s="265"/>
      <c r="E181" s="449"/>
      <c r="F181" s="459"/>
      <c r="G181" s="134"/>
      <c r="H181" s="187" t="s">
        <v>84</v>
      </c>
      <c r="I181" s="212">
        <v>3</v>
      </c>
      <c r="J181" s="212">
        <v>3</v>
      </c>
      <c r="K181" s="212">
        <v>3</v>
      </c>
      <c r="L181" s="376"/>
      <c r="M181" s="212">
        <v>3</v>
      </c>
      <c r="N181" s="212">
        <v>3</v>
      </c>
      <c r="O181" s="212">
        <v>3</v>
      </c>
      <c r="P181" s="376"/>
      <c r="Q181" s="376"/>
      <c r="R181" s="376"/>
      <c r="S181" s="376"/>
      <c r="T181" s="212">
        <v>3</v>
      </c>
      <c r="U181" s="212">
        <v>3</v>
      </c>
      <c r="V181" s="376"/>
      <c r="W181" s="212">
        <v>3</v>
      </c>
      <c r="X181" s="212">
        <v>3</v>
      </c>
      <c r="Y181" s="212">
        <v>3</v>
      </c>
      <c r="Z181" s="376"/>
      <c r="AA181" s="212">
        <v>3</v>
      </c>
      <c r="AB181" s="212">
        <v>3</v>
      </c>
      <c r="AC181" s="212">
        <v>3</v>
      </c>
      <c r="AD181" s="212">
        <v>3</v>
      </c>
      <c r="AE181" s="212">
        <v>3</v>
      </c>
      <c r="AF181" s="212">
        <v>3</v>
      </c>
      <c r="AG181" s="376"/>
      <c r="AH181" s="212">
        <v>3</v>
      </c>
      <c r="AI181" s="212">
        <v>3</v>
      </c>
      <c r="AJ181" s="212">
        <v>3</v>
      </c>
      <c r="AK181" s="212">
        <v>3</v>
      </c>
      <c r="AL181" s="266"/>
      <c r="AM181" s="108"/>
      <c r="AN181" s="108"/>
      <c r="AO181" s="108"/>
      <c r="AP181" s="108"/>
      <c r="AQ181" s="108"/>
      <c r="AR181" s="108"/>
      <c r="AS181" s="428"/>
      <c r="AT181" s="428"/>
      <c r="AU181" s="121"/>
      <c r="AV181" s="428"/>
    </row>
    <row r="182" spans="1:48" hidden="1">
      <c r="A182" s="492"/>
      <c r="B182" s="500"/>
      <c r="C182" s="459"/>
      <c r="D182" s="265"/>
      <c r="E182" s="449"/>
      <c r="F182" s="459"/>
      <c r="G182" s="134"/>
      <c r="H182" s="188" t="s">
        <v>15</v>
      </c>
      <c r="I182" s="215"/>
      <c r="J182" s="215"/>
      <c r="K182" s="215"/>
      <c r="L182" s="376"/>
      <c r="M182" s="215"/>
      <c r="N182" s="215"/>
      <c r="O182" s="215">
        <v>4018</v>
      </c>
      <c r="P182" s="376"/>
      <c r="Q182" s="376"/>
      <c r="R182" s="376"/>
      <c r="S182" s="376"/>
      <c r="T182" s="215">
        <f>1642+1377+1291+977+1326</f>
        <v>6613</v>
      </c>
      <c r="U182" s="215">
        <f>1502+862</f>
        <v>2364</v>
      </c>
      <c r="V182" s="376"/>
      <c r="W182" s="215"/>
      <c r="X182" s="215">
        <v>1637</v>
      </c>
      <c r="Y182" s="215"/>
      <c r="Z182" s="376"/>
      <c r="AA182" s="215"/>
      <c r="AB182" s="215"/>
      <c r="AC182" s="215"/>
      <c r="AD182" s="215"/>
      <c r="AE182" s="215"/>
      <c r="AF182" s="215"/>
      <c r="AG182" s="376"/>
      <c r="AH182" s="215"/>
      <c r="AI182" s="215"/>
      <c r="AJ182" s="215"/>
      <c r="AK182" s="215"/>
      <c r="AL182" s="265">
        <f>SUM(I182:AK182)</f>
        <v>14632</v>
      </c>
      <c r="AM182" s="108"/>
      <c r="AN182" s="108"/>
      <c r="AO182" s="108"/>
      <c r="AP182" s="428"/>
      <c r="AQ182" s="108"/>
      <c r="AR182" s="108"/>
      <c r="AS182" s="428"/>
      <c r="AT182" s="428"/>
      <c r="AU182" s="121"/>
      <c r="AV182" s="428"/>
    </row>
    <row r="183" spans="1:48" hidden="1">
      <c r="A183" s="492"/>
      <c r="B183" s="500"/>
      <c r="C183" s="459"/>
      <c r="D183" s="265"/>
      <c r="E183" s="449"/>
      <c r="F183" s="459"/>
      <c r="G183" s="134"/>
      <c r="H183" s="187" t="s">
        <v>85</v>
      </c>
      <c r="I183" s="212">
        <f>$N$189/4</f>
        <v>3350</v>
      </c>
      <c r="J183" s="212">
        <f>$N$189/4</f>
        <v>3350</v>
      </c>
      <c r="K183" s="212">
        <f>$N$189/4</f>
        <v>3350</v>
      </c>
      <c r="L183" s="376"/>
      <c r="M183" s="212">
        <f>$N$189/4</f>
        <v>3350</v>
      </c>
      <c r="N183" s="212">
        <f>$N$189/4</f>
        <v>3350</v>
      </c>
      <c r="O183" s="212">
        <f>$N$189/4</f>
        <v>3350</v>
      </c>
      <c r="P183" s="376"/>
      <c r="Q183" s="376"/>
      <c r="R183" s="376"/>
      <c r="S183" s="376"/>
      <c r="T183" s="212">
        <f>$N$189/4</f>
        <v>3350</v>
      </c>
      <c r="U183" s="212">
        <f>$N$189/4</f>
        <v>3350</v>
      </c>
      <c r="V183" s="376"/>
      <c r="W183" s="212">
        <f>$N$189/4</f>
        <v>3350</v>
      </c>
      <c r="X183" s="212">
        <f>$N$189/4</f>
        <v>3350</v>
      </c>
      <c r="Y183" s="212">
        <f>$N$189/4</f>
        <v>3350</v>
      </c>
      <c r="Z183" s="376"/>
      <c r="AA183" s="212">
        <f t="shared" ref="AA183:AF183" si="37">$N$189/4</f>
        <v>3350</v>
      </c>
      <c r="AB183" s="212">
        <f t="shared" si="37"/>
        <v>3350</v>
      </c>
      <c r="AC183" s="212">
        <f t="shared" si="37"/>
        <v>3350</v>
      </c>
      <c r="AD183" s="212">
        <f t="shared" si="37"/>
        <v>3350</v>
      </c>
      <c r="AE183" s="212">
        <f t="shared" si="37"/>
        <v>3350</v>
      </c>
      <c r="AF183" s="212">
        <f t="shared" si="37"/>
        <v>3350</v>
      </c>
      <c r="AG183" s="376"/>
      <c r="AH183" s="212">
        <f>$N$189/4</f>
        <v>3350</v>
      </c>
      <c r="AI183" s="212">
        <f>$N$189/4</f>
        <v>3350</v>
      </c>
      <c r="AJ183" s="212">
        <f>$N$189/4</f>
        <v>3350</v>
      </c>
      <c r="AK183" s="388">
        <f>$N$189/4</f>
        <v>3350</v>
      </c>
      <c r="AL183" s="266">
        <f>SUM(I183:AK183)</f>
        <v>70350</v>
      </c>
      <c r="AM183" s="108"/>
      <c r="AN183" s="108"/>
      <c r="AO183" s="108"/>
      <c r="AP183" s="428"/>
      <c r="AQ183" s="108"/>
      <c r="AR183" s="108"/>
      <c r="AS183" s="428"/>
      <c r="AT183" s="428"/>
      <c r="AU183" s="121"/>
      <c r="AV183" s="428"/>
    </row>
    <row r="184" spans="1:48" hidden="1">
      <c r="A184" s="492"/>
      <c r="B184" s="500"/>
      <c r="C184" s="459"/>
      <c r="D184" s="265"/>
      <c r="E184" s="449"/>
      <c r="F184" s="459"/>
      <c r="G184" s="134"/>
      <c r="H184" s="187" t="s">
        <v>84</v>
      </c>
      <c r="I184" s="212">
        <v>3</v>
      </c>
      <c r="J184" s="212">
        <v>3</v>
      </c>
      <c r="K184" s="212">
        <v>3</v>
      </c>
      <c r="L184" s="376"/>
      <c r="M184" s="212">
        <v>3</v>
      </c>
      <c r="N184" s="212">
        <v>3</v>
      </c>
      <c r="O184" s="212">
        <v>3</v>
      </c>
      <c r="P184" s="376"/>
      <c r="Q184" s="376"/>
      <c r="R184" s="376"/>
      <c r="S184" s="376"/>
      <c r="T184" s="212">
        <v>3</v>
      </c>
      <c r="U184" s="212">
        <v>3</v>
      </c>
      <c r="V184" s="376"/>
      <c r="W184" s="212">
        <v>3</v>
      </c>
      <c r="X184" s="212">
        <v>3</v>
      </c>
      <c r="Y184" s="212">
        <v>3</v>
      </c>
      <c r="Z184" s="376"/>
      <c r="AA184" s="212">
        <v>3</v>
      </c>
      <c r="AB184" s="212">
        <v>3</v>
      </c>
      <c r="AC184" s="212">
        <v>3</v>
      </c>
      <c r="AD184" s="212">
        <v>3</v>
      </c>
      <c r="AE184" s="212">
        <v>3</v>
      </c>
      <c r="AF184" s="212">
        <v>3</v>
      </c>
      <c r="AG184" s="376"/>
      <c r="AH184" s="212">
        <v>3</v>
      </c>
      <c r="AI184" s="212">
        <v>3</v>
      </c>
      <c r="AJ184" s="212">
        <v>3</v>
      </c>
      <c r="AK184" s="388">
        <v>3</v>
      </c>
      <c r="AL184" s="266"/>
      <c r="AM184" s="108"/>
      <c r="AN184" s="108"/>
      <c r="AO184" s="108"/>
      <c r="AP184" s="428"/>
      <c r="AQ184" s="108"/>
      <c r="AR184" s="108"/>
      <c r="AS184" s="428"/>
      <c r="AT184" s="428"/>
      <c r="AU184" s="121"/>
      <c r="AV184" s="428"/>
    </row>
    <row r="185" spans="1:48" hidden="1">
      <c r="A185" s="492"/>
      <c r="B185" s="500"/>
      <c r="C185" s="459"/>
      <c r="D185" s="265"/>
      <c r="E185" s="449"/>
      <c r="F185" s="459"/>
      <c r="G185" s="134"/>
      <c r="H185" s="188" t="s">
        <v>15</v>
      </c>
      <c r="I185" s="215">
        <v>4456</v>
      </c>
      <c r="J185" s="215">
        <v>4536</v>
      </c>
      <c r="K185" s="215">
        <v>7057</v>
      </c>
      <c r="L185" s="376"/>
      <c r="M185" s="215">
        <v>5034</v>
      </c>
      <c r="N185" s="215">
        <v>8037</v>
      </c>
      <c r="O185" s="215">
        <v>6729</v>
      </c>
      <c r="P185" s="376"/>
      <c r="Q185" s="376"/>
      <c r="R185" s="376"/>
      <c r="S185" s="376"/>
      <c r="T185" s="215">
        <v>7188</v>
      </c>
      <c r="U185" s="215">
        <v>7441</v>
      </c>
      <c r="V185" s="376"/>
      <c r="W185" s="215">
        <f>1323+479+1189+1447+1464+1414</f>
        <v>7316</v>
      </c>
      <c r="X185" s="215">
        <v>573</v>
      </c>
      <c r="Y185" s="215"/>
      <c r="Z185" s="376"/>
      <c r="AA185" s="215"/>
      <c r="AB185" s="215"/>
      <c r="AC185" s="215"/>
      <c r="AD185" s="215"/>
      <c r="AE185" s="215"/>
      <c r="AF185" s="215"/>
      <c r="AG185" s="376"/>
      <c r="AH185" s="215"/>
      <c r="AI185" s="215"/>
      <c r="AJ185" s="215"/>
      <c r="AK185" s="389"/>
      <c r="AL185" s="265">
        <f>SUM(I185:AK185)</f>
        <v>58367</v>
      </c>
      <c r="AM185" s="108"/>
      <c r="AN185" s="108"/>
      <c r="AO185" s="108"/>
      <c r="AP185" s="428"/>
      <c r="AQ185" s="108"/>
      <c r="AR185" s="108"/>
      <c r="AS185" s="428"/>
      <c r="AT185" s="428"/>
      <c r="AU185" s="121"/>
      <c r="AV185" s="428"/>
    </row>
    <row r="186" spans="1:48" hidden="1">
      <c r="A186" s="492"/>
      <c r="B186" s="500"/>
      <c r="C186" s="459"/>
      <c r="D186" s="265"/>
      <c r="E186" s="449"/>
      <c r="F186" s="459"/>
      <c r="G186" s="134" t="s">
        <v>86</v>
      </c>
      <c r="H186" s="187" t="s">
        <v>32</v>
      </c>
      <c r="I186" s="212"/>
      <c r="J186" s="212"/>
      <c r="K186" s="212"/>
      <c r="L186" s="376"/>
      <c r="M186" s="212"/>
      <c r="N186" s="212">
        <f>3350*4</f>
        <v>13400</v>
      </c>
      <c r="O186" s="212"/>
      <c r="P186" s="376"/>
      <c r="Q186" s="376"/>
      <c r="R186" s="376"/>
      <c r="S186" s="376"/>
      <c r="T186" s="212"/>
      <c r="U186" s="212"/>
      <c r="V186" s="376"/>
      <c r="W186" s="212">
        <f>3350*4</f>
        <v>13400</v>
      </c>
      <c r="X186" s="212"/>
      <c r="Y186" s="212"/>
      <c r="Z186" s="376"/>
      <c r="AA186" s="212"/>
      <c r="AB186" s="212">
        <f>3350*4</f>
        <v>13400</v>
      </c>
      <c r="AC186" s="212"/>
      <c r="AD186" s="212"/>
      <c r="AE186" s="212"/>
      <c r="AF186" s="212">
        <f>3350*4</f>
        <v>13400</v>
      </c>
      <c r="AG186" s="376"/>
      <c r="AH186" s="212"/>
      <c r="AI186" s="212"/>
      <c r="AJ186" s="212"/>
      <c r="AK186" s="212">
        <f>3350*4</f>
        <v>13400</v>
      </c>
      <c r="AL186" s="266">
        <f>SUM(I186:AK186)</f>
        <v>67000</v>
      </c>
      <c r="AM186" s="108"/>
      <c r="AN186" s="108"/>
      <c r="AO186" s="108"/>
      <c r="AP186" s="428"/>
      <c r="AQ186" s="108"/>
      <c r="AR186" s="108"/>
      <c r="AS186" s="428"/>
      <c r="AT186" s="428"/>
      <c r="AU186" s="121"/>
      <c r="AV186" s="428"/>
    </row>
    <row r="187" spans="1:48" hidden="1">
      <c r="A187" s="492"/>
      <c r="B187" s="500"/>
      <c r="C187" s="459"/>
      <c r="D187" s="265"/>
      <c r="E187" s="449"/>
      <c r="F187" s="459"/>
      <c r="G187" s="134"/>
      <c r="H187" s="187" t="s">
        <v>51</v>
      </c>
      <c r="I187" s="212"/>
      <c r="J187" s="212"/>
      <c r="K187" s="212"/>
      <c r="L187" s="376"/>
      <c r="M187" s="212"/>
      <c r="N187" s="212">
        <v>1</v>
      </c>
      <c r="O187" s="212"/>
      <c r="P187" s="376"/>
      <c r="Q187" s="376"/>
      <c r="R187" s="376"/>
      <c r="S187" s="376"/>
      <c r="T187" s="212"/>
      <c r="U187" s="212"/>
      <c r="V187" s="376"/>
      <c r="W187" s="212">
        <v>1</v>
      </c>
      <c r="X187" s="212"/>
      <c r="Y187" s="212"/>
      <c r="Z187" s="376"/>
      <c r="AA187" s="212"/>
      <c r="AB187" s="212">
        <v>1</v>
      </c>
      <c r="AC187" s="212"/>
      <c r="AD187" s="212"/>
      <c r="AE187" s="212"/>
      <c r="AF187" s="212">
        <v>1</v>
      </c>
      <c r="AG187" s="376"/>
      <c r="AH187" s="212"/>
      <c r="AI187" s="212"/>
      <c r="AJ187" s="212"/>
      <c r="AK187" s="212">
        <v>1</v>
      </c>
      <c r="AL187" s="266"/>
      <c r="AM187" s="108"/>
      <c r="AN187" s="108"/>
      <c r="AO187" s="108"/>
      <c r="AP187" s="428"/>
      <c r="AQ187" s="108"/>
      <c r="AR187" s="108"/>
      <c r="AS187" s="428"/>
      <c r="AT187" s="428"/>
      <c r="AU187" s="121"/>
      <c r="AV187" s="428"/>
    </row>
    <row r="188" spans="1:48" hidden="1">
      <c r="A188" s="492"/>
      <c r="B188" s="500"/>
      <c r="C188" s="459"/>
      <c r="D188" s="265"/>
      <c r="E188" s="449"/>
      <c r="F188" s="459"/>
      <c r="G188" s="134"/>
      <c r="H188" s="188" t="s">
        <v>15</v>
      </c>
      <c r="I188" s="215"/>
      <c r="J188" s="215"/>
      <c r="K188" s="215"/>
      <c r="L188" s="376"/>
      <c r="M188" s="215"/>
      <c r="N188" s="215"/>
      <c r="O188" s="215"/>
      <c r="P188" s="376"/>
      <c r="Q188" s="376"/>
      <c r="R188" s="376"/>
      <c r="S188" s="376"/>
      <c r="T188" s="215"/>
      <c r="U188" s="215"/>
      <c r="V188" s="376"/>
      <c r="W188" s="215"/>
      <c r="X188" s="215"/>
      <c r="Y188" s="215"/>
      <c r="Z188" s="376"/>
      <c r="AA188" s="215"/>
      <c r="AB188" s="215"/>
      <c r="AC188" s="215"/>
      <c r="AD188" s="215"/>
      <c r="AE188" s="215"/>
      <c r="AF188" s="215"/>
      <c r="AG188" s="376"/>
      <c r="AH188" s="215"/>
      <c r="AI188" s="215"/>
      <c r="AJ188" s="215"/>
      <c r="AK188" s="215"/>
      <c r="AL188" s="265">
        <f>SUM(I188:AK188)</f>
        <v>0</v>
      </c>
      <c r="AM188" s="108"/>
      <c r="AN188" s="108"/>
      <c r="AO188" s="108"/>
      <c r="AP188" s="428"/>
      <c r="AQ188" s="108"/>
      <c r="AR188" s="108"/>
      <c r="AS188" s="428"/>
      <c r="AT188" s="428"/>
      <c r="AU188" s="121"/>
      <c r="AV188" s="428"/>
    </row>
    <row r="189" spans="1:48" hidden="1">
      <c r="A189" s="492"/>
      <c r="B189" s="500"/>
      <c r="C189" s="459"/>
      <c r="D189" s="265"/>
      <c r="E189" s="265"/>
      <c r="F189" s="459"/>
      <c r="G189" s="134" t="s">
        <v>87</v>
      </c>
      <c r="H189" s="187" t="s">
        <v>32</v>
      </c>
      <c r="I189" s="212"/>
      <c r="J189" s="212"/>
      <c r="K189" s="212"/>
      <c r="L189" s="376"/>
      <c r="M189" s="212"/>
      <c r="N189" s="212">
        <f>3350*4</f>
        <v>13400</v>
      </c>
      <c r="O189" s="212"/>
      <c r="P189" s="376"/>
      <c r="Q189" s="376"/>
      <c r="R189" s="376"/>
      <c r="S189" s="376"/>
      <c r="T189" s="212"/>
      <c r="U189" s="212"/>
      <c r="V189" s="376"/>
      <c r="W189" s="212">
        <f>3350*4</f>
        <v>13400</v>
      </c>
      <c r="X189" s="212"/>
      <c r="Y189" s="212"/>
      <c r="Z189" s="376"/>
      <c r="AA189" s="212"/>
      <c r="AB189" s="212">
        <f>3350*4</f>
        <v>13400</v>
      </c>
      <c r="AC189" s="212"/>
      <c r="AD189" s="212"/>
      <c r="AE189" s="212"/>
      <c r="AF189" s="212">
        <f>3350*4</f>
        <v>13400</v>
      </c>
      <c r="AG189" s="376"/>
      <c r="AH189" s="212"/>
      <c r="AI189" s="212"/>
      <c r="AJ189" s="212"/>
      <c r="AK189" s="388">
        <f>3350*4</f>
        <v>13400</v>
      </c>
      <c r="AL189" s="256">
        <f>SUM(I189:AK189)</f>
        <v>67000</v>
      </c>
      <c r="AM189" s="108"/>
      <c r="AN189" s="108"/>
      <c r="AO189" s="108"/>
      <c r="AP189" s="108"/>
      <c r="AQ189" s="108"/>
      <c r="AR189" s="108"/>
      <c r="AS189" s="108"/>
      <c r="AT189" s="108"/>
      <c r="AU189" s="121"/>
      <c r="AV189" s="108"/>
    </row>
    <row r="190" spans="1:48" hidden="1">
      <c r="A190" s="492"/>
      <c r="B190" s="500"/>
      <c r="C190" s="459"/>
      <c r="D190" s="265"/>
      <c r="E190" s="265"/>
      <c r="F190" s="459"/>
      <c r="G190" s="134"/>
      <c r="H190" s="187" t="s">
        <v>51</v>
      </c>
      <c r="I190" s="212"/>
      <c r="J190" s="212"/>
      <c r="K190" s="212"/>
      <c r="L190" s="376"/>
      <c r="M190" s="212"/>
      <c r="N190" s="212">
        <v>1</v>
      </c>
      <c r="O190" s="212"/>
      <c r="P190" s="376"/>
      <c r="Q190" s="376"/>
      <c r="R190" s="376"/>
      <c r="S190" s="376"/>
      <c r="T190" s="212"/>
      <c r="U190" s="212"/>
      <c r="V190" s="376"/>
      <c r="W190" s="212"/>
      <c r="X190" s="212"/>
      <c r="Y190" s="212"/>
      <c r="Z190" s="376"/>
      <c r="AA190" s="212"/>
      <c r="AB190" s="212"/>
      <c r="AC190" s="212"/>
      <c r="AD190" s="212"/>
      <c r="AE190" s="212"/>
      <c r="AF190" s="212"/>
      <c r="AG190" s="376"/>
      <c r="AH190" s="212"/>
      <c r="AI190" s="212"/>
      <c r="AJ190" s="212"/>
      <c r="AK190" s="388"/>
      <c r="AL190" s="256"/>
      <c r="AM190" s="108"/>
      <c r="AN190" s="108"/>
      <c r="AO190" s="108"/>
      <c r="AP190" s="108"/>
      <c r="AQ190" s="108"/>
      <c r="AR190" s="108"/>
      <c r="AS190" s="108"/>
      <c r="AT190" s="108"/>
      <c r="AU190" s="121"/>
      <c r="AV190" s="108"/>
    </row>
    <row r="191" spans="1:48" hidden="1">
      <c r="A191" s="493"/>
      <c r="B191" s="507"/>
      <c r="C191" s="460"/>
      <c r="D191" s="290"/>
      <c r="E191" s="138"/>
      <c r="F191" s="460"/>
      <c r="G191" s="135"/>
      <c r="H191" s="192" t="s">
        <v>15</v>
      </c>
      <c r="I191" s="220"/>
      <c r="J191" s="220"/>
      <c r="K191" s="220"/>
      <c r="L191" s="397"/>
      <c r="M191" s="220"/>
      <c r="N191" s="220"/>
      <c r="O191" s="220"/>
      <c r="P191" s="397"/>
      <c r="Q191" s="397"/>
      <c r="R191" s="397"/>
      <c r="S191" s="397"/>
      <c r="T191" s="220"/>
      <c r="U191" s="220"/>
      <c r="V191" s="397"/>
      <c r="W191" s="220"/>
      <c r="X191" s="220"/>
      <c r="Y191" s="220"/>
      <c r="Z191" s="397"/>
      <c r="AA191" s="220"/>
      <c r="AB191" s="220"/>
      <c r="AC191" s="220"/>
      <c r="AD191" s="220"/>
      <c r="AE191" s="220"/>
      <c r="AF191" s="220"/>
      <c r="AG191" s="397"/>
      <c r="AH191" s="220"/>
      <c r="AI191" s="220"/>
      <c r="AJ191" s="220"/>
      <c r="AK191" s="400"/>
      <c r="AL191" s="253">
        <f>SUM(I191:AK191)</f>
        <v>0</v>
      </c>
      <c r="AM191" s="108"/>
      <c r="AN191" s="108"/>
      <c r="AO191" s="108"/>
      <c r="AP191" s="108"/>
      <c r="AQ191" s="108"/>
      <c r="AR191" s="108"/>
      <c r="AS191" s="108"/>
      <c r="AT191" s="108"/>
      <c r="AU191" s="121"/>
      <c r="AV191" s="108"/>
    </row>
    <row r="192" spans="1:48" hidden="1">
      <c r="A192" s="494" t="s">
        <v>88</v>
      </c>
      <c r="B192" s="499" t="s">
        <v>89</v>
      </c>
      <c r="C192" s="463">
        <v>3350</v>
      </c>
      <c r="D192" s="467">
        <v>1.4750000000000001</v>
      </c>
      <c r="E192" s="61"/>
      <c r="F192" s="432" t="s">
        <v>90</v>
      </c>
      <c r="G192" s="132">
        <v>0.08</v>
      </c>
      <c r="H192" s="185" t="s">
        <v>12</v>
      </c>
      <c r="I192" s="275"/>
      <c r="J192" s="275"/>
      <c r="K192" s="275"/>
      <c r="L192" s="379"/>
      <c r="M192" s="275"/>
      <c r="N192" s="275"/>
      <c r="O192" s="275"/>
      <c r="P192" s="379"/>
      <c r="Q192" s="379"/>
      <c r="R192" s="379"/>
      <c r="S192" s="379"/>
      <c r="T192" s="275"/>
      <c r="U192" s="275"/>
      <c r="V192" s="379"/>
      <c r="W192" s="275">
        <f>24*3</f>
        <v>72</v>
      </c>
      <c r="X192" s="291"/>
      <c r="Y192" s="275"/>
      <c r="Z192" s="379"/>
      <c r="AA192" s="275">
        <f>24*3</f>
        <v>72</v>
      </c>
      <c r="AB192" s="291"/>
      <c r="AC192" s="275"/>
      <c r="AD192" s="275">
        <f>24*3</f>
        <v>72</v>
      </c>
      <c r="AE192" s="291"/>
      <c r="AF192" s="275"/>
      <c r="AG192" s="379"/>
      <c r="AH192" s="275">
        <f>24*3</f>
        <v>72</v>
      </c>
      <c r="AI192" s="291"/>
      <c r="AJ192" s="275"/>
      <c r="AK192" s="401"/>
      <c r="AL192" s="253"/>
      <c r="AM192" s="108"/>
      <c r="AN192" s="108"/>
      <c r="AO192" s="108"/>
      <c r="AP192" s="108"/>
      <c r="AQ192" s="108"/>
      <c r="AR192" s="108"/>
      <c r="AS192" s="428"/>
      <c r="AT192" s="428"/>
      <c r="AU192" s="121"/>
      <c r="AV192" s="428"/>
    </row>
    <row r="193" spans="1:48" hidden="1">
      <c r="A193" s="490"/>
      <c r="B193" s="500"/>
      <c r="C193" s="443"/>
      <c r="D193" s="468"/>
      <c r="E193" s="63"/>
      <c r="F193" s="433"/>
      <c r="G193" s="133"/>
      <c r="H193" s="187" t="s">
        <v>14</v>
      </c>
      <c r="I193" s="233"/>
      <c r="J193" s="233"/>
      <c r="K193" s="233"/>
      <c r="L193" s="398"/>
      <c r="M193" s="233"/>
      <c r="N193" s="233"/>
      <c r="O193" s="233"/>
      <c r="P193" s="398"/>
      <c r="Q193" s="398"/>
      <c r="R193" s="398"/>
      <c r="S193" s="398"/>
      <c r="T193" s="233"/>
      <c r="U193" s="233"/>
      <c r="V193" s="398"/>
      <c r="W193" s="233">
        <v>1</v>
      </c>
      <c r="X193" s="190"/>
      <c r="Y193" s="233"/>
      <c r="Z193" s="398"/>
      <c r="AA193" s="233">
        <v>1</v>
      </c>
      <c r="AB193" s="190"/>
      <c r="AC193" s="233"/>
      <c r="AD193" s="233">
        <v>1</v>
      </c>
      <c r="AE193" s="190"/>
      <c r="AF193" s="233"/>
      <c r="AG193" s="398"/>
      <c r="AH193" s="233">
        <v>1</v>
      </c>
      <c r="AI193" s="190"/>
      <c r="AJ193" s="233"/>
      <c r="AK193" s="395"/>
      <c r="AL193" s="253"/>
      <c r="AM193" s="108"/>
      <c r="AN193" s="108"/>
      <c r="AO193" s="108"/>
      <c r="AP193" s="108"/>
      <c r="AQ193" s="108"/>
      <c r="AR193" s="108"/>
      <c r="AS193" s="428"/>
      <c r="AT193" s="428"/>
      <c r="AU193" s="121"/>
      <c r="AV193" s="428"/>
    </row>
    <row r="194" spans="1:48" hidden="1">
      <c r="A194" s="490"/>
      <c r="B194" s="500"/>
      <c r="C194" s="443"/>
      <c r="D194" s="468"/>
      <c r="E194" s="63"/>
      <c r="F194" s="433"/>
      <c r="G194" s="133"/>
      <c r="H194" s="188" t="s">
        <v>15</v>
      </c>
      <c r="I194" s="278"/>
      <c r="J194" s="278"/>
      <c r="K194" s="278"/>
      <c r="L194" s="398"/>
      <c r="M194" s="278"/>
      <c r="N194" s="278"/>
      <c r="O194" s="278"/>
      <c r="P194" s="398"/>
      <c r="Q194" s="398"/>
      <c r="R194" s="398"/>
      <c r="S194" s="398"/>
      <c r="T194" s="278"/>
      <c r="U194" s="278"/>
      <c r="V194" s="398"/>
      <c r="W194" s="278"/>
      <c r="X194" s="215"/>
      <c r="Y194" s="278"/>
      <c r="Z194" s="398"/>
      <c r="AA194" s="278"/>
      <c r="AB194" s="215"/>
      <c r="AC194" s="278"/>
      <c r="AD194" s="278"/>
      <c r="AE194" s="215"/>
      <c r="AF194" s="278"/>
      <c r="AG194" s="398"/>
      <c r="AH194" s="278"/>
      <c r="AI194" s="215"/>
      <c r="AJ194" s="278"/>
      <c r="AK194" s="402"/>
      <c r="AL194" s="253"/>
      <c r="AM194" s="108"/>
      <c r="AN194" s="108"/>
      <c r="AO194" s="108"/>
      <c r="AP194" s="108"/>
      <c r="AQ194" s="108"/>
      <c r="AR194" s="108"/>
      <c r="AS194" s="428"/>
      <c r="AT194" s="428"/>
      <c r="AU194" s="121"/>
      <c r="AV194" s="428"/>
    </row>
    <row r="195" spans="1:48" hidden="1">
      <c r="A195" s="490"/>
      <c r="B195" s="500"/>
      <c r="C195" s="443"/>
      <c r="D195" s="468"/>
      <c r="E195" s="63"/>
      <c r="F195" s="433"/>
      <c r="G195" s="133">
        <v>0.254</v>
      </c>
      <c r="H195" s="189" t="s">
        <v>12</v>
      </c>
      <c r="I195" s="190"/>
      <c r="J195" s="233"/>
      <c r="K195" s="233"/>
      <c r="L195" s="398"/>
      <c r="M195" s="233"/>
      <c r="N195" s="233"/>
      <c r="O195" s="233"/>
      <c r="P195" s="398"/>
      <c r="Q195" s="398"/>
      <c r="R195" s="398"/>
      <c r="S195" s="398"/>
      <c r="T195" s="233"/>
      <c r="U195" s="233"/>
      <c r="V195" s="398"/>
      <c r="W195" s="233">
        <v>240</v>
      </c>
      <c r="X195" s="233"/>
      <c r="Y195" s="233"/>
      <c r="Z195" s="398"/>
      <c r="AA195" s="233"/>
      <c r="AB195" s="233"/>
      <c r="AC195" s="233"/>
      <c r="AD195" s="233"/>
      <c r="AE195" s="233"/>
      <c r="AF195" s="233"/>
      <c r="AG195" s="398"/>
      <c r="AH195" s="233"/>
      <c r="AI195" s="233"/>
      <c r="AJ195" s="233"/>
      <c r="AK195" s="395"/>
      <c r="AL195" s="253"/>
      <c r="AM195" s="108"/>
      <c r="AN195" s="108"/>
      <c r="AO195" s="108"/>
      <c r="AP195" s="108"/>
      <c r="AQ195" s="108"/>
      <c r="AR195" s="108"/>
      <c r="AS195" s="428"/>
      <c r="AT195" s="428"/>
      <c r="AU195" s="121"/>
      <c r="AV195" s="428"/>
    </row>
    <row r="196" spans="1:48" hidden="1">
      <c r="A196" s="490"/>
      <c r="B196" s="500"/>
      <c r="C196" s="443"/>
      <c r="D196" s="468"/>
      <c r="E196" s="63"/>
      <c r="F196" s="433"/>
      <c r="G196" s="133"/>
      <c r="H196" s="187" t="s">
        <v>14</v>
      </c>
      <c r="I196" s="190"/>
      <c r="J196" s="233"/>
      <c r="K196" s="233"/>
      <c r="L196" s="398"/>
      <c r="M196" s="233"/>
      <c r="N196" s="233"/>
      <c r="O196" s="233"/>
      <c r="P196" s="398"/>
      <c r="Q196" s="398"/>
      <c r="R196" s="398"/>
      <c r="S196" s="398"/>
      <c r="T196" s="233"/>
      <c r="U196" s="233"/>
      <c r="V196" s="398"/>
      <c r="W196" s="233">
        <v>1</v>
      </c>
      <c r="X196" s="233"/>
      <c r="Y196" s="233"/>
      <c r="Z196" s="398"/>
      <c r="AA196" s="233"/>
      <c r="AB196" s="233"/>
      <c r="AC196" s="233"/>
      <c r="AD196" s="233"/>
      <c r="AE196" s="233"/>
      <c r="AF196" s="233"/>
      <c r="AG196" s="398"/>
      <c r="AH196" s="233"/>
      <c r="AI196" s="233"/>
      <c r="AJ196" s="233"/>
      <c r="AK196" s="395"/>
      <c r="AL196" s="253"/>
      <c r="AM196" s="108"/>
      <c r="AN196" s="108"/>
      <c r="AO196" s="108"/>
      <c r="AP196" s="108"/>
      <c r="AQ196" s="108"/>
      <c r="AR196" s="108"/>
      <c r="AS196" s="428"/>
      <c r="AT196" s="428"/>
      <c r="AU196" s="121"/>
      <c r="AV196" s="428"/>
    </row>
    <row r="197" spans="1:48" hidden="1">
      <c r="A197" s="490"/>
      <c r="B197" s="500"/>
      <c r="C197" s="443"/>
      <c r="D197" s="468"/>
      <c r="E197" s="63"/>
      <c r="F197" s="433"/>
      <c r="G197" s="133"/>
      <c r="H197" s="188" t="s">
        <v>15</v>
      </c>
      <c r="I197" s="215"/>
      <c r="J197" s="278"/>
      <c r="K197" s="278"/>
      <c r="L197" s="398"/>
      <c r="M197" s="278"/>
      <c r="N197" s="278"/>
      <c r="O197" s="278"/>
      <c r="P197" s="398"/>
      <c r="Q197" s="398"/>
      <c r="R197" s="398"/>
      <c r="S197" s="398"/>
      <c r="T197" s="278"/>
      <c r="U197" s="278"/>
      <c r="V197" s="398"/>
      <c r="W197" s="278"/>
      <c r="X197" s="278"/>
      <c r="Y197" s="278"/>
      <c r="Z197" s="398"/>
      <c r="AA197" s="278"/>
      <c r="AB197" s="278"/>
      <c r="AC197" s="278"/>
      <c r="AD197" s="278"/>
      <c r="AE197" s="278"/>
      <c r="AF197" s="278"/>
      <c r="AG197" s="398"/>
      <c r="AH197" s="278"/>
      <c r="AI197" s="278"/>
      <c r="AJ197" s="278"/>
      <c r="AK197" s="402"/>
      <c r="AL197" s="253"/>
      <c r="AM197" s="108"/>
      <c r="AN197" s="108"/>
      <c r="AO197" s="108"/>
      <c r="AP197" s="108"/>
      <c r="AQ197" s="108"/>
      <c r="AR197" s="108"/>
      <c r="AS197" s="428"/>
      <c r="AT197" s="428"/>
      <c r="AU197" s="121"/>
      <c r="AV197" s="428"/>
    </row>
    <row r="198" spans="1:48" hidden="1">
      <c r="A198" s="490"/>
      <c r="B198" s="500"/>
      <c r="C198" s="443"/>
      <c r="D198" s="468"/>
      <c r="E198" s="63"/>
      <c r="F198" s="433"/>
      <c r="G198" s="133" t="s">
        <v>91</v>
      </c>
      <c r="H198" s="189" t="s">
        <v>92</v>
      </c>
      <c r="I198" s="233"/>
      <c r="J198" s="233"/>
      <c r="K198" s="233"/>
      <c r="L198" s="398"/>
      <c r="M198" s="233"/>
      <c r="N198" s="233"/>
      <c r="O198" s="190"/>
      <c r="P198" s="398"/>
      <c r="Q198" s="398"/>
      <c r="R198" s="398"/>
      <c r="S198" s="398"/>
      <c r="T198" s="233"/>
      <c r="U198" s="233"/>
      <c r="V198" s="398"/>
      <c r="W198" s="233">
        <v>60</v>
      </c>
      <c r="X198" s="233"/>
      <c r="Y198" s="233"/>
      <c r="Z198" s="398"/>
      <c r="AA198" s="233">
        <v>60</v>
      </c>
      <c r="AB198" s="233"/>
      <c r="AC198" s="233"/>
      <c r="AD198" s="233"/>
      <c r="AE198" s="233"/>
      <c r="AF198" s="233"/>
      <c r="AG198" s="398"/>
      <c r="AH198" s="233"/>
      <c r="AI198" s="233"/>
      <c r="AJ198" s="233"/>
      <c r="AK198" s="395"/>
      <c r="AL198" s="253"/>
      <c r="AM198" s="108"/>
      <c r="AN198" s="108"/>
      <c r="AO198" s="108"/>
      <c r="AP198" s="108"/>
      <c r="AQ198" s="108"/>
      <c r="AR198" s="108"/>
      <c r="AS198" s="428"/>
      <c r="AT198" s="428"/>
      <c r="AU198" s="121"/>
      <c r="AV198" s="428"/>
    </row>
    <row r="199" spans="1:48" hidden="1">
      <c r="A199" s="490"/>
      <c r="B199" s="500"/>
      <c r="C199" s="443"/>
      <c r="D199" s="468"/>
      <c r="E199" s="63"/>
      <c r="F199" s="433"/>
      <c r="G199" s="133"/>
      <c r="H199" s="187" t="s">
        <v>14</v>
      </c>
      <c r="I199" s="233"/>
      <c r="J199" s="233"/>
      <c r="K199" s="233"/>
      <c r="L199" s="398"/>
      <c r="M199" s="233"/>
      <c r="N199" s="233"/>
      <c r="O199" s="190"/>
      <c r="P199" s="398"/>
      <c r="Q199" s="398"/>
      <c r="R199" s="398"/>
      <c r="S199" s="398"/>
      <c r="T199" s="233"/>
      <c r="U199" s="233"/>
      <c r="V199" s="398"/>
      <c r="W199" s="233">
        <v>0.25</v>
      </c>
      <c r="X199" s="233"/>
      <c r="Y199" s="233"/>
      <c r="Z199" s="398"/>
      <c r="AA199" s="233">
        <v>0.25</v>
      </c>
      <c r="AB199" s="233"/>
      <c r="AC199" s="233"/>
      <c r="AD199" s="233"/>
      <c r="AE199" s="233"/>
      <c r="AF199" s="233"/>
      <c r="AG199" s="398"/>
      <c r="AH199" s="233"/>
      <c r="AI199" s="233"/>
      <c r="AJ199" s="233"/>
      <c r="AK199" s="395"/>
      <c r="AL199" s="253"/>
      <c r="AM199" s="108"/>
      <c r="AN199" s="108"/>
      <c r="AO199" s="108"/>
      <c r="AP199" s="108"/>
      <c r="AQ199" s="108"/>
      <c r="AR199" s="108"/>
      <c r="AS199" s="428"/>
      <c r="AT199" s="428"/>
      <c r="AU199" s="121"/>
      <c r="AV199" s="428"/>
    </row>
    <row r="200" spans="1:48" hidden="1">
      <c r="A200" s="490"/>
      <c r="B200" s="500"/>
      <c r="C200" s="443"/>
      <c r="D200" s="468"/>
      <c r="E200" s="63"/>
      <c r="F200" s="433"/>
      <c r="G200" s="133"/>
      <c r="H200" s="188" t="s">
        <v>15</v>
      </c>
      <c r="I200" s="278"/>
      <c r="J200" s="278"/>
      <c r="K200" s="278"/>
      <c r="L200" s="398"/>
      <c r="M200" s="278"/>
      <c r="N200" s="278"/>
      <c r="O200" s="215"/>
      <c r="P200" s="398"/>
      <c r="Q200" s="398"/>
      <c r="R200" s="398"/>
      <c r="S200" s="398"/>
      <c r="T200" s="278"/>
      <c r="U200" s="278"/>
      <c r="V200" s="398"/>
      <c r="W200" s="278"/>
      <c r="X200" s="278"/>
      <c r="Y200" s="278"/>
      <c r="Z200" s="398"/>
      <c r="AA200" s="278"/>
      <c r="AB200" s="278"/>
      <c r="AC200" s="278"/>
      <c r="AD200" s="278"/>
      <c r="AE200" s="278"/>
      <c r="AF200" s="278"/>
      <c r="AG200" s="398"/>
      <c r="AH200" s="278"/>
      <c r="AI200" s="278"/>
      <c r="AJ200" s="278"/>
      <c r="AK200" s="402"/>
      <c r="AL200" s="253"/>
      <c r="AM200" s="108"/>
      <c r="AN200" s="108"/>
      <c r="AO200" s="108"/>
      <c r="AP200" s="108"/>
      <c r="AQ200" s="108"/>
      <c r="AR200" s="108"/>
      <c r="AS200" s="428"/>
      <c r="AT200" s="428"/>
      <c r="AU200" s="121"/>
      <c r="AV200" s="428"/>
    </row>
    <row r="201" spans="1:48" hidden="1">
      <c r="A201" s="490"/>
      <c r="B201" s="500"/>
      <c r="C201" s="443"/>
      <c r="D201" s="468"/>
      <c r="E201" s="63"/>
      <c r="F201" s="433"/>
      <c r="G201" s="133" t="s">
        <v>93</v>
      </c>
      <c r="H201" s="189" t="s">
        <v>92</v>
      </c>
      <c r="I201" s="233"/>
      <c r="J201" s="233"/>
      <c r="K201" s="233"/>
      <c r="L201" s="398"/>
      <c r="M201" s="233"/>
      <c r="N201" s="233"/>
      <c r="O201" s="190"/>
      <c r="P201" s="398"/>
      <c r="Q201" s="398"/>
      <c r="R201" s="398"/>
      <c r="S201" s="398"/>
      <c r="T201" s="190"/>
      <c r="U201" s="190"/>
      <c r="V201" s="398"/>
      <c r="W201" s="233">
        <v>80</v>
      </c>
      <c r="X201" s="233">
        <v>80</v>
      </c>
      <c r="Y201" s="233">
        <v>80</v>
      </c>
      <c r="Z201" s="398"/>
      <c r="AA201" s="233"/>
      <c r="AB201" s="233"/>
      <c r="AC201" s="233"/>
      <c r="AD201" s="233"/>
      <c r="AE201" s="233"/>
      <c r="AF201" s="233"/>
      <c r="AG201" s="398"/>
      <c r="AH201" s="233"/>
      <c r="AI201" s="233"/>
      <c r="AJ201" s="233"/>
      <c r="AK201" s="395"/>
      <c r="AL201" s="253"/>
      <c r="AM201" s="108"/>
      <c r="AN201" s="108"/>
      <c r="AO201" s="108"/>
      <c r="AP201" s="108"/>
      <c r="AQ201" s="108"/>
      <c r="AR201" s="108"/>
      <c r="AS201" s="428"/>
      <c r="AT201" s="428"/>
      <c r="AU201" s="121"/>
      <c r="AV201" s="428"/>
    </row>
    <row r="202" spans="1:48" hidden="1">
      <c r="A202" s="490"/>
      <c r="B202" s="500"/>
      <c r="C202" s="443"/>
      <c r="D202" s="468"/>
      <c r="E202" s="63"/>
      <c r="F202" s="433"/>
      <c r="G202" s="133"/>
      <c r="H202" s="187" t="s">
        <v>14</v>
      </c>
      <c r="I202" s="233"/>
      <c r="J202" s="233"/>
      <c r="K202" s="233"/>
      <c r="L202" s="398"/>
      <c r="M202" s="233"/>
      <c r="N202" s="233"/>
      <c r="O202" s="190"/>
      <c r="P202" s="398"/>
      <c r="Q202" s="398"/>
      <c r="R202" s="398"/>
      <c r="S202" s="398"/>
      <c r="T202" s="190"/>
      <c r="U202" s="190"/>
      <c r="V202" s="398"/>
      <c r="W202" s="233">
        <v>0.25</v>
      </c>
      <c r="X202" s="233">
        <v>0.25</v>
      </c>
      <c r="Y202" s="233">
        <v>0.25</v>
      </c>
      <c r="Z202" s="398"/>
      <c r="AA202" s="233"/>
      <c r="AB202" s="233"/>
      <c r="AC202" s="233"/>
      <c r="AD202" s="233"/>
      <c r="AE202" s="233"/>
      <c r="AF202" s="233"/>
      <c r="AG202" s="398"/>
      <c r="AH202" s="233"/>
      <c r="AI202" s="233"/>
      <c r="AJ202" s="233"/>
      <c r="AK202" s="395"/>
      <c r="AL202" s="253"/>
      <c r="AM202" s="108"/>
      <c r="AN202" s="108"/>
      <c r="AO202" s="108"/>
      <c r="AP202" s="108"/>
      <c r="AQ202" s="108"/>
      <c r="AR202" s="108"/>
      <c r="AS202" s="428"/>
      <c r="AT202" s="428"/>
      <c r="AU202" s="121"/>
      <c r="AV202" s="428"/>
    </row>
    <row r="203" spans="1:48" hidden="1">
      <c r="A203" s="490"/>
      <c r="B203" s="500"/>
      <c r="C203" s="443"/>
      <c r="D203" s="468"/>
      <c r="E203" s="63"/>
      <c r="F203" s="433"/>
      <c r="G203" s="133"/>
      <c r="H203" s="188" t="s">
        <v>15</v>
      </c>
      <c r="I203" s="278"/>
      <c r="J203" s="278"/>
      <c r="K203" s="278"/>
      <c r="L203" s="398"/>
      <c r="M203" s="278"/>
      <c r="N203" s="278"/>
      <c r="O203" s="215"/>
      <c r="P203" s="398"/>
      <c r="Q203" s="398"/>
      <c r="R203" s="398"/>
      <c r="S203" s="398"/>
      <c r="T203" s="278"/>
      <c r="U203" s="278"/>
      <c r="V203" s="398"/>
      <c r="W203" s="278"/>
      <c r="X203" s="278"/>
      <c r="Y203" s="278"/>
      <c r="Z203" s="398"/>
      <c r="AA203" s="278"/>
      <c r="AB203" s="278"/>
      <c r="AC203" s="278"/>
      <c r="AD203" s="278"/>
      <c r="AE203" s="278"/>
      <c r="AF203" s="278"/>
      <c r="AG203" s="398"/>
      <c r="AH203" s="278"/>
      <c r="AI203" s="278"/>
      <c r="AJ203" s="278"/>
      <c r="AK203" s="402"/>
      <c r="AL203" s="253"/>
      <c r="AM203" s="108"/>
      <c r="AN203" s="108"/>
      <c r="AO203" s="108"/>
      <c r="AP203" s="108"/>
      <c r="AQ203" s="108"/>
      <c r="AR203" s="108"/>
      <c r="AS203" s="428"/>
      <c r="AT203" s="428"/>
      <c r="AU203" s="121"/>
      <c r="AV203" s="428"/>
    </row>
    <row r="204" spans="1:48" hidden="1">
      <c r="A204" s="490"/>
      <c r="B204" s="500"/>
      <c r="C204" s="443"/>
      <c r="D204" s="468"/>
      <c r="E204" s="63"/>
      <c r="F204" s="433"/>
      <c r="G204" s="133" t="s">
        <v>94</v>
      </c>
      <c r="H204" s="187" t="s">
        <v>95</v>
      </c>
      <c r="I204" s="293"/>
      <c r="J204" s="293"/>
      <c r="K204" s="293"/>
      <c r="L204" s="398"/>
      <c r="M204" s="293"/>
      <c r="N204" s="293"/>
      <c r="O204" s="293"/>
      <c r="P204" s="398"/>
      <c r="Q204" s="398"/>
      <c r="R204" s="398"/>
      <c r="S204" s="398"/>
      <c r="T204" s="293">
        <f>($AK$233*$D$192/5)*7</f>
        <v>38047.625</v>
      </c>
      <c r="U204" s="293">
        <f>($AK$233*$D$192/5)*7</f>
        <v>38047.625</v>
      </c>
      <c r="V204" s="398"/>
      <c r="W204" s="293">
        <f>($AK$233*$D$192/5)*7</f>
        <v>38047.625</v>
      </c>
      <c r="X204" s="293">
        <f>($AK$233*$D$192/5)*7</f>
        <v>38047.625</v>
      </c>
      <c r="Y204" s="293">
        <f>($AK$233*$D$192/5)*14</f>
        <v>76095.25</v>
      </c>
      <c r="Z204" s="398"/>
      <c r="AA204" s="293">
        <f t="shared" ref="AA204:AF204" si="38">($AK$233*$D$192/5)*14</f>
        <v>76095.25</v>
      </c>
      <c r="AB204" s="293">
        <f t="shared" si="38"/>
        <v>76095.25</v>
      </c>
      <c r="AC204" s="293">
        <f t="shared" si="38"/>
        <v>76095.25</v>
      </c>
      <c r="AD204" s="293">
        <f t="shared" si="38"/>
        <v>76095.25</v>
      </c>
      <c r="AE204" s="293">
        <f t="shared" si="38"/>
        <v>76095.25</v>
      </c>
      <c r="AF204" s="293">
        <f t="shared" si="38"/>
        <v>76095.25</v>
      </c>
      <c r="AG204" s="398"/>
      <c r="AH204" s="293">
        <f>($AK$233*$D$192/5)*14</f>
        <v>76095.25</v>
      </c>
      <c r="AI204" s="293">
        <f>($AK$233*$D$192/5)*14</f>
        <v>76095.25</v>
      </c>
      <c r="AJ204" s="293">
        <f>($AK$233*$D$192/5)*14</f>
        <v>76095.25</v>
      </c>
      <c r="AK204" s="405">
        <f>($AK$233*$D$192/5)*14</f>
        <v>76095.25</v>
      </c>
      <c r="AL204" s="256">
        <f>SUM(I204:AK204)</f>
        <v>989238.25</v>
      </c>
      <c r="AM204" s="108"/>
      <c r="AN204" s="108"/>
      <c r="AO204" s="108"/>
      <c r="AP204" s="108"/>
      <c r="AQ204" s="108"/>
      <c r="AR204" s="108"/>
      <c r="AS204" s="428"/>
      <c r="AT204" s="428"/>
      <c r="AU204" s="121"/>
      <c r="AV204" s="428"/>
    </row>
    <row r="205" spans="1:48" hidden="1">
      <c r="A205" s="490"/>
      <c r="B205" s="500"/>
      <c r="C205" s="443"/>
      <c r="D205" s="468"/>
      <c r="E205" s="63"/>
      <c r="F205" s="433"/>
      <c r="G205" s="133"/>
      <c r="H205" s="187" t="s">
        <v>96</v>
      </c>
      <c r="I205" s="233"/>
      <c r="J205" s="233"/>
      <c r="K205" s="233"/>
      <c r="L205" s="398"/>
      <c r="M205" s="233"/>
      <c r="N205" s="233"/>
      <c r="O205" s="233"/>
      <c r="P205" s="398"/>
      <c r="Q205" s="398"/>
      <c r="R205" s="398"/>
      <c r="S205" s="398"/>
      <c r="T205" s="233">
        <v>2</v>
      </c>
      <c r="U205" s="233">
        <v>2</v>
      </c>
      <c r="V205" s="398"/>
      <c r="W205" s="233">
        <v>2</v>
      </c>
      <c r="X205" s="233">
        <v>2</v>
      </c>
      <c r="Y205" s="233">
        <v>4</v>
      </c>
      <c r="Z205" s="398"/>
      <c r="AA205" s="233">
        <v>4</v>
      </c>
      <c r="AB205" s="233">
        <v>4</v>
      </c>
      <c r="AC205" s="233">
        <v>4</v>
      </c>
      <c r="AD205" s="233">
        <v>4</v>
      </c>
      <c r="AE205" s="233">
        <v>4</v>
      </c>
      <c r="AF205" s="233">
        <v>4</v>
      </c>
      <c r="AG205" s="398"/>
      <c r="AH205" s="233">
        <v>4</v>
      </c>
      <c r="AI205" s="233">
        <v>4</v>
      </c>
      <c r="AJ205" s="233">
        <v>4</v>
      </c>
      <c r="AK205" s="395">
        <v>4</v>
      </c>
      <c r="AL205" s="256"/>
      <c r="AM205" s="108"/>
      <c r="AN205" s="108"/>
      <c r="AO205" s="108"/>
      <c r="AP205" s="108"/>
      <c r="AQ205" s="108"/>
      <c r="AR205" s="108"/>
      <c r="AS205" s="428"/>
      <c r="AT205" s="428"/>
      <c r="AU205" s="121"/>
      <c r="AV205" s="428"/>
    </row>
    <row r="206" spans="1:48" hidden="1">
      <c r="A206" s="490"/>
      <c r="B206" s="500"/>
      <c r="C206" s="443"/>
      <c r="D206" s="468"/>
      <c r="E206" s="63"/>
      <c r="F206" s="433"/>
      <c r="G206" s="133"/>
      <c r="H206" s="188" t="s">
        <v>15</v>
      </c>
      <c r="I206" s="278"/>
      <c r="J206" s="278"/>
      <c r="K206" s="278"/>
      <c r="L206" s="398"/>
      <c r="M206" s="278"/>
      <c r="N206" s="278"/>
      <c r="O206" s="278"/>
      <c r="P206" s="398"/>
      <c r="Q206" s="398"/>
      <c r="R206" s="398"/>
      <c r="S206" s="398"/>
      <c r="T206" s="278"/>
      <c r="U206" s="278"/>
      <c r="V206" s="398"/>
      <c r="W206" s="278"/>
      <c r="X206" s="278"/>
      <c r="Y206" s="278"/>
      <c r="Z206" s="398"/>
      <c r="AA206" s="278"/>
      <c r="AB206" s="278"/>
      <c r="AC206" s="278"/>
      <c r="AD206" s="278"/>
      <c r="AE206" s="278"/>
      <c r="AF206" s="278"/>
      <c r="AG206" s="398"/>
      <c r="AH206" s="278"/>
      <c r="AI206" s="278"/>
      <c r="AJ206" s="278"/>
      <c r="AK206" s="402"/>
      <c r="AL206" s="253">
        <f>SUM(I206:AK206)</f>
        <v>0</v>
      </c>
      <c r="AM206" s="108"/>
      <c r="AN206" s="108"/>
      <c r="AO206" s="108"/>
      <c r="AP206" s="108"/>
      <c r="AQ206" s="108"/>
      <c r="AR206" s="108"/>
      <c r="AS206" s="428"/>
      <c r="AT206" s="428"/>
      <c r="AU206" s="121"/>
      <c r="AV206" s="428"/>
    </row>
    <row r="207" spans="1:48" hidden="1">
      <c r="A207" s="490"/>
      <c r="B207" s="500"/>
      <c r="C207" s="443"/>
      <c r="D207" s="468"/>
      <c r="E207" s="63"/>
      <c r="F207" s="433"/>
      <c r="G207" s="134" t="s">
        <v>97</v>
      </c>
      <c r="H207" s="187" t="s">
        <v>98</v>
      </c>
      <c r="I207" s="235"/>
      <c r="J207" s="235"/>
      <c r="K207" s="235"/>
      <c r="L207" s="376"/>
      <c r="M207" s="235"/>
      <c r="N207" s="235"/>
      <c r="O207" s="235"/>
      <c r="P207" s="376"/>
      <c r="Q207" s="376"/>
      <c r="R207" s="376"/>
      <c r="S207" s="376"/>
      <c r="T207" s="235"/>
      <c r="U207" s="235"/>
      <c r="V207" s="376"/>
      <c r="W207" s="235"/>
      <c r="X207" s="235"/>
      <c r="Y207" s="235"/>
      <c r="Z207" s="376"/>
      <c r="AA207" s="235"/>
      <c r="AB207" s="235"/>
      <c r="AC207" s="235">
        <f>($AK$233*$D$192/5)*5</f>
        <v>27176.875</v>
      </c>
      <c r="AD207" s="235">
        <f>($AK$233*$D$192/5)*5</f>
        <v>27176.875</v>
      </c>
      <c r="AE207" s="235">
        <f>($AK$233*$D$192/5)*5</f>
        <v>27176.875</v>
      </c>
      <c r="AF207" s="235">
        <f>($AK$233*$D$192/5)*5</f>
        <v>27176.875</v>
      </c>
      <c r="AG207" s="376"/>
      <c r="AH207" s="235">
        <f>($AK$233*$D$192/5)*5</f>
        <v>27176.875</v>
      </c>
      <c r="AI207" s="235">
        <f>($AK$233*$D$192/5)*5</f>
        <v>27176.875</v>
      </c>
      <c r="AJ207" s="235">
        <f>($AK$233*$D$192/5)*5</f>
        <v>27176.875</v>
      </c>
      <c r="AK207" s="406">
        <f>($AK$233*$D$192/5)*5</f>
        <v>27176.875</v>
      </c>
      <c r="AL207" s="256">
        <f>SUM(I207:AK207)</f>
        <v>217415</v>
      </c>
      <c r="AM207" s="108"/>
      <c r="AN207" s="108"/>
      <c r="AO207" s="108"/>
      <c r="AP207" s="108"/>
      <c r="AQ207" s="428"/>
      <c r="AR207" s="428"/>
      <c r="AS207" s="428"/>
      <c r="AT207" s="428"/>
      <c r="AU207" s="121"/>
      <c r="AV207" s="428"/>
    </row>
    <row r="208" spans="1:48" hidden="1">
      <c r="A208" s="490"/>
      <c r="B208" s="500"/>
      <c r="C208" s="443"/>
      <c r="D208" s="468"/>
      <c r="E208" s="63"/>
      <c r="F208" s="433"/>
      <c r="G208" s="134"/>
      <c r="H208" s="188" t="s">
        <v>15</v>
      </c>
      <c r="I208" s="269"/>
      <c r="J208" s="269"/>
      <c r="K208" s="269"/>
      <c r="L208" s="376"/>
      <c r="M208" s="269"/>
      <c r="N208" s="269"/>
      <c r="O208" s="269"/>
      <c r="P208" s="376"/>
      <c r="Q208" s="376"/>
      <c r="R208" s="376"/>
      <c r="S208" s="376"/>
      <c r="T208" s="269"/>
      <c r="U208" s="269"/>
      <c r="V208" s="376"/>
      <c r="W208" s="269"/>
      <c r="X208" s="269"/>
      <c r="Y208" s="269"/>
      <c r="Z208" s="376"/>
      <c r="AA208" s="269"/>
      <c r="AB208" s="269"/>
      <c r="AC208" s="269"/>
      <c r="AD208" s="269"/>
      <c r="AE208" s="269"/>
      <c r="AF208" s="269"/>
      <c r="AG208" s="376"/>
      <c r="AH208" s="269"/>
      <c r="AI208" s="269"/>
      <c r="AJ208" s="269"/>
      <c r="AK208" s="407"/>
      <c r="AL208" s="253">
        <f>SUM(I208:AK208)</f>
        <v>0</v>
      </c>
      <c r="AM208" s="108"/>
      <c r="AN208" s="108"/>
      <c r="AO208" s="108"/>
      <c r="AP208" s="108"/>
      <c r="AQ208" s="428"/>
      <c r="AR208" s="428"/>
      <c r="AS208" s="428"/>
      <c r="AT208" s="428"/>
      <c r="AU208" s="121"/>
      <c r="AV208" s="428"/>
    </row>
    <row r="209" spans="1:48" hidden="1">
      <c r="A209" s="490"/>
      <c r="B209" s="500"/>
      <c r="C209" s="443"/>
      <c r="D209" s="468"/>
      <c r="E209" s="63"/>
      <c r="F209" s="433"/>
      <c r="G209" s="134" t="s">
        <v>99</v>
      </c>
      <c r="H209" s="187" t="s">
        <v>100</v>
      </c>
      <c r="I209" s="235"/>
      <c r="J209" s="235"/>
      <c r="K209" s="235"/>
      <c r="L209" s="376"/>
      <c r="M209" s="235"/>
      <c r="N209" s="235"/>
      <c r="O209" s="235"/>
      <c r="P209" s="376"/>
      <c r="Q209" s="376"/>
      <c r="R209" s="376"/>
      <c r="S209" s="376"/>
      <c r="T209" s="235"/>
      <c r="U209" s="235"/>
      <c r="V209" s="376"/>
      <c r="W209" s="235"/>
      <c r="X209" s="235"/>
      <c r="Y209" s="235"/>
      <c r="Z209" s="376"/>
      <c r="AA209" s="235"/>
      <c r="AB209" s="235"/>
      <c r="AC209" s="235">
        <f>($AK$233*$D$192/5)*5</f>
        <v>27176.875</v>
      </c>
      <c r="AD209" s="235">
        <f>($AK$233*$D$192/5)*5</f>
        <v>27176.875</v>
      </c>
      <c r="AE209" s="235">
        <f>($AK$233*$D$192/5)*5</f>
        <v>27176.875</v>
      </c>
      <c r="AF209" s="235">
        <f>($AK$233*$D$192/5)*5</f>
        <v>27176.875</v>
      </c>
      <c r="AG209" s="376"/>
      <c r="AH209" s="235">
        <f>($AK$233*$D$192/5)*5</f>
        <v>27176.875</v>
      </c>
      <c r="AI209" s="235">
        <f>($AK$233*$D$192/5)*5</f>
        <v>27176.875</v>
      </c>
      <c r="AJ209" s="235">
        <f>($AK$233*$D$192/5)*5</f>
        <v>27176.875</v>
      </c>
      <c r="AK209" s="406">
        <f>($AK$233*$D$192/5)*5</f>
        <v>27176.875</v>
      </c>
      <c r="AL209" s="256">
        <f>SUM(I209:AK209)</f>
        <v>217415</v>
      </c>
      <c r="AM209" s="108"/>
      <c r="AN209" s="108"/>
      <c r="AO209" s="108"/>
      <c r="AP209" s="108"/>
      <c r="AQ209" s="428"/>
      <c r="AR209" s="428"/>
      <c r="AS209" s="428"/>
      <c r="AT209" s="428"/>
      <c r="AU209" s="121"/>
      <c r="AV209" s="428"/>
    </row>
    <row r="210" spans="1:48" hidden="1">
      <c r="A210" s="490"/>
      <c r="B210" s="500"/>
      <c r="C210" s="443"/>
      <c r="D210" s="468"/>
      <c r="E210" s="63"/>
      <c r="F210" s="433"/>
      <c r="G210" s="134"/>
      <c r="H210" s="187" t="s">
        <v>101</v>
      </c>
      <c r="I210" s="212"/>
      <c r="J210" s="212"/>
      <c r="K210" s="212"/>
      <c r="L210" s="376"/>
      <c r="M210" s="212"/>
      <c r="N210" s="212"/>
      <c r="O210" s="212"/>
      <c r="P210" s="376"/>
      <c r="Q210" s="376"/>
      <c r="R210" s="376"/>
      <c r="S210" s="376"/>
      <c r="T210" s="212"/>
      <c r="U210" s="212"/>
      <c r="V210" s="376"/>
      <c r="W210" s="212"/>
      <c r="X210" s="212"/>
      <c r="Y210" s="212"/>
      <c r="Z210" s="376"/>
      <c r="AA210" s="212"/>
      <c r="AB210" s="212"/>
      <c r="AC210" s="212">
        <v>1</v>
      </c>
      <c r="AD210" s="212">
        <v>1</v>
      </c>
      <c r="AE210" s="212">
        <v>1</v>
      </c>
      <c r="AF210" s="212">
        <v>1</v>
      </c>
      <c r="AG210" s="376"/>
      <c r="AH210" s="212">
        <v>1</v>
      </c>
      <c r="AI210" s="212">
        <v>1</v>
      </c>
      <c r="AJ210" s="212">
        <v>1</v>
      </c>
      <c r="AK210" s="388">
        <v>1</v>
      </c>
      <c r="AL210" s="256"/>
      <c r="AM210" s="108"/>
      <c r="AN210" s="108"/>
      <c r="AO210" s="108"/>
      <c r="AP210" s="108"/>
      <c r="AQ210" s="428"/>
      <c r="AR210" s="428"/>
      <c r="AS210" s="428"/>
      <c r="AT210" s="428"/>
      <c r="AU210" s="121"/>
      <c r="AV210" s="428"/>
    </row>
    <row r="211" spans="1:48" hidden="1">
      <c r="A211" s="490"/>
      <c r="B211" s="500"/>
      <c r="C211" s="443"/>
      <c r="D211" s="468"/>
      <c r="E211" s="63"/>
      <c r="F211" s="433"/>
      <c r="G211" s="134"/>
      <c r="H211" s="188" t="s">
        <v>15</v>
      </c>
      <c r="I211" s="215"/>
      <c r="J211" s="215"/>
      <c r="K211" s="215"/>
      <c r="L211" s="376"/>
      <c r="M211" s="215"/>
      <c r="N211" s="215"/>
      <c r="O211" s="215"/>
      <c r="P211" s="376"/>
      <c r="Q211" s="376"/>
      <c r="R211" s="376"/>
      <c r="S211" s="376"/>
      <c r="T211" s="215"/>
      <c r="U211" s="215"/>
      <c r="V211" s="376"/>
      <c r="W211" s="215"/>
      <c r="X211" s="215"/>
      <c r="Y211" s="215"/>
      <c r="Z211" s="376"/>
      <c r="AA211" s="215"/>
      <c r="AB211" s="215"/>
      <c r="AC211" s="215"/>
      <c r="AD211" s="215"/>
      <c r="AE211" s="215"/>
      <c r="AF211" s="215"/>
      <c r="AG211" s="376"/>
      <c r="AH211" s="215"/>
      <c r="AI211" s="215"/>
      <c r="AJ211" s="215"/>
      <c r="AK211" s="389"/>
      <c r="AL211" s="253">
        <f t="shared" ref="AL211:AL218" si="39">SUM(I211:AK211)</f>
        <v>0</v>
      </c>
      <c r="AM211" s="108"/>
      <c r="AN211" s="108"/>
      <c r="AO211" s="108"/>
      <c r="AP211" s="428"/>
      <c r="AQ211" s="428"/>
      <c r="AR211" s="428"/>
      <c r="AS211" s="428"/>
      <c r="AT211" s="428"/>
      <c r="AU211" s="121"/>
      <c r="AV211" s="428"/>
    </row>
    <row r="212" spans="1:48" hidden="1">
      <c r="A212" s="490"/>
      <c r="B212" s="500"/>
      <c r="C212" s="443"/>
      <c r="D212" s="468"/>
      <c r="E212" s="63"/>
      <c r="F212" s="433"/>
      <c r="G212" s="134" t="s">
        <v>23</v>
      </c>
      <c r="H212" s="187" t="s">
        <v>24</v>
      </c>
      <c r="I212" s="235"/>
      <c r="J212" s="235"/>
      <c r="K212" s="235"/>
      <c r="L212" s="376"/>
      <c r="M212" s="235"/>
      <c r="N212" s="235"/>
      <c r="O212" s="235"/>
      <c r="P212" s="376"/>
      <c r="Q212" s="376"/>
      <c r="R212" s="376"/>
      <c r="S212" s="376"/>
      <c r="T212" s="235"/>
      <c r="U212" s="235"/>
      <c r="V212" s="376"/>
      <c r="W212" s="235"/>
      <c r="X212" s="235"/>
      <c r="Y212" s="235"/>
      <c r="Z212" s="376"/>
      <c r="AA212" s="235"/>
      <c r="AB212" s="235"/>
      <c r="AC212" s="235">
        <f>$AK$233*$D$192/5</f>
        <v>5435.375</v>
      </c>
      <c r="AD212" s="235">
        <f>$AK$233*$D$192/5</f>
        <v>5435.375</v>
      </c>
      <c r="AE212" s="235">
        <f>$AK$233*$D$192/5</f>
        <v>5435.375</v>
      </c>
      <c r="AF212" s="235">
        <f>$AK$233*$D$192/5</f>
        <v>5435.375</v>
      </c>
      <c r="AG212" s="376"/>
      <c r="AH212" s="235">
        <f>$AK$233*$D$192/5</f>
        <v>5435.375</v>
      </c>
      <c r="AI212" s="235">
        <f>$AK$233*$D$192/5</f>
        <v>5435.375</v>
      </c>
      <c r="AJ212" s="235">
        <f>$AK$233*$D$192/5</f>
        <v>5435.375</v>
      </c>
      <c r="AK212" s="406">
        <f>$AK$233*$D$192/5</f>
        <v>5435.375</v>
      </c>
      <c r="AL212" s="256">
        <f t="shared" si="39"/>
        <v>43483</v>
      </c>
      <c r="AM212" s="108"/>
      <c r="AN212" s="108"/>
      <c r="AO212" s="108"/>
      <c r="AP212" s="428"/>
      <c r="AQ212" s="428"/>
      <c r="AR212" s="428"/>
      <c r="AS212" s="428"/>
      <c r="AT212" s="428"/>
      <c r="AU212" s="121"/>
      <c r="AV212" s="428"/>
    </row>
    <row r="213" spans="1:48" hidden="1">
      <c r="A213" s="490"/>
      <c r="B213" s="500"/>
      <c r="C213" s="443"/>
      <c r="D213" s="468"/>
      <c r="E213" s="63"/>
      <c r="F213" s="433"/>
      <c r="G213" s="134"/>
      <c r="H213" s="188" t="s">
        <v>15</v>
      </c>
      <c r="I213" s="269"/>
      <c r="J213" s="269"/>
      <c r="K213" s="269"/>
      <c r="L213" s="376"/>
      <c r="M213" s="269"/>
      <c r="N213" s="269"/>
      <c r="O213" s="269"/>
      <c r="P213" s="376"/>
      <c r="Q213" s="376"/>
      <c r="R213" s="376"/>
      <c r="S213" s="376"/>
      <c r="T213" s="269"/>
      <c r="U213" s="269"/>
      <c r="V213" s="376"/>
      <c r="W213" s="269"/>
      <c r="X213" s="269"/>
      <c r="Y213" s="269"/>
      <c r="Z213" s="376"/>
      <c r="AA213" s="269"/>
      <c r="AB213" s="269"/>
      <c r="AC213" s="269"/>
      <c r="AD213" s="269"/>
      <c r="AE213" s="269"/>
      <c r="AF213" s="269"/>
      <c r="AG213" s="376"/>
      <c r="AH213" s="269"/>
      <c r="AI213" s="269"/>
      <c r="AJ213" s="269"/>
      <c r="AK213" s="407"/>
      <c r="AL213" s="253">
        <f t="shared" si="39"/>
        <v>0</v>
      </c>
      <c r="AM213" s="108"/>
      <c r="AN213" s="108"/>
      <c r="AO213" s="108"/>
      <c r="AP213" s="108"/>
      <c r="AQ213" s="108"/>
      <c r="AR213" s="108"/>
      <c r="AS213" s="428"/>
      <c r="AT213" s="428"/>
      <c r="AU213" s="121"/>
      <c r="AV213" s="428"/>
    </row>
    <row r="214" spans="1:48" hidden="1">
      <c r="A214" s="490"/>
      <c r="B214" s="500"/>
      <c r="C214" s="443"/>
      <c r="D214" s="468"/>
      <c r="E214" s="63"/>
      <c r="F214" s="433"/>
      <c r="G214" s="134" t="s">
        <v>39</v>
      </c>
      <c r="H214" s="187" t="s">
        <v>40</v>
      </c>
      <c r="I214" s="235"/>
      <c r="J214" s="235"/>
      <c r="K214" s="235"/>
      <c r="L214" s="376"/>
      <c r="M214" s="235"/>
      <c r="N214" s="235"/>
      <c r="O214" s="235"/>
      <c r="P214" s="376"/>
      <c r="Q214" s="376"/>
      <c r="R214" s="376"/>
      <c r="S214" s="376"/>
      <c r="T214" s="235"/>
      <c r="U214" s="235"/>
      <c r="V214" s="376"/>
      <c r="W214" s="235"/>
      <c r="X214" s="235"/>
      <c r="Y214" s="235"/>
      <c r="Z214" s="376"/>
      <c r="AA214" s="235"/>
      <c r="AB214" s="235"/>
      <c r="AC214" s="235">
        <f>$AK$233*$D$192/5</f>
        <v>5435.375</v>
      </c>
      <c r="AD214" s="235">
        <f>$AK$233*$D$192/5</f>
        <v>5435.375</v>
      </c>
      <c r="AE214" s="235">
        <f>$AK$233*$D$192/5</f>
        <v>5435.375</v>
      </c>
      <c r="AF214" s="235">
        <f>$AK$233*$D$192/5</f>
        <v>5435.375</v>
      </c>
      <c r="AG214" s="376"/>
      <c r="AH214" s="235">
        <f>$AK$233*$D$192/5</f>
        <v>5435.375</v>
      </c>
      <c r="AI214" s="235">
        <f>$AK$233*$D$192/5</f>
        <v>5435.375</v>
      </c>
      <c r="AJ214" s="235">
        <f>$AK$233*$D$192/5</f>
        <v>5435.375</v>
      </c>
      <c r="AK214" s="406">
        <f>$AK$233*$D$192/5</f>
        <v>5435.375</v>
      </c>
      <c r="AL214" s="256">
        <f t="shared" si="39"/>
        <v>43483</v>
      </c>
      <c r="AM214" s="108"/>
      <c r="AN214" s="108"/>
      <c r="AO214" s="108"/>
      <c r="AP214" s="428"/>
      <c r="AQ214" s="108"/>
      <c r="AR214" s="108"/>
      <c r="AS214" s="428"/>
      <c r="AT214" s="428"/>
      <c r="AU214" s="121"/>
      <c r="AV214" s="428"/>
    </row>
    <row r="215" spans="1:48" hidden="1">
      <c r="A215" s="490"/>
      <c r="B215" s="500"/>
      <c r="C215" s="443"/>
      <c r="D215" s="468"/>
      <c r="E215" s="63"/>
      <c r="F215" s="433"/>
      <c r="G215" s="134"/>
      <c r="H215" s="188" t="s">
        <v>15</v>
      </c>
      <c r="I215" s="269"/>
      <c r="J215" s="269"/>
      <c r="K215" s="269"/>
      <c r="L215" s="376"/>
      <c r="M215" s="269"/>
      <c r="N215" s="269"/>
      <c r="O215" s="269"/>
      <c r="P215" s="376"/>
      <c r="Q215" s="376"/>
      <c r="R215" s="376"/>
      <c r="S215" s="376"/>
      <c r="T215" s="269"/>
      <c r="U215" s="269"/>
      <c r="V215" s="376"/>
      <c r="W215" s="269"/>
      <c r="X215" s="269"/>
      <c r="Y215" s="269"/>
      <c r="Z215" s="376"/>
      <c r="AA215" s="269"/>
      <c r="AB215" s="269"/>
      <c r="AC215" s="269"/>
      <c r="AD215" s="269"/>
      <c r="AE215" s="269"/>
      <c r="AF215" s="269"/>
      <c r="AG215" s="376"/>
      <c r="AH215" s="269"/>
      <c r="AI215" s="269"/>
      <c r="AJ215" s="269"/>
      <c r="AK215" s="407"/>
      <c r="AL215" s="253">
        <f t="shared" si="39"/>
        <v>0</v>
      </c>
      <c r="AM215" s="108"/>
      <c r="AN215" s="108"/>
      <c r="AO215" s="108"/>
      <c r="AP215" s="428"/>
      <c r="AQ215" s="108"/>
      <c r="AR215" s="108"/>
      <c r="AS215" s="428"/>
      <c r="AT215" s="428"/>
      <c r="AU215" s="121"/>
      <c r="AV215" s="428"/>
    </row>
    <row r="216" spans="1:48" hidden="1">
      <c r="A216" s="490"/>
      <c r="B216" s="500"/>
      <c r="C216" s="443"/>
      <c r="D216" s="468"/>
      <c r="E216" s="63"/>
      <c r="F216" s="433"/>
      <c r="G216" s="134" t="s">
        <v>102</v>
      </c>
      <c r="H216" s="187" t="s">
        <v>103</v>
      </c>
      <c r="I216" s="235"/>
      <c r="J216" s="235"/>
      <c r="K216" s="235"/>
      <c r="L216" s="376"/>
      <c r="M216" s="235"/>
      <c r="N216" s="235"/>
      <c r="O216" s="235"/>
      <c r="P216" s="376"/>
      <c r="Q216" s="376"/>
      <c r="R216" s="376"/>
      <c r="S216" s="376"/>
      <c r="T216" s="235"/>
      <c r="U216" s="235"/>
      <c r="V216" s="376"/>
      <c r="W216" s="235"/>
      <c r="X216" s="235"/>
      <c r="Y216" s="235"/>
      <c r="Z216" s="376"/>
      <c r="AA216" s="235"/>
      <c r="AB216" s="235"/>
      <c r="AC216" s="235">
        <f>$AK$233*$D$192/5</f>
        <v>5435.375</v>
      </c>
      <c r="AD216" s="235">
        <f>$AK$233*$D$192/5</f>
        <v>5435.375</v>
      </c>
      <c r="AE216" s="235">
        <f>$AK$233*$D$192/5</f>
        <v>5435.375</v>
      </c>
      <c r="AF216" s="235">
        <f>$AK$233*$D$192/5</f>
        <v>5435.375</v>
      </c>
      <c r="AG216" s="376"/>
      <c r="AH216" s="235">
        <f>$AK$233*$D$192/5</f>
        <v>5435.375</v>
      </c>
      <c r="AI216" s="235">
        <f>$AK$233*$D$192/5</f>
        <v>5435.375</v>
      </c>
      <c r="AJ216" s="235">
        <f>$AK$233*$D$192/5</f>
        <v>5435.375</v>
      </c>
      <c r="AK216" s="406">
        <f>$AK$233*$D$192/5</f>
        <v>5435.375</v>
      </c>
      <c r="AL216" s="256">
        <f t="shared" si="39"/>
        <v>43483</v>
      </c>
      <c r="AM216" s="108"/>
      <c r="AN216" s="108"/>
      <c r="AO216" s="108"/>
      <c r="AP216" s="428"/>
      <c r="AQ216" s="108"/>
      <c r="AR216" s="108"/>
      <c r="AS216" s="428"/>
      <c r="AT216" s="428"/>
      <c r="AU216" s="121"/>
      <c r="AV216" s="428"/>
    </row>
    <row r="217" spans="1:48" hidden="1">
      <c r="A217" s="490"/>
      <c r="B217" s="500"/>
      <c r="C217" s="443"/>
      <c r="D217" s="468"/>
      <c r="E217" s="63"/>
      <c r="F217" s="433"/>
      <c r="G217" s="134"/>
      <c r="H217" s="188" t="s">
        <v>15</v>
      </c>
      <c r="I217" s="269"/>
      <c r="J217" s="269"/>
      <c r="K217" s="269"/>
      <c r="L217" s="376"/>
      <c r="M217" s="269"/>
      <c r="N217" s="269"/>
      <c r="O217" s="269"/>
      <c r="P217" s="376"/>
      <c r="Q217" s="376"/>
      <c r="R217" s="376"/>
      <c r="S217" s="376"/>
      <c r="T217" s="269"/>
      <c r="U217" s="269"/>
      <c r="V217" s="376"/>
      <c r="W217" s="269"/>
      <c r="X217" s="269"/>
      <c r="Y217" s="269"/>
      <c r="Z217" s="376"/>
      <c r="AA217" s="269"/>
      <c r="AB217" s="269"/>
      <c r="AC217" s="269"/>
      <c r="AD217" s="269"/>
      <c r="AE217" s="269"/>
      <c r="AF217" s="269"/>
      <c r="AG217" s="376"/>
      <c r="AH217" s="269"/>
      <c r="AI217" s="269"/>
      <c r="AJ217" s="269"/>
      <c r="AK217" s="407"/>
      <c r="AL217" s="253">
        <f t="shared" si="39"/>
        <v>0</v>
      </c>
      <c r="AM217" s="108"/>
      <c r="AN217" s="108"/>
      <c r="AO217" s="108"/>
      <c r="AP217" s="428"/>
      <c r="AQ217" s="108"/>
      <c r="AR217" s="108"/>
      <c r="AS217" s="428"/>
      <c r="AT217" s="428"/>
      <c r="AU217" s="121"/>
      <c r="AV217" s="428"/>
    </row>
    <row r="218" spans="1:48" hidden="1">
      <c r="A218" s="490"/>
      <c r="B218" s="500"/>
      <c r="C218" s="443"/>
      <c r="D218" s="468"/>
      <c r="E218" s="63"/>
      <c r="F218" s="433"/>
      <c r="G218" s="134" t="s">
        <v>28</v>
      </c>
      <c r="H218" s="187" t="s">
        <v>29</v>
      </c>
      <c r="I218" s="235"/>
      <c r="J218" s="235"/>
      <c r="K218" s="235"/>
      <c r="L218" s="376"/>
      <c r="M218" s="235"/>
      <c r="N218" s="235"/>
      <c r="O218" s="235"/>
      <c r="P218" s="376"/>
      <c r="Q218" s="376"/>
      <c r="R218" s="376"/>
      <c r="S218" s="376"/>
      <c r="T218" s="235"/>
      <c r="U218" s="235"/>
      <c r="V218" s="376"/>
      <c r="W218" s="235"/>
      <c r="X218" s="235"/>
      <c r="Y218" s="235"/>
      <c r="Z218" s="376"/>
      <c r="AA218" s="235"/>
      <c r="AB218" s="235"/>
      <c r="AC218" s="235">
        <f>$AK$233*$D$192/5</f>
        <v>5435.375</v>
      </c>
      <c r="AD218" s="235">
        <f>$AK$233*$D$192/5</f>
        <v>5435.375</v>
      </c>
      <c r="AE218" s="235">
        <f>$AK$233*$D$192/5</f>
        <v>5435.375</v>
      </c>
      <c r="AF218" s="235">
        <f>$AK$233*$D$192/5</f>
        <v>5435.375</v>
      </c>
      <c r="AG218" s="376"/>
      <c r="AH218" s="235">
        <f>$AK$233*$D$192/5</f>
        <v>5435.375</v>
      </c>
      <c r="AI218" s="235">
        <f>$AK$233*$D$192/5</f>
        <v>5435.375</v>
      </c>
      <c r="AJ218" s="235">
        <f>$AK$233*$D$192/5</f>
        <v>5435.375</v>
      </c>
      <c r="AK218" s="406">
        <f>$AK$233*$D$192/5</f>
        <v>5435.375</v>
      </c>
      <c r="AL218" s="256">
        <f t="shared" si="39"/>
        <v>43483</v>
      </c>
      <c r="AM218" s="108"/>
      <c r="AN218" s="108"/>
      <c r="AO218" s="108"/>
      <c r="AP218" s="428"/>
      <c r="AQ218" s="108"/>
      <c r="AR218" s="108"/>
      <c r="AS218" s="428"/>
      <c r="AT218" s="428"/>
      <c r="AU218" s="121"/>
      <c r="AV218" s="428"/>
    </row>
    <row r="219" spans="1:48" hidden="1">
      <c r="A219" s="490"/>
      <c r="B219" s="500"/>
      <c r="C219" s="443"/>
      <c r="D219" s="468"/>
      <c r="E219" s="63"/>
      <c r="F219" s="433"/>
      <c r="G219" s="134"/>
      <c r="H219" s="187" t="s">
        <v>27</v>
      </c>
      <c r="I219" s="296"/>
      <c r="J219" s="296"/>
      <c r="K219" s="296"/>
      <c r="L219" s="380"/>
      <c r="M219" s="296"/>
      <c r="N219" s="296"/>
      <c r="O219" s="296"/>
      <c r="P219" s="380"/>
      <c r="Q219" s="380"/>
      <c r="R219" s="380"/>
      <c r="S219" s="380"/>
      <c r="T219" s="296"/>
      <c r="U219" s="296"/>
      <c r="V219" s="380"/>
      <c r="W219" s="296"/>
      <c r="X219" s="296"/>
      <c r="Y219" s="296"/>
      <c r="Z219" s="380"/>
      <c r="AA219" s="296"/>
      <c r="AB219" s="296"/>
      <c r="AC219" s="296">
        <v>1</v>
      </c>
      <c r="AD219" s="296">
        <v>1</v>
      </c>
      <c r="AE219" s="296">
        <v>1</v>
      </c>
      <c r="AF219" s="296">
        <v>1</v>
      </c>
      <c r="AG219" s="380"/>
      <c r="AH219" s="296">
        <v>1</v>
      </c>
      <c r="AI219" s="296">
        <v>1</v>
      </c>
      <c r="AJ219" s="296">
        <v>1</v>
      </c>
      <c r="AK219" s="408">
        <v>1</v>
      </c>
      <c r="AL219" s="256"/>
      <c r="AM219" s="108"/>
      <c r="AN219" s="108"/>
      <c r="AO219" s="108"/>
      <c r="AP219" s="428"/>
      <c r="AQ219" s="108"/>
      <c r="AR219" s="108"/>
      <c r="AS219" s="428"/>
      <c r="AT219" s="428"/>
      <c r="AU219" s="121"/>
      <c r="AV219" s="428"/>
    </row>
    <row r="220" spans="1:48" hidden="1">
      <c r="A220" s="490"/>
      <c r="B220" s="500"/>
      <c r="C220" s="443"/>
      <c r="D220" s="468"/>
      <c r="E220" s="63"/>
      <c r="F220" s="433"/>
      <c r="G220" s="134"/>
      <c r="H220" s="188" t="s">
        <v>15</v>
      </c>
      <c r="I220" s="226"/>
      <c r="J220" s="226"/>
      <c r="K220" s="226"/>
      <c r="L220" s="380"/>
      <c r="M220" s="226"/>
      <c r="N220" s="226"/>
      <c r="O220" s="226"/>
      <c r="P220" s="380"/>
      <c r="Q220" s="380"/>
      <c r="R220" s="380"/>
      <c r="S220" s="380"/>
      <c r="T220" s="226"/>
      <c r="U220" s="226"/>
      <c r="V220" s="380"/>
      <c r="W220" s="226"/>
      <c r="X220" s="226"/>
      <c r="Y220" s="226"/>
      <c r="Z220" s="380"/>
      <c r="AA220" s="226"/>
      <c r="AB220" s="226"/>
      <c r="AC220" s="226"/>
      <c r="AD220" s="226"/>
      <c r="AE220" s="226"/>
      <c r="AF220" s="226"/>
      <c r="AG220" s="380"/>
      <c r="AH220" s="226"/>
      <c r="AI220" s="226"/>
      <c r="AJ220" s="226"/>
      <c r="AK220" s="396"/>
      <c r="AL220" s="253">
        <f>SUM(I220:AK220)</f>
        <v>0</v>
      </c>
      <c r="AM220" s="108"/>
      <c r="AN220" s="108"/>
      <c r="AO220" s="108"/>
      <c r="AP220" s="428"/>
      <c r="AQ220" s="108"/>
      <c r="AR220" s="108"/>
      <c r="AS220" s="428"/>
      <c r="AT220" s="428"/>
      <c r="AU220" s="121"/>
      <c r="AV220" s="428"/>
    </row>
    <row r="221" spans="1:48" hidden="1">
      <c r="A221" s="490"/>
      <c r="B221" s="500"/>
      <c r="C221" s="443"/>
      <c r="D221" s="468"/>
      <c r="E221" s="63"/>
      <c r="F221" s="433"/>
      <c r="G221" s="134"/>
      <c r="H221" s="187" t="s">
        <v>104</v>
      </c>
      <c r="I221" s="297"/>
      <c r="J221" s="297"/>
      <c r="K221" s="297"/>
      <c r="L221" s="380"/>
      <c r="M221" s="297"/>
      <c r="N221" s="297"/>
      <c r="O221" s="297"/>
      <c r="P221" s="380"/>
      <c r="Q221" s="380"/>
      <c r="R221" s="380"/>
      <c r="S221" s="380"/>
      <c r="T221" s="297"/>
      <c r="U221" s="297"/>
      <c r="V221" s="380"/>
      <c r="W221" s="297"/>
      <c r="X221" s="297"/>
      <c r="Y221" s="297"/>
      <c r="Z221" s="380"/>
      <c r="AA221" s="297"/>
      <c r="AB221" s="297"/>
      <c r="AC221" s="297">
        <f>($AK$233*$D$192/5)*5</f>
        <v>27176.875</v>
      </c>
      <c r="AD221" s="297">
        <f>($AK$233*$D$192/5)*5</f>
        <v>27176.875</v>
      </c>
      <c r="AE221" s="297">
        <f>($AK$233*$D$192/5)*5</f>
        <v>27176.875</v>
      </c>
      <c r="AF221" s="297">
        <f>($AK$233*$D$192/5)*5</f>
        <v>27176.875</v>
      </c>
      <c r="AG221" s="380"/>
      <c r="AH221" s="297">
        <f>($AK$233*$D$192/5)*5</f>
        <v>27176.875</v>
      </c>
      <c r="AI221" s="297">
        <f>($AK$233*$D$192/5)*5</f>
        <v>27176.875</v>
      </c>
      <c r="AJ221" s="297">
        <f>($AK$233*$D$192/5)*5</f>
        <v>27176.875</v>
      </c>
      <c r="AK221" s="409">
        <f>($AK$233*$D$192/5)*5</f>
        <v>27176.875</v>
      </c>
      <c r="AL221" s="256">
        <f>SUM(I221:AK221)</f>
        <v>217415</v>
      </c>
      <c r="AM221" s="108"/>
      <c r="AN221" s="108"/>
      <c r="AO221" s="108"/>
      <c r="AP221" s="428"/>
      <c r="AQ221" s="108"/>
      <c r="AR221" s="108"/>
      <c r="AS221" s="428"/>
      <c r="AT221" s="428"/>
      <c r="AU221" s="121"/>
      <c r="AV221" s="428"/>
    </row>
    <row r="222" spans="1:48" hidden="1">
      <c r="A222" s="490"/>
      <c r="B222" s="500"/>
      <c r="C222" s="443"/>
      <c r="D222" s="468"/>
      <c r="E222" s="63"/>
      <c r="F222" s="433"/>
      <c r="G222" s="195"/>
      <c r="H222" s="187" t="s">
        <v>105</v>
      </c>
      <c r="I222" s="296"/>
      <c r="J222" s="296"/>
      <c r="K222" s="296"/>
      <c r="L222" s="380"/>
      <c r="M222" s="296"/>
      <c r="N222" s="296"/>
      <c r="O222" s="296"/>
      <c r="P222" s="380"/>
      <c r="Q222" s="380"/>
      <c r="R222" s="380"/>
      <c r="S222" s="380"/>
      <c r="T222" s="296"/>
      <c r="U222" s="296"/>
      <c r="V222" s="380"/>
      <c r="W222" s="296"/>
      <c r="X222" s="296"/>
      <c r="Y222" s="296"/>
      <c r="Z222" s="380"/>
      <c r="AA222" s="296"/>
      <c r="AB222" s="296"/>
      <c r="AC222" s="296">
        <v>2</v>
      </c>
      <c r="AD222" s="296">
        <v>2</v>
      </c>
      <c r="AE222" s="296">
        <v>2</v>
      </c>
      <c r="AF222" s="296">
        <v>2</v>
      </c>
      <c r="AG222" s="380"/>
      <c r="AH222" s="296">
        <v>2</v>
      </c>
      <c r="AI222" s="296">
        <v>2</v>
      </c>
      <c r="AJ222" s="296">
        <v>2</v>
      </c>
      <c r="AK222" s="408">
        <v>2</v>
      </c>
      <c r="AL222" s="256"/>
      <c r="AM222" s="108"/>
      <c r="AN222" s="108"/>
      <c r="AO222" s="108"/>
      <c r="AP222" s="428"/>
      <c r="AQ222" s="108"/>
      <c r="AR222" s="108"/>
      <c r="AS222" s="428"/>
      <c r="AT222" s="428"/>
      <c r="AU222" s="121"/>
      <c r="AV222" s="428"/>
    </row>
    <row r="223" spans="1:48" hidden="1">
      <c r="A223" s="490"/>
      <c r="B223" s="500"/>
      <c r="C223" s="443"/>
      <c r="D223" s="468"/>
      <c r="E223" s="63"/>
      <c r="F223" s="433"/>
      <c r="G223" s="195"/>
      <c r="H223" s="188" t="s">
        <v>15</v>
      </c>
      <c r="I223" s="226"/>
      <c r="J223" s="226"/>
      <c r="K223" s="226"/>
      <c r="L223" s="380"/>
      <c r="M223" s="226"/>
      <c r="N223" s="226"/>
      <c r="O223" s="226"/>
      <c r="P223" s="380"/>
      <c r="Q223" s="380"/>
      <c r="R223" s="380"/>
      <c r="S223" s="380"/>
      <c r="T223" s="226"/>
      <c r="U223" s="226"/>
      <c r="V223" s="380"/>
      <c r="W223" s="226"/>
      <c r="X223" s="226"/>
      <c r="Y223" s="226"/>
      <c r="Z223" s="380"/>
      <c r="AA223" s="226"/>
      <c r="AB223" s="226"/>
      <c r="AC223" s="226"/>
      <c r="AD223" s="226"/>
      <c r="AE223" s="226"/>
      <c r="AF223" s="226"/>
      <c r="AG223" s="380"/>
      <c r="AH223" s="226"/>
      <c r="AI223" s="226"/>
      <c r="AJ223" s="226"/>
      <c r="AK223" s="396"/>
      <c r="AL223" s="253">
        <f>SUM(I223:AK223)</f>
        <v>0</v>
      </c>
      <c r="AM223" s="108"/>
      <c r="AN223" s="108"/>
      <c r="AO223" s="108"/>
      <c r="AP223" s="428"/>
      <c r="AQ223" s="108"/>
      <c r="AR223" s="108"/>
      <c r="AS223" s="428"/>
      <c r="AT223" s="428"/>
      <c r="AU223" s="121"/>
      <c r="AV223" s="428"/>
    </row>
    <row r="224" spans="1:48" hidden="1">
      <c r="A224" s="490"/>
      <c r="B224" s="500"/>
      <c r="C224" s="443"/>
      <c r="D224" s="468"/>
      <c r="E224" s="63"/>
      <c r="F224" s="433"/>
      <c r="G224" s="195"/>
      <c r="H224" s="187" t="s">
        <v>106</v>
      </c>
      <c r="I224" s="297"/>
      <c r="J224" s="297"/>
      <c r="K224" s="297"/>
      <c r="L224" s="380"/>
      <c r="M224" s="297"/>
      <c r="N224" s="297"/>
      <c r="O224" s="297"/>
      <c r="P224" s="380"/>
      <c r="Q224" s="380"/>
      <c r="R224" s="380"/>
      <c r="S224" s="380"/>
      <c r="T224" s="297"/>
      <c r="U224" s="297"/>
      <c r="V224" s="380"/>
      <c r="W224" s="297"/>
      <c r="X224" s="297"/>
      <c r="Y224" s="297"/>
      <c r="Z224" s="380"/>
      <c r="AA224" s="297"/>
      <c r="AB224" s="297"/>
      <c r="AC224" s="297">
        <f>($AK$233*$D$192/5)*5</f>
        <v>27176.875</v>
      </c>
      <c r="AD224" s="297">
        <f>($AK$233*$D$192/5)*5</f>
        <v>27176.875</v>
      </c>
      <c r="AE224" s="297">
        <f>($AK$233*$D$192/5)*5</f>
        <v>27176.875</v>
      </c>
      <c r="AF224" s="297">
        <f>($AK$233*$D$192/5)*5</f>
        <v>27176.875</v>
      </c>
      <c r="AG224" s="380"/>
      <c r="AH224" s="297">
        <f>($AK$233*$D$192/5)*5</f>
        <v>27176.875</v>
      </c>
      <c r="AI224" s="297">
        <f>($AK$233*$D$192/5)*5</f>
        <v>27176.875</v>
      </c>
      <c r="AJ224" s="297">
        <f>($AK$233*$D$192/5)*5</f>
        <v>27176.875</v>
      </c>
      <c r="AK224" s="409">
        <f>($AK$233*$D$192/5)*5</f>
        <v>27176.875</v>
      </c>
      <c r="AL224" s="256">
        <f>SUM(I224:AK224)</f>
        <v>217415</v>
      </c>
      <c r="AM224" s="108"/>
      <c r="AN224" s="108"/>
      <c r="AO224" s="108"/>
      <c r="AP224" s="428"/>
      <c r="AQ224" s="108"/>
      <c r="AR224" s="108"/>
      <c r="AS224" s="428"/>
      <c r="AT224" s="428"/>
      <c r="AU224" s="121"/>
      <c r="AV224" s="428"/>
    </row>
    <row r="225" spans="1:48" hidden="1">
      <c r="A225" s="490"/>
      <c r="B225" s="500"/>
      <c r="C225" s="443"/>
      <c r="D225" s="468"/>
      <c r="E225" s="63"/>
      <c r="F225" s="433"/>
      <c r="G225" s="195"/>
      <c r="H225" s="187" t="s">
        <v>107</v>
      </c>
      <c r="I225" s="296"/>
      <c r="J225" s="296"/>
      <c r="K225" s="296"/>
      <c r="L225" s="380"/>
      <c r="M225" s="296"/>
      <c r="N225" s="296"/>
      <c r="O225" s="296"/>
      <c r="P225" s="380"/>
      <c r="Q225" s="380"/>
      <c r="R225" s="380"/>
      <c r="S225" s="380"/>
      <c r="T225" s="296"/>
      <c r="U225" s="296"/>
      <c r="V225" s="380"/>
      <c r="W225" s="296"/>
      <c r="X225" s="296"/>
      <c r="Y225" s="296"/>
      <c r="Z225" s="380"/>
      <c r="AA225" s="296"/>
      <c r="AB225" s="296"/>
      <c r="AC225" s="296">
        <v>5</v>
      </c>
      <c r="AD225" s="296">
        <v>5</v>
      </c>
      <c r="AE225" s="296">
        <v>5</v>
      </c>
      <c r="AF225" s="296">
        <v>5</v>
      </c>
      <c r="AG225" s="380"/>
      <c r="AH225" s="296">
        <v>5</v>
      </c>
      <c r="AI225" s="296">
        <v>5</v>
      </c>
      <c r="AJ225" s="296">
        <v>5</v>
      </c>
      <c r="AK225" s="408">
        <v>5</v>
      </c>
      <c r="AL225" s="256"/>
      <c r="AM225" s="108"/>
      <c r="AN225" s="108"/>
      <c r="AO225" s="108"/>
      <c r="AP225" s="428"/>
      <c r="AQ225" s="108"/>
      <c r="AR225" s="108"/>
      <c r="AS225" s="428"/>
      <c r="AT225" s="428"/>
      <c r="AU225" s="121"/>
      <c r="AV225" s="428"/>
    </row>
    <row r="226" spans="1:48" hidden="1">
      <c r="A226" s="490"/>
      <c r="B226" s="500"/>
      <c r="C226" s="443"/>
      <c r="D226" s="468"/>
      <c r="E226" s="63"/>
      <c r="F226" s="433"/>
      <c r="G226" s="195"/>
      <c r="H226" s="188" t="s">
        <v>15</v>
      </c>
      <c r="I226" s="226"/>
      <c r="J226" s="226"/>
      <c r="K226" s="226"/>
      <c r="L226" s="380"/>
      <c r="M226" s="226"/>
      <c r="N226" s="226"/>
      <c r="O226" s="226"/>
      <c r="P226" s="380"/>
      <c r="Q226" s="380"/>
      <c r="R226" s="380"/>
      <c r="S226" s="380"/>
      <c r="T226" s="226"/>
      <c r="U226" s="226"/>
      <c r="V226" s="380"/>
      <c r="W226" s="226"/>
      <c r="X226" s="226"/>
      <c r="Y226" s="226"/>
      <c r="Z226" s="380"/>
      <c r="AA226" s="226"/>
      <c r="AB226" s="226"/>
      <c r="AC226" s="226"/>
      <c r="AD226" s="226"/>
      <c r="AE226" s="226"/>
      <c r="AF226" s="226"/>
      <c r="AG226" s="380"/>
      <c r="AH226" s="226"/>
      <c r="AI226" s="226"/>
      <c r="AJ226" s="226"/>
      <c r="AK226" s="396"/>
      <c r="AL226" s="253">
        <f>SUM(I226:AK226)</f>
        <v>0</v>
      </c>
      <c r="AM226" s="108"/>
      <c r="AN226" s="108"/>
      <c r="AO226" s="108"/>
      <c r="AP226" s="428"/>
      <c r="AQ226" s="108"/>
      <c r="AR226" s="108"/>
      <c r="AS226" s="428"/>
      <c r="AT226" s="428"/>
      <c r="AU226" s="121"/>
      <c r="AV226" s="428"/>
    </row>
    <row r="227" spans="1:48" hidden="1">
      <c r="A227" s="490"/>
      <c r="B227" s="500"/>
      <c r="C227" s="443"/>
      <c r="D227" s="468"/>
      <c r="E227" s="63"/>
      <c r="F227" s="433"/>
      <c r="G227" s="195"/>
      <c r="H227" s="187" t="s">
        <v>108</v>
      </c>
      <c r="I227" s="297"/>
      <c r="J227" s="297"/>
      <c r="K227" s="297"/>
      <c r="L227" s="380"/>
      <c r="M227" s="297"/>
      <c r="N227" s="297"/>
      <c r="O227" s="297"/>
      <c r="P227" s="380"/>
      <c r="Q227" s="380"/>
      <c r="R227" s="380"/>
      <c r="S227" s="380"/>
      <c r="T227" s="297"/>
      <c r="U227" s="297"/>
      <c r="V227" s="380"/>
      <c r="W227" s="297"/>
      <c r="X227" s="297"/>
      <c r="Y227" s="297"/>
      <c r="Z227" s="380"/>
      <c r="AA227" s="297"/>
      <c r="AB227" s="297"/>
      <c r="AC227" s="297">
        <f>$AK$233*$D$192/5</f>
        <v>5435.375</v>
      </c>
      <c r="AD227" s="297">
        <f>$AK$233*$D$192/5</f>
        <v>5435.375</v>
      </c>
      <c r="AE227" s="297">
        <f>$AK$233*$D$192/5</f>
        <v>5435.375</v>
      </c>
      <c r="AF227" s="297">
        <f>$AK$233*$D$192/5</f>
        <v>5435.375</v>
      </c>
      <c r="AG227" s="380"/>
      <c r="AH227" s="297">
        <f>$AK$233*$D$192/5</f>
        <v>5435.375</v>
      </c>
      <c r="AI227" s="297">
        <f>$AK$233*$D$192/5</f>
        <v>5435.375</v>
      </c>
      <c r="AJ227" s="297">
        <f>$AK$233*$D$192/5</f>
        <v>5435.375</v>
      </c>
      <c r="AK227" s="409">
        <f>$AK$233*$D$192/5</f>
        <v>5435.375</v>
      </c>
      <c r="AL227" s="256">
        <f>SUM(I227:AK227)</f>
        <v>43483</v>
      </c>
      <c r="AM227" s="108"/>
      <c r="AN227" s="108"/>
      <c r="AO227" s="108"/>
      <c r="AP227" s="428"/>
      <c r="AQ227" s="108"/>
      <c r="AR227" s="108"/>
      <c r="AS227" s="428"/>
      <c r="AT227" s="428"/>
      <c r="AU227" s="121"/>
      <c r="AV227" s="428"/>
    </row>
    <row r="228" spans="1:48" hidden="1">
      <c r="A228" s="490"/>
      <c r="B228" s="500"/>
      <c r="C228" s="443"/>
      <c r="D228" s="468"/>
      <c r="E228" s="63"/>
      <c r="F228" s="433"/>
      <c r="G228" s="195"/>
      <c r="H228" s="187" t="s">
        <v>31</v>
      </c>
      <c r="I228" s="296"/>
      <c r="J228" s="296"/>
      <c r="K228" s="296"/>
      <c r="L228" s="380"/>
      <c r="M228" s="296"/>
      <c r="N228" s="296"/>
      <c r="O228" s="296"/>
      <c r="P228" s="380"/>
      <c r="Q228" s="380"/>
      <c r="R228" s="380"/>
      <c r="S228" s="380"/>
      <c r="T228" s="296"/>
      <c r="U228" s="296"/>
      <c r="V228" s="380"/>
      <c r="W228" s="296"/>
      <c r="X228" s="296"/>
      <c r="Y228" s="296"/>
      <c r="Z228" s="380"/>
      <c r="AA228" s="296"/>
      <c r="AB228" s="296"/>
      <c r="AC228" s="296">
        <v>1</v>
      </c>
      <c r="AD228" s="296">
        <v>1</v>
      </c>
      <c r="AE228" s="296">
        <v>1</v>
      </c>
      <c r="AF228" s="296">
        <v>1</v>
      </c>
      <c r="AG228" s="380"/>
      <c r="AH228" s="296">
        <v>1</v>
      </c>
      <c r="AI228" s="296">
        <v>1</v>
      </c>
      <c r="AJ228" s="296">
        <v>1</v>
      </c>
      <c r="AK228" s="408">
        <v>1</v>
      </c>
      <c r="AL228" s="256"/>
      <c r="AM228" s="108"/>
      <c r="AN228" s="108"/>
      <c r="AO228" s="108"/>
      <c r="AP228" s="428"/>
      <c r="AQ228" s="108"/>
      <c r="AR228" s="108"/>
      <c r="AS228" s="428"/>
      <c r="AT228" s="428"/>
      <c r="AU228" s="121"/>
      <c r="AV228" s="428"/>
    </row>
    <row r="229" spans="1:48" hidden="1">
      <c r="A229" s="490"/>
      <c r="B229" s="500"/>
      <c r="C229" s="443"/>
      <c r="D229" s="468"/>
      <c r="E229" s="63"/>
      <c r="F229" s="433"/>
      <c r="G229" s="195"/>
      <c r="H229" s="188" t="s">
        <v>15</v>
      </c>
      <c r="I229" s="226"/>
      <c r="J229" s="226"/>
      <c r="K229" s="226"/>
      <c r="L229" s="380"/>
      <c r="M229" s="226"/>
      <c r="N229" s="226"/>
      <c r="O229" s="226"/>
      <c r="P229" s="380"/>
      <c r="Q229" s="380"/>
      <c r="R229" s="380"/>
      <c r="S229" s="380"/>
      <c r="T229" s="226"/>
      <c r="U229" s="226"/>
      <c r="V229" s="380"/>
      <c r="W229" s="226"/>
      <c r="X229" s="226"/>
      <c r="Y229" s="226"/>
      <c r="Z229" s="380"/>
      <c r="AA229" s="226"/>
      <c r="AB229" s="226"/>
      <c r="AC229" s="226"/>
      <c r="AD229" s="226"/>
      <c r="AE229" s="226"/>
      <c r="AF229" s="226"/>
      <c r="AG229" s="380"/>
      <c r="AH229" s="226"/>
      <c r="AI229" s="226"/>
      <c r="AJ229" s="226"/>
      <c r="AK229" s="396"/>
      <c r="AL229" s="253">
        <f>SUM(I229:AK229)</f>
        <v>0</v>
      </c>
      <c r="AM229" s="108"/>
      <c r="AN229" s="108"/>
      <c r="AO229" s="108"/>
      <c r="AP229" s="428"/>
      <c r="AQ229" s="108"/>
      <c r="AR229" s="108"/>
      <c r="AS229" s="428"/>
      <c r="AT229" s="428"/>
      <c r="AU229" s="121"/>
      <c r="AV229" s="428"/>
    </row>
    <row r="230" spans="1:48" hidden="1">
      <c r="A230" s="490"/>
      <c r="B230" s="500"/>
      <c r="C230" s="443"/>
      <c r="D230" s="468"/>
      <c r="E230" s="63"/>
      <c r="F230" s="433"/>
      <c r="G230" s="195"/>
      <c r="H230" s="187" t="s">
        <v>109</v>
      </c>
      <c r="I230" s="297"/>
      <c r="J230" s="297"/>
      <c r="K230" s="297"/>
      <c r="L230" s="380"/>
      <c r="M230" s="297"/>
      <c r="N230" s="297"/>
      <c r="O230" s="297"/>
      <c r="P230" s="380"/>
      <c r="Q230" s="380"/>
      <c r="R230" s="380"/>
      <c r="S230" s="380"/>
      <c r="T230" s="297"/>
      <c r="U230" s="297"/>
      <c r="V230" s="380"/>
      <c r="W230" s="297"/>
      <c r="X230" s="297"/>
      <c r="Y230" s="297"/>
      <c r="Z230" s="380"/>
      <c r="AA230" s="297"/>
      <c r="AB230" s="297"/>
      <c r="AC230" s="297">
        <f>$AK$233*$D$192/5</f>
        <v>5435.375</v>
      </c>
      <c r="AD230" s="297">
        <f>$AK$233*$D$192/5</f>
        <v>5435.375</v>
      </c>
      <c r="AE230" s="297">
        <f>$AK$233*$D$192/5</f>
        <v>5435.375</v>
      </c>
      <c r="AF230" s="297">
        <f>$AK$233*$D$192/5</f>
        <v>5435.375</v>
      </c>
      <c r="AG230" s="380"/>
      <c r="AH230" s="297">
        <f>$AK$233*$D$192/5</f>
        <v>5435.375</v>
      </c>
      <c r="AI230" s="297">
        <f>$AK$233*$D$192/5</f>
        <v>5435.375</v>
      </c>
      <c r="AJ230" s="297">
        <f>$AK$233*$D$192/5</f>
        <v>5435.375</v>
      </c>
      <c r="AK230" s="409">
        <f>$AK$233*$D$192/5</f>
        <v>5435.375</v>
      </c>
      <c r="AL230" s="256">
        <f>SUM(I230:AK230)</f>
        <v>43483</v>
      </c>
      <c r="AM230" s="108"/>
      <c r="AN230" s="108"/>
      <c r="AO230" s="108"/>
      <c r="AP230" s="428"/>
      <c r="AQ230" s="108"/>
      <c r="AR230" s="108"/>
      <c r="AS230" s="428"/>
      <c r="AT230" s="428"/>
      <c r="AU230" s="121"/>
      <c r="AV230" s="428"/>
    </row>
    <row r="231" spans="1:48" hidden="1">
      <c r="A231" s="490"/>
      <c r="B231" s="500"/>
      <c r="C231" s="443"/>
      <c r="D231" s="468"/>
      <c r="E231" s="63"/>
      <c r="F231" s="433"/>
      <c r="G231" s="195"/>
      <c r="H231" s="187" t="s">
        <v>84</v>
      </c>
      <c r="I231" s="296"/>
      <c r="J231" s="296"/>
      <c r="K231" s="296"/>
      <c r="L231" s="380"/>
      <c r="M231" s="296"/>
      <c r="N231" s="296"/>
      <c r="O231" s="296"/>
      <c r="P231" s="380"/>
      <c r="Q231" s="380"/>
      <c r="R231" s="380"/>
      <c r="S231" s="380"/>
      <c r="T231" s="296"/>
      <c r="U231" s="296"/>
      <c r="V231" s="380"/>
      <c r="W231" s="296"/>
      <c r="X231" s="296"/>
      <c r="Y231" s="296"/>
      <c r="Z231" s="380"/>
      <c r="AA231" s="296"/>
      <c r="AB231" s="296"/>
      <c r="AC231" s="296">
        <v>1</v>
      </c>
      <c r="AD231" s="296">
        <v>1</v>
      </c>
      <c r="AE231" s="296">
        <v>1</v>
      </c>
      <c r="AF231" s="296">
        <v>1</v>
      </c>
      <c r="AG231" s="380"/>
      <c r="AH231" s="296">
        <v>1</v>
      </c>
      <c r="AI231" s="296">
        <v>1</v>
      </c>
      <c r="AJ231" s="296">
        <v>1</v>
      </c>
      <c r="AK231" s="408">
        <v>1</v>
      </c>
      <c r="AL231" s="256"/>
      <c r="AM231" s="108"/>
      <c r="AN231" s="108"/>
      <c r="AO231" s="108"/>
      <c r="AP231" s="428"/>
      <c r="AQ231" s="108"/>
      <c r="AR231" s="108"/>
      <c r="AS231" s="428"/>
      <c r="AT231" s="428"/>
      <c r="AU231" s="121"/>
      <c r="AV231" s="428"/>
    </row>
    <row r="232" spans="1:48" hidden="1">
      <c r="A232" s="490"/>
      <c r="B232" s="500"/>
      <c r="C232" s="443"/>
      <c r="D232" s="468"/>
      <c r="E232" s="63"/>
      <c r="F232" s="433"/>
      <c r="G232" s="195"/>
      <c r="H232" s="188" t="s">
        <v>15</v>
      </c>
      <c r="I232" s="226"/>
      <c r="J232" s="226"/>
      <c r="K232" s="226"/>
      <c r="L232" s="380"/>
      <c r="M232" s="226"/>
      <c r="N232" s="226"/>
      <c r="O232" s="215"/>
      <c r="P232" s="380"/>
      <c r="Q232" s="380"/>
      <c r="R232" s="380"/>
      <c r="S232" s="380"/>
      <c r="T232" s="226"/>
      <c r="U232" s="226"/>
      <c r="V232" s="380"/>
      <c r="W232" s="226"/>
      <c r="X232" s="226"/>
      <c r="Y232" s="215"/>
      <c r="Z232" s="380"/>
      <c r="AA232" s="226"/>
      <c r="AB232" s="226"/>
      <c r="AC232" s="226"/>
      <c r="AD232" s="226"/>
      <c r="AE232" s="226"/>
      <c r="AF232" s="226"/>
      <c r="AG232" s="380"/>
      <c r="AH232" s="226"/>
      <c r="AI232" s="226"/>
      <c r="AJ232" s="226"/>
      <c r="AK232" s="396"/>
      <c r="AL232" s="253">
        <f>SUM(I232:AK232)</f>
        <v>0</v>
      </c>
      <c r="AM232" s="108"/>
      <c r="AN232" s="108"/>
      <c r="AO232" s="108"/>
      <c r="AP232" s="428"/>
      <c r="AQ232" s="108"/>
      <c r="AR232" s="108"/>
      <c r="AS232" s="428"/>
      <c r="AT232" s="428"/>
      <c r="AU232" s="121"/>
      <c r="AV232" s="428"/>
    </row>
    <row r="233" spans="1:48" hidden="1">
      <c r="A233" s="490"/>
      <c r="B233" s="500"/>
      <c r="C233" s="443"/>
      <c r="D233" s="468"/>
      <c r="E233" s="63"/>
      <c r="F233" s="433"/>
      <c r="G233" s="195"/>
      <c r="H233" s="187" t="s">
        <v>32</v>
      </c>
      <c r="I233" s="296"/>
      <c r="J233" s="296"/>
      <c r="K233" s="296"/>
      <c r="L233" s="380"/>
      <c r="M233" s="296"/>
      <c r="N233" s="296"/>
      <c r="O233" s="190"/>
      <c r="P233" s="380"/>
      <c r="Q233" s="380"/>
      <c r="R233" s="380"/>
      <c r="S233" s="380"/>
      <c r="T233" s="296"/>
      <c r="U233" s="296"/>
      <c r="V233" s="380"/>
      <c r="W233" s="296"/>
      <c r="X233" s="296"/>
      <c r="Y233" s="190"/>
      <c r="Z233" s="380"/>
      <c r="AA233" s="296"/>
      <c r="AB233" s="296"/>
      <c r="AC233" s="296"/>
      <c r="AD233" s="296"/>
      <c r="AE233" s="296"/>
      <c r="AF233" s="296"/>
      <c r="AG233" s="380"/>
      <c r="AH233" s="296"/>
      <c r="AI233" s="296"/>
      <c r="AJ233" s="296"/>
      <c r="AK233" s="408">
        <f>($C$192*5)+($C$192*5*10%)</f>
        <v>18425</v>
      </c>
      <c r="AL233" s="256">
        <f>SUM(I233:AK233)</f>
        <v>18425</v>
      </c>
      <c r="AM233" s="108"/>
      <c r="AN233" s="108"/>
      <c r="AO233" s="108"/>
      <c r="AP233" s="428"/>
      <c r="AQ233" s="108"/>
      <c r="AR233" s="108"/>
      <c r="AS233" s="428"/>
      <c r="AT233" s="428"/>
      <c r="AU233" s="121"/>
      <c r="AV233" s="428"/>
    </row>
    <row r="234" spans="1:48" hidden="1">
      <c r="A234" s="490"/>
      <c r="B234" s="500"/>
      <c r="C234" s="443"/>
      <c r="D234" s="468"/>
      <c r="E234" s="63"/>
      <c r="F234" s="433"/>
      <c r="G234" s="195"/>
      <c r="H234" s="187" t="s">
        <v>33</v>
      </c>
      <c r="I234" s="296"/>
      <c r="J234" s="296"/>
      <c r="K234" s="296"/>
      <c r="L234" s="380"/>
      <c r="M234" s="296"/>
      <c r="N234" s="296"/>
      <c r="O234" s="190"/>
      <c r="P234" s="380"/>
      <c r="Q234" s="380"/>
      <c r="R234" s="380"/>
      <c r="S234" s="380"/>
      <c r="T234" s="296"/>
      <c r="U234" s="296"/>
      <c r="V234" s="380"/>
      <c r="W234" s="296"/>
      <c r="X234" s="296"/>
      <c r="Y234" s="190"/>
      <c r="Z234" s="380"/>
      <c r="AA234" s="296"/>
      <c r="AB234" s="296"/>
      <c r="AC234" s="296"/>
      <c r="AD234" s="296"/>
      <c r="AE234" s="296"/>
      <c r="AF234" s="296"/>
      <c r="AG234" s="380"/>
      <c r="AH234" s="296"/>
      <c r="AI234" s="296"/>
      <c r="AJ234" s="296"/>
      <c r="AK234" s="408">
        <v>1</v>
      </c>
      <c r="AL234" s="256"/>
      <c r="AM234" s="108"/>
      <c r="AN234" s="108"/>
      <c r="AO234" s="108"/>
      <c r="AP234" s="428"/>
      <c r="AQ234" s="108"/>
      <c r="AR234" s="108"/>
      <c r="AS234" s="428"/>
      <c r="AT234" s="428"/>
      <c r="AU234" s="121"/>
      <c r="AV234" s="428"/>
    </row>
    <row r="235" spans="1:48" hidden="1">
      <c r="A235" s="495"/>
      <c r="B235" s="507"/>
      <c r="C235" s="444"/>
      <c r="D235" s="480"/>
      <c r="E235" s="125"/>
      <c r="F235" s="434"/>
      <c r="G235" s="135"/>
      <c r="H235" s="192" t="s">
        <v>15</v>
      </c>
      <c r="I235" s="220"/>
      <c r="J235" s="220"/>
      <c r="K235" s="220"/>
      <c r="L235" s="397"/>
      <c r="M235" s="220"/>
      <c r="N235" s="220"/>
      <c r="O235" s="220"/>
      <c r="P235" s="397"/>
      <c r="Q235" s="397"/>
      <c r="R235" s="397"/>
      <c r="S235" s="397"/>
      <c r="T235" s="220"/>
      <c r="U235" s="220"/>
      <c r="V235" s="397"/>
      <c r="W235" s="220"/>
      <c r="X235" s="220"/>
      <c r="Y235" s="220"/>
      <c r="Z235" s="397"/>
      <c r="AA235" s="220"/>
      <c r="AB235" s="220"/>
      <c r="AC235" s="220"/>
      <c r="AD235" s="220"/>
      <c r="AE235" s="220"/>
      <c r="AF235" s="220"/>
      <c r="AG235" s="397"/>
      <c r="AH235" s="220"/>
      <c r="AI235" s="220"/>
      <c r="AJ235" s="220"/>
      <c r="AK235" s="400"/>
      <c r="AL235" s="305">
        <f>SUM(I235:AK235)</f>
        <v>0</v>
      </c>
      <c r="AM235" s="108"/>
      <c r="AN235" s="108"/>
      <c r="AO235" s="108"/>
      <c r="AP235" s="428"/>
      <c r="AQ235" s="108"/>
      <c r="AR235" s="108"/>
      <c r="AS235" s="428"/>
      <c r="AT235" s="428"/>
      <c r="AU235" s="121"/>
      <c r="AV235" s="428"/>
    </row>
    <row r="236" spans="1:48" hidden="1">
      <c r="C236" s="21"/>
      <c r="D236" s="21"/>
      <c r="E236" s="21"/>
      <c r="F236" s="21"/>
      <c r="AM236" s="309"/>
      <c r="AN236" s="310"/>
      <c r="AO236" s="309"/>
      <c r="AP236" s="309"/>
      <c r="AQ236" s="309"/>
      <c r="AR236" s="309"/>
      <c r="AS236" s="309"/>
      <c r="AT236" s="309"/>
      <c r="AU236" s="309"/>
      <c r="AV236" s="309"/>
    </row>
    <row r="237" spans="1:48" ht="30" customHeight="1">
      <c r="C237" s="21"/>
      <c r="D237" s="21"/>
      <c r="E237" s="21"/>
      <c r="F237" s="21"/>
      <c r="G237" s="292" t="s">
        <v>7</v>
      </c>
      <c r="H237" s="42" t="s">
        <v>8</v>
      </c>
      <c r="I237" s="38">
        <v>1</v>
      </c>
      <c r="J237" s="38">
        <v>2</v>
      </c>
      <c r="K237" s="38">
        <v>3</v>
      </c>
      <c r="L237" s="91">
        <v>4</v>
      </c>
      <c r="M237" s="38">
        <v>5</v>
      </c>
      <c r="N237" s="38">
        <v>6</v>
      </c>
      <c r="O237" s="38">
        <v>7</v>
      </c>
      <c r="P237" s="91">
        <v>8</v>
      </c>
      <c r="Q237" s="91">
        <v>9</v>
      </c>
      <c r="R237" s="91">
        <v>10</v>
      </c>
      <c r="S237" s="91">
        <v>11</v>
      </c>
      <c r="T237" s="38">
        <v>12</v>
      </c>
      <c r="U237" s="38">
        <v>13</v>
      </c>
      <c r="V237" s="91">
        <v>14</v>
      </c>
      <c r="W237" s="38">
        <v>15</v>
      </c>
      <c r="X237" s="38">
        <v>16</v>
      </c>
      <c r="Y237" s="38">
        <v>17</v>
      </c>
      <c r="Z237" s="91">
        <v>18</v>
      </c>
      <c r="AA237" s="38">
        <v>19</v>
      </c>
      <c r="AB237" s="38">
        <v>20</v>
      </c>
      <c r="AC237" s="38">
        <v>21</v>
      </c>
      <c r="AD237" s="38">
        <v>22</v>
      </c>
      <c r="AE237" s="38">
        <v>23</v>
      </c>
      <c r="AF237" s="38">
        <v>24</v>
      </c>
      <c r="AG237" s="91">
        <v>25</v>
      </c>
      <c r="AH237" s="38">
        <v>26</v>
      </c>
      <c r="AI237" s="38">
        <v>27</v>
      </c>
      <c r="AJ237" s="38">
        <v>28</v>
      </c>
      <c r="AK237" s="38">
        <v>29</v>
      </c>
      <c r="AL237" s="38" t="s">
        <v>9</v>
      </c>
      <c r="AM237" s="309"/>
      <c r="AN237" s="310"/>
      <c r="AO237" s="309"/>
      <c r="AP237" s="309"/>
      <c r="AQ237" s="309"/>
      <c r="AR237" s="309"/>
      <c r="AS237" s="309"/>
      <c r="AT237" s="309"/>
      <c r="AU237" s="309"/>
      <c r="AV237" s="309"/>
    </row>
    <row r="238" spans="1:48">
      <c r="C238" s="21"/>
      <c r="D238" s="21"/>
      <c r="E238" s="21"/>
      <c r="F238" s="21"/>
      <c r="G238" s="435">
        <v>0.08</v>
      </c>
      <c r="H238" s="185" t="s">
        <v>12</v>
      </c>
      <c r="I238" s="201">
        <v>0</v>
      </c>
      <c r="J238" s="201">
        <v>0</v>
      </c>
      <c r="K238" s="201">
        <v>75</v>
      </c>
      <c r="L238" s="379"/>
      <c r="M238" s="201">
        <f t="shared" ref="M238:O238" si="40">7100/20</f>
        <v>355</v>
      </c>
      <c r="N238" s="201">
        <f t="shared" si="40"/>
        <v>355</v>
      </c>
      <c r="O238" s="201">
        <f t="shared" si="40"/>
        <v>355</v>
      </c>
      <c r="P238" s="379"/>
      <c r="Q238" s="379"/>
      <c r="R238" s="379"/>
      <c r="S238" s="379"/>
      <c r="T238" s="201">
        <f t="shared" ref="T238:U238" si="41">7100/20</f>
        <v>355</v>
      </c>
      <c r="U238" s="201">
        <f t="shared" si="41"/>
        <v>355</v>
      </c>
      <c r="V238" s="379"/>
      <c r="W238" s="201">
        <f t="shared" ref="W238:Y238" si="42">7100/20</f>
        <v>355</v>
      </c>
      <c r="X238" s="201">
        <f t="shared" si="42"/>
        <v>355</v>
      </c>
      <c r="Y238" s="201">
        <f t="shared" si="42"/>
        <v>355</v>
      </c>
      <c r="Z238" s="379"/>
      <c r="AA238" s="201">
        <f t="shared" ref="AA238" si="43">7100/20</f>
        <v>355</v>
      </c>
      <c r="AB238" s="201">
        <v>325</v>
      </c>
      <c r="AC238" s="201">
        <f>6500/20</f>
        <v>325</v>
      </c>
      <c r="AD238" s="201">
        <f t="shared" ref="AD238:AH238" si="44">6500/20</f>
        <v>325</v>
      </c>
      <c r="AE238" s="201">
        <f t="shared" si="44"/>
        <v>325</v>
      </c>
      <c r="AF238" s="201">
        <v>216</v>
      </c>
      <c r="AG238" s="379"/>
      <c r="AH238" s="201">
        <f t="shared" si="44"/>
        <v>325</v>
      </c>
      <c r="AI238" s="201">
        <v>325</v>
      </c>
      <c r="AJ238" s="201">
        <v>325</v>
      </c>
      <c r="AK238" s="201">
        <v>325</v>
      </c>
      <c r="AL238" s="306">
        <f t="shared" ref="AL238:AL260" si="45">SUM(I238:AK238)</f>
        <v>6086</v>
      </c>
      <c r="AM238" s="309"/>
      <c r="AN238" s="310"/>
      <c r="AO238" s="309"/>
      <c r="AP238" s="309"/>
      <c r="AQ238" s="309"/>
      <c r="AR238" s="309"/>
      <c r="AS238" s="309"/>
      <c r="AT238" s="309"/>
      <c r="AU238" s="309"/>
      <c r="AV238" s="309"/>
    </row>
    <row r="239" spans="1:48">
      <c r="C239" s="21"/>
      <c r="D239" s="21"/>
      <c r="E239" s="21"/>
      <c r="F239" s="21"/>
      <c r="G239" s="436"/>
      <c r="H239" s="188" t="s">
        <v>15</v>
      </c>
      <c r="I239" s="209"/>
      <c r="J239" s="209"/>
      <c r="K239" s="209">
        <v>53.92</v>
      </c>
      <c r="L239" s="376"/>
      <c r="M239" s="209">
        <v>304.70999999999998</v>
      </c>
      <c r="N239" s="209">
        <v>376.65</v>
      </c>
      <c r="O239" s="209">
        <v>413.78</v>
      </c>
      <c r="P239" s="376"/>
      <c r="Q239" s="376"/>
      <c r="R239" s="376"/>
      <c r="S239" s="376"/>
      <c r="T239" s="209">
        <v>370.48</v>
      </c>
      <c r="U239" s="209">
        <v>342.84</v>
      </c>
      <c r="V239" s="376"/>
      <c r="W239" s="209">
        <v>375.36</v>
      </c>
      <c r="X239" s="209">
        <v>426.07</v>
      </c>
      <c r="Y239" s="209">
        <v>439.51</v>
      </c>
      <c r="Z239" s="376"/>
      <c r="AA239" s="209">
        <v>434.44</v>
      </c>
      <c r="AB239" s="209">
        <v>354.01</v>
      </c>
      <c r="AC239" s="209">
        <v>347.46</v>
      </c>
      <c r="AD239" s="209">
        <v>375.12</v>
      </c>
      <c r="AE239" s="209">
        <v>412.02</v>
      </c>
      <c r="AF239" s="209">
        <v>232.77</v>
      </c>
      <c r="AG239" s="376"/>
      <c r="AH239" s="209">
        <v>419.25</v>
      </c>
      <c r="AI239" s="209">
        <v>434.46</v>
      </c>
      <c r="AJ239" s="209">
        <v>466.36</v>
      </c>
      <c r="AK239" s="386">
        <v>466.05</v>
      </c>
      <c r="AL239" s="307">
        <f t="shared" si="45"/>
        <v>7045.26</v>
      </c>
      <c r="AM239" s="309"/>
      <c r="AN239" s="310"/>
      <c r="AO239" s="309"/>
      <c r="AP239" s="309"/>
      <c r="AQ239" s="309"/>
      <c r="AR239" s="309"/>
      <c r="AS239" s="309"/>
      <c r="AT239" s="309"/>
      <c r="AU239" s="309"/>
      <c r="AV239" s="309"/>
    </row>
    <row r="240" spans="1:48">
      <c r="C240" s="21"/>
      <c r="D240" s="21"/>
      <c r="E240" s="21"/>
      <c r="F240" s="21"/>
      <c r="G240" s="437"/>
      <c r="H240" s="188" t="s">
        <v>110</v>
      </c>
      <c r="I240" s="209">
        <f>I239-I238</f>
        <v>0</v>
      </c>
      <c r="J240" s="209">
        <f>I240+(J239-J238)</f>
        <v>0</v>
      </c>
      <c r="K240" s="209">
        <f>J240+(K239-K238)</f>
        <v>-21.08</v>
      </c>
      <c r="L240" s="376"/>
      <c r="M240" s="209">
        <f>K240+(M239-M238)</f>
        <v>-71.37</v>
      </c>
      <c r="N240" s="209">
        <f>M240+(N239-N238)</f>
        <v>-49.72</v>
      </c>
      <c r="O240" s="209">
        <f>N240+(O239-O238)</f>
        <v>9.0599999999999294</v>
      </c>
      <c r="P240" s="376"/>
      <c r="Q240" s="376"/>
      <c r="R240" s="376"/>
      <c r="S240" s="376"/>
      <c r="T240" s="209">
        <f>O240+(T239-T238)</f>
        <v>24.5399999999999</v>
      </c>
      <c r="U240" s="209">
        <f>T240+(U239-U238)</f>
        <v>12.3799999999999</v>
      </c>
      <c r="V240" s="376"/>
      <c r="W240" s="209">
        <f>U240+(W239-W238)</f>
        <v>32.739999999999903</v>
      </c>
      <c r="X240" s="209">
        <f>W240+(X239-X238)</f>
        <v>103.81</v>
      </c>
      <c r="Y240" s="209">
        <f>X240+(Y239-Y238)</f>
        <v>188.32</v>
      </c>
      <c r="Z240" s="376"/>
      <c r="AA240" s="209">
        <f>Y240+(AA239-AA238)</f>
        <v>267.76</v>
      </c>
      <c r="AB240" s="209">
        <f>AA240+(AB239-AB238)</f>
        <v>296.77</v>
      </c>
      <c r="AC240" s="209">
        <f>AB240+(AC239-AC238)</f>
        <v>319.23</v>
      </c>
      <c r="AD240" s="209">
        <f>AC240+(AD239-AD238)</f>
        <v>369.35</v>
      </c>
      <c r="AE240" s="209">
        <f>AD240+(AE239-AE238)</f>
        <v>456.37</v>
      </c>
      <c r="AF240" s="209">
        <f>AE240+(AF239-AF238)</f>
        <v>473.14</v>
      </c>
      <c r="AG240" s="376"/>
      <c r="AH240" s="209">
        <f>AF240+(AH239-AH238)</f>
        <v>567.39</v>
      </c>
      <c r="AI240" s="209">
        <f>AH240+(AI239-AI238)</f>
        <v>676.85</v>
      </c>
      <c r="AJ240" s="209">
        <f>AI240+(AJ239-AJ238)</f>
        <v>818.21</v>
      </c>
      <c r="AK240" s="209">
        <f>AJ240+(AK239-AK238)</f>
        <v>959.26</v>
      </c>
      <c r="AL240" s="307"/>
      <c r="AM240" s="309"/>
      <c r="AN240" s="310"/>
      <c r="AO240" s="309"/>
      <c r="AP240" s="309"/>
      <c r="AQ240" s="309"/>
      <c r="AR240" s="309"/>
      <c r="AS240" s="309"/>
      <c r="AT240" s="309"/>
      <c r="AU240" s="309"/>
      <c r="AV240" s="309"/>
    </row>
    <row r="241" spans="3:48">
      <c r="C241" s="21"/>
      <c r="D241" s="21"/>
      <c r="E241" s="21"/>
      <c r="F241" s="21"/>
      <c r="G241" s="438">
        <v>0.16</v>
      </c>
      <c r="H241" s="187" t="s">
        <v>12</v>
      </c>
      <c r="I241" s="210">
        <v>0</v>
      </c>
      <c r="J241" s="210">
        <v>0</v>
      </c>
      <c r="K241" s="210">
        <v>0</v>
      </c>
      <c r="L241" s="376"/>
      <c r="M241" s="210">
        <v>0</v>
      </c>
      <c r="N241" s="210">
        <v>0</v>
      </c>
      <c r="O241" s="210">
        <v>0</v>
      </c>
      <c r="P241" s="376"/>
      <c r="Q241" s="376"/>
      <c r="R241" s="376"/>
      <c r="S241" s="376"/>
      <c r="T241" s="210">
        <v>0</v>
      </c>
      <c r="U241" s="210">
        <v>0</v>
      </c>
      <c r="V241" s="376"/>
      <c r="W241" s="210">
        <v>0</v>
      </c>
      <c r="X241" s="210">
        <v>0</v>
      </c>
      <c r="Y241" s="210">
        <v>0</v>
      </c>
      <c r="Z241" s="376"/>
      <c r="AA241" s="210">
        <v>0</v>
      </c>
      <c r="AB241" s="210">
        <v>0</v>
      </c>
      <c r="AC241" s="210">
        <v>0</v>
      </c>
      <c r="AD241" s="210">
        <v>60</v>
      </c>
      <c r="AE241" s="210">
        <f t="shared" ref="AE241:AH241" si="46">1000/5</f>
        <v>200</v>
      </c>
      <c r="AF241" s="210">
        <f t="shared" si="46"/>
        <v>200</v>
      </c>
      <c r="AG241" s="376"/>
      <c r="AH241" s="210">
        <f t="shared" si="46"/>
        <v>200</v>
      </c>
      <c r="AI241" s="210">
        <v>140</v>
      </c>
      <c r="AJ241" s="210">
        <v>200</v>
      </c>
      <c r="AK241" s="387">
        <v>20</v>
      </c>
      <c r="AL241" s="308">
        <f t="shared" si="45"/>
        <v>1020</v>
      </c>
      <c r="AM241" s="309"/>
      <c r="AN241" s="310"/>
      <c r="AO241" s="309"/>
      <c r="AP241" s="309"/>
      <c r="AQ241" s="309"/>
      <c r="AR241" s="309"/>
      <c r="AS241" s="309"/>
      <c r="AT241" s="309"/>
      <c r="AU241" s="309"/>
      <c r="AV241" s="309"/>
    </row>
    <row r="242" spans="3:48">
      <c r="C242" s="21"/>
      <c r="D242" s="21"/>
      <c r="E242" s="21"/>
      <c r="F242" s="21"/>
      <c r="G242" s="436"/>
      <c r="H242" s="188" t="s">
        <v>15</v>
      </c>
      <c r="I242" s="209"/>
      <c r="J242" s="209"/>
      <c r="K242" s="209"/>
      <c r="L242" s="376"/>
      <c r="M242" s="209"/>
      <c r="N242" s="209"/>
      <c r="O242" s="209"/>
      <c r="P242" s="376"/>
      <c r="Q242" s="376"/>
      <c r="R242" s="376"/>
      <c r="S242" s="376"/>
      <c r="T242" s="209"/>
      <c r="U242" s="209"/>
      <c r="V242" s="376"/>
      <c r="W242" s="209"/>
      <c r="X242" s="209"/>
      <c r="Y242" s="209"/>
      <c r="Z242" s="376"/>
      <c r="AA242" s="209"/>
      <c r="AB242" s="209"/>
      <c r="AC242" s="209"/>
      <c r="AD242" s="209">
        <v>61.41</v>
      </c>
      <c r="AE242" s="209">
        <v>239.27</v>
      </c>
      <c r="AF242" s="209">
        <v>132.66999999999999</v>
      </c>
      <c r="AG242" s="376"/>
      <c r="AH242" s="209">
        <v>243.19</v>
      </c>
      <c r="AI242" s="209">
        <v>109.49</v>
      </c>
      <c r="AJ242" s="209">
        <v>200.11</v>
      </c>
      <c r="AK242" s="386">
        <v>41.8</v>
      </c>
      <c r="AL242" s="307">
        <f t="shared" si="45"/>
        <v>1027.94</v>
      </c>
      <c r="AM242" s="309"/>
      <c r="AN242" s="310"/>
      <c r="AO242" s="309"/>
      <c r="AP242" s="309"/>
      <c r="AQ242" s="309"/>
      <c r="AR242" s="309"/>
      <c r="AS242" s="309"/>
      <c r="AT242" s="309"/>
      <c r="AU242" s="309"/>
      <c r="AV242" s="309"/>
    </row>
    <row r="243" spans="3:48">
      <c r="C243" s="21"/>
      <c r="D243" s="21"/>
      <c r="E243" s="21"/>
      <c r="F243" s="21"/>
      <c r="G243" s="437"/>
      <c r="H243" s="188" t="s">
        <v>110</v>
      </c>
      <c r="I243" s="209">
        <f>I242-I241</f>
        <v>0</v>
      </c>
      <c r="J243" s="209">
        <f>I243+(J242-J241)</f>
        <v>0</v>
      </c>
      <c r="K243" s="209">
        <f>J243+(K242-K241)</f>
        <v>0</v>
      </c>
      <c r="L243" s="376"/>
      <c r="M243" s="209">
        <f>K243+(M242-M241)</f>
        <v>0</v>
      </c>
      <c r="N243" s="209">
        <f>M243+(N242-N241)</f>
        <v>0</v>
      </c>
      <c r="O243" s="209">
        <f>N243+(O242-O241)</f>
        <v>0</v>
      </c>
      <c r="P243" s="376"/>
      <c r="Q243" s="376"/>
      <c r="R243" s="376"/>
      <c r="S243" s="376"/>
      <c r="T243" s="209">
        <f>O243+(T242-T241)</f>
        <v>0</v>
      </c>
      <c r="U243" s="209">
        <f>T243+(U242-U241)</f>
        <v>0</v>
      </c>
      <c r="V243" s="376"/>
      <c r="W243" s="209">
        <f>U243+(W242-W241)</f>
        <v>0</v>
      </c>
      <c r="X243" s="209">
        <f>W243+(X242-X241)</f>
        <v>0</v>
      </c>
      <c r="Y243" s="209">
        <f>X243+(Y242-Y241)</f>
        <v>0</v>
      </c>
      <c r="Z243" s="376"/>
      <c r="AA243" s="209">
        <f>Y243+(AA242-AA241)</f>
        <v>0</v>
      </c>
      <c r="AB243" s="209">
        <f>AA243+(AB242-AB241)</f>
        <v>0</v>
      </c>
      <c r="AC243" s="209">
        <f>AB243+(AC242-AC241)</f>
        <v>0</v>
      </c>
      <c r="AD243" s="209">
        <f>AC243+(AD242-AD241)</f>
        <v>1.41</v>
      </c>
      <c r="AE243" s="209">
        <f>AD243+(AE242-AE241)</f>
        <v>40.68</v>
      </c>
      <c r="AF243" s="209">
        <f>AE243+(AF242-AF241)</f>
        <v>-26.65</v>
      </c>
      <c r="AG243" s="376"/>
      <c r="AH243" s="209">
        <f>AF243+(AH242-AH241)</f>
        <v>16.54</v>
      </c>
      <c r="AI243" s="209">
        <f>AH243+(AI242-AI241)</f>
        <v>-13.97</v>
      </c>
      <c r="AJ243" s="209">
        <f>AI243+(AJ242-AJ241)</f>
        <v>-13.86</v>
      </c>
      <c r="AK243" s="209">
        <f>AJ243+(AK242-AK241)</f>
        <v>7.94</v>
      </c>
      <c r="AL243" s="307"/>
      <c r="AM243" s="309"/>
      <c r="AN243" s="310"/>
      <c r="AO243" s="309"/>
      <c r="AP243" s="309"/>
      <c r="AQ243" s="309"/>
      <c r="AR243" s="309"/>
      <c r="AS243" s="309"/>
      <c r="AT243" s="309"/>
      <c r="AU243" s="309"/>
      <c r="AV243" s="309"/>
    </row>
    <row r="244" spans="3:48">
      <c r="C244" s="21"/>
      <c r="D244" s="21"/>
      <c r="E244" s="21"/>
      <c r="F244" s="21"/>
      <c r="G244" s="438">
        <v>0.127</v>
      </c>
      <c r="H244" s="187" t="s">
        <v>12</v>
      </c>
      <c r="I244" s="229">
        <v>0</v>
      </c>
      <c r="J244" s="229">
        <v>0</v>
      </c>
      <c r="K244" s="229">
        <v>0</v>
      </c>
      <c r="L244" s="404"/>
      <c r="M244" s="229">
        <v>0</v>
      </c>
      <c r="N244" s="229">
        <v>0</v>
      </c>
      <c r="O244" s="229">
        <v>0</v>
      </c>
      <c r="P244" s="404"/>
      <c r="Q244" s="404"/>
      <c r="R244" s="404"/>
      <c r="S244" s="404"/>
      <c r="T244" s="229">
        <v>0</v>
      </c>
      <c r="U244" s="229">
        <v>0</v>
      </c>
      <c r="V244" s="404"/>
      <c r="W244" s="229">
        <v>0</v>
      </c>
      <c r="X244" s="229">
        <v>0</v>
      </c>
      <c r="Y244" s="229">
        <v>0</v>
      </c>
      <c r="Z244" s="404"/>
      <c r="AA244" s="229">
        <v>0</v>
      </c>
      <c r="AB244" s="229">
        <v>0</v>
      </c>
      <c r="AC244" s="229">
        <v>0</v>
      </c>
      <c r="AD244" s="229">
        <v>0</v>
      </c>
      <c r="AE244" s="229">
        <f>200/2</f>
        <v>100</v>
      </c>
      <c r="AF244" s="229">
        <v>50</v>
      </c>
      <c r="AG244" s="404"/>
      <c r="AH244" s="229">
        <v>0</v>
      </c>
      <c r="AI244" s="229">
        <v>0</v>
      </c>
      <c r="AJ244" s="229">
        <v>0</v>
      </c>
      <c r="AK244" s="394">
        <v>0</v>
      </c>
      <c r="AL244" s="308">
        <f t="shared" si="45"/>
        <v>150</v>
      </c>
      <c r="AM244" s="309"/>
      <c r="AN244" s="310"/>
      <c r="AO244" s="309"/>
      <c r="AP244" s="309"/>
      <c r="AQ244" s="309"/>
      <c r="AR244" s="309"/>
      <c r="AS244" s="309"/>
      <c r="AT244" s="309"/>
      <c r="AU244" s="309"/>
      <c r="AV244" s="309"/>
    </row>
    <row r="245" spans="3:48">
      <c r="C245" s="21"/>
      <c r="D245" s="21"/>
      <c r="E245" s="21"/>
      <c r="F245" s="21"/>
      <c r="G245" s="436"/>
      <c r="H245" s="188" t="s">
        <v>15</v>
      </c>
      <c r="I245" s="209"/>
      <c r="J245" s="209"/>
      <c r="K245" s="209"/>
      <c r="L245" s="376"/>
      <c r="M245" s="209"/>
      <c r="N245" s="209"/>
      <c r="O245" s="209"/>
      <c r="P245" s="376"/>
      <c r="Q245" s="376"/>
      <c r="R245" s="376"/>
      <c r="S245" s="376"/>
      <c r="T245" s="209"/>
      <c r="U245" s="209"/>
      <c r="V245" s="376"/>
      <c r="W245" s="209"/>
      <c r="X245" s="209"/>
      <c r="Y245" s="209"/>
      <c r="Z245" s="376"/>
      <c r="AA245" s="209"/>
      <c r="AB245" s="209"/>
      <c r="AC245" s="209"/>
      <c r="AD245" s="209"/>
      <c r="AE245" s="209">
        <v>121.4</v>
      </c>
      <c r="AF245" s="209">
        <v>34.18</v>
      </c>
      <c r="AG245" s="376"/>
      <c r="AH245" s="209"/>
      <c r="AI245" s="209"/>
      <c r="AJ245" s="209"/>
      <c r="AK245" s="386"/>
      <c r="AL245" s="307">
        <f t="shared" si="45"/>
        <v>155.58000000000001</v>
      </c>
      <c r="AM245" s="309"/>
      <c r="AN245" s="310"/>
      <c r="AO245" s="309"/>
      <c r="AP245" s="309"/>
      <c r="AQ245" s="309"/>
      <c r="AR245" s="309"/>
      <c r="AS245" s="309"/>
      <c r="AT245" s="309"/>
      <c r="AU245" s="309"/>
      <c r="AV245" s="309"/>
    </row>
    <row r="246" spans="3:48">
      <c r="C246" s="21"/>
      <c r="D246" s="21"/>
      <c r="E246" s="21"/>
      <c r="F246" s="21"/>
      <c r="G246" s="437"/>
      <c r="H246" s="188" t="s">
        <v>110</v>
      </c>
      <c r="I246" s="209">
        <f>I245-I244</f>
        <v>0</v>
      </c>
      <c r="J246" s="209">
        <f>I246+(J245-J244)</f>
        <v>0</v>
      </c>
      <c r="K246" s="209">
        <f>J246+(K245-K244)</f>
        <v>0</v>
      </c>
      <c r="L246" s="376"/>
      <c r="M246" s="209">
        <f>K246+(M245-M244)</f>
        <v>0</v>
      </c>
      <c r="N246" s="209">
        <f>M246+(N245-N244)</f>
        <v>0</v>
      </c>
      <c r="O246" s="209">
        <f>N246+(O245-O244)</f>
        <v>0</v>
      </c>
      <c r="P246" s="376"/>
      <c r="Q246" s="376"/>
      <c r="R246" s="376"/>
      <c r="S246" s="376"/>
      <c r="T246" s="209">
        <f>O246+(T245-T244)</f>
        <v>0</v>
      </c>
      <c r="U246" s="209">
        <f>T246+(U245-U244)</f>
        <v>0</v>
      </c>
      <c r="V246" s="376"/>
      <c r="W246" s="209">
        <f>U246+(W245-W244)</f>
        <v>0</v>
      </c>
      <c r="X246" s="209">
        <f>W246+(X245-X244)</f>
        <v>0</v>
      </c>
      <c r="Y246" s="209">
        <f>X246+(Y245-Y244)</f>
        <v>0</v>
      </c>
      <c r="Z246" s="376"/>
      <c r="AA246" s="209">
        <f>Y246+(AA245-AA244)</f>
        <v>0</v>
      </c>
      <c r="AB246" s="209">
        <f>AA246+(AB245-AB244)</f>
        <v>0</v>
      </c>
      <c r="AC246" s="209">
        <f>AB246+(AC245-AC244)</f>
        <v>0</v>
      </c>
      <c r="AD246" s="209">
        <f>AC246+(AD245-AD244)</f>
        <v>0</v>
      </c>
      <c r="AE246" s="209">
        <f>AD246+(AE245-AE244)</f>
        <v>21.4</v>
      </c>
      <c r="AF246" s="209">
        <f>AE246+(AF245-AF244)</f>
        <v>5.5800000000000098</v>
      </c>
      <c r="AG246" s="376"/>
      <c r="AH246" s="209">
        <f>AF246+(AH245-AH244)</f>
        <v>5.5800000000000098</v>
      </c>
      <c r="AI246" s="209"/>
      <c r="AJ246" s="209"/>
      <c r="AK246" s="386"/>
      <c r="AL246" s="307"/>
      <c r="AM246" s="309"/>
      <c r="AN246" s="310"/>
      <c r="AO246" s="309"/>
      <c r="AP246" s="309"/>
      <c r="AQ246" s="309"/>
      <c r="AR246" s="309"/>
      <c r="AS246" s="309"/>
      <c r="AT246" s="309"/>
      <c r="AU246" s="309"/>
      <c r="AV246" s="309"/>
    </row>
    <row r="247" spans="3:48">
      <c r="C247" s="21"/>
      <c r="D247" s="21"/>
      <c r="E247" s="21"/>
      <c r="F247" s="21"/>
      <c r="G247" s="438">
        <v>0.12</v>
      </c>
      <c r="H247" s="187" t="s">
        <v>12</v>
      </c>
      <c r="I247" s="229">
        <v>0</v>
      </c>
      <c r="J247" s="229">
        <v>0</v>
      </c>
      <c r="K247" s="229">
        <v>0</v>
      </c>
      <c r="L247" s="404"/>
      <c r="M247" s="229">
        <v>0</v>
      </c>
      <c r="N247" s="229">
        <v>0</v>
      </c>
      <c r="O247" s="229">
        <v>0</v>
      </c>
      <c r="P247" s="404"/>
      <c r="Q247" s="404"/>
      <c r="R247" s="404"/>
      <c r="S247" s="404"/>
      <c r="T247" s="229">
        <v>0</v>
      </c>
      <c r="U247" s="229">
        <v>0</v>
      </c>
      <c r="V247" s="404"/>
      <c r="W247" s="229">
        <v>0</v>
      </c>
      <c r="X247" s="229">
        <v>0</v>
      </c>
      <c r="Y247" s="229">
        <v>0</v>
      </c>
      <c r="Z247" s="404"/>
      <c r="AA247" s="229">
        <v>0</v>
      </c>
      <c r="AB247" s="229">
        <v>0</v>
      </c>
      <c r="AC247" s="229">
        <v>0</v>
      </c>
      <c r="AD247" s="229">
        <v>0</v>
      </c>
      <c r="AE247" s="229">
        <v>0</v>
      </c>
      <c r="AF247" s="229">
        <v>0</v>
      </c>
      <c r="AG247" s="404"/>
      <c r="AH247" s="229">
        <v>0</v>
      </c>
      <c r="AI247" s="229">
        <v>0</v>
      </c>
      <c r="AJ247" s="229">
        <v>0</v>
      </c>
      <c r="AK247" s="394">
        <v>0</v>
      </c>
      <c r="AL247" s="308">
        <f t="shared" si="45"/>
        <v>0</v>
      </c>
      <c r="AM247" s="309"/>
      <c r="AN247" s="310"/>
      <c r="AO247" s="309"/>
      <c r="AP247" s="309"/>
      <c r="AQ247" s="309"/>
      <c r="AR247" s="309"/>
      <c r="AS247" s="309"/>
      <c r="AT247" s="309"/>
      <c r="AU247" s="309"/>
      <c r="AV247" s="309"/>
    </row>
    <row r="248" spans="3:48">
      <c r="C248" s="21"/>
      <c r="D248" s="21"/>
      <c r="E248" s="21"/>
      <c r="F248" s="21"/>
      <c r="G248" s="436"/>
      <c r="H248" s="188" t="s">
        <v>15</v>
      </c>
      <c r="I248" s="209"/>
      <c r="J248" s="209"/>
      <c r="K248" s="209"/>
      <c r="L248" s="376"/>
      <c r="M248" s="209"/>
      <c r="N248" s="209"/>
      <c r="O248" s="209"/>
      <c r="P248" s="376"/>
      <c r="Q248" s="376"/>
      <c r="R248" s="376"/>
      <c r="S248" s="376"/>
      <c r="T248" s="209"/>
      <c r="U248" s="209"/>
      <c r="V248" s="376"/>
      <c r="W248" s="209"/>
      <c r="X248" s="209"/>
      <c r="Y248" s="209"/>
      <c r="Z248" s="376"/>
      <c r="AA248" s="209"/>
      <c r="AB248" s="209"/>
      <c r="AC248" s="209"/>
      <c r="AD248" s="209"/>
      <c r="AE248" s="209"/>
      <c r="AF248" s="209"/>
      <c r="AG248" s="376"/>
      <c r="AH248" s="209"/>
      <c r="AI248" s="209"/>
      <c r="AJ248" s="209"/>
      <c r="AK248" s="386"/>
      <c r="AL248" s="307">
        <f t="shared" si="45"/>
        <v>0</v>
      </c>
      <c r="AM248" s="309"/>
      <c r="AN248" s="310"/>
      <c r="AO248" s="309"/>
      <c r="AP248" s="309"/>
      <c r="AQ248" s="309"/>
      <c r="AR248" s="309"/>
      <c r="AS248" s="309"/>
      <c r="AT248" s="309"/>
      <c r="AU248" s="309"/>
      <c r="AV248" s="309"/>
    </row>
    <row r="249" spans="3:48">
      <c r="C249" s="21"/>
      <c r="D249" s="21"/>
      <c r="E249" s="21"/>
      <c r="F249" s="21"/>
      <c r="G249" s="437"/>
      <c r="H249" s="188" t="s">
        <v>110</v>
      </c>
      <c r="I249" s="209">
        <f>I248-I247</f>
        <v>0</v>
      </c>
      <c r="J249" s="209">
        <f>I249+(J248-J247)</f>
        <v>0</v>
      </c>
      <c r="K249" s="209">
        <f>J249+(K248-K247)</f>
        <v>0</v>
      </c>
      <c r="L249" s="376"/>
      <c r="M249" s="209">
        <f>K249+(M248-M247)</f>
        <v>0</v>
      </c>
      <c r="N249" s="209">
        <f>M249+(N248-N247)</f>
        <v>0</v>
      </c>
      <c r="O249" s="209">
        <f>N249+(O248-O247)</f>
        <v>0</v>
      </c>
      <c r="P249" s="376"/>
      <c r="Q249" s="376"/>
      <c r="R249" s="376"/>
      <c r="S249" s="376"/>
      <c r="T249" s="209">
        <f>O249+(T248-T247)</f>
        <v>0</v>
      </c>
      <c r="U249" s="209">
        <f>T249+(U248-U247)</f>
        <v>0</v>
      </c>
      <c r="V249" s="376"/>
      <c r="W249" s="209">
        <f>U249+(W248-W247)</f>
        <v>0</v>
      </c>
      <c r="X249" s="209">
        <f>W249+(X248-X247)</f>
        <v>0</v>
      </c>
      <c r="Y249" s="209">
        <f>X249+(Y248-Y247)</f>
        <v>0</v>
      </c>
      <c r="Z249" s="376"/>
      <c r="AA249" s="209">
        <f>Y249+(AA248-AA247)</f>
        <v>0</v>
      </c>
      <c r="AB249" s="209">
        <f>AA249+(AB248-AB247)</f>
        <v>0</v>
      </c>
      <c r="AC249" s="209">
        <f>AB249+(AC248-AC247)</f>
        <v>0</v>
      </c>
      <c r="AD249" s="209">
        <f>AC249+(AD248-AD247)</f>
        <v>0</v>
      </c>
      <c r="AE249" s="209"/>
      <c r="AF249" s="209"/>
      <c r="AG249" s="376"/>
      <c r="AH249" s="209"/>
      <c r="AI249" s="209"/>
      <c r="AJ249" s="209"/>
      <c r="AK249" s="386"/>
      <c r="AL249" s="307"/>
      <c r="AM249" s="309"/>
      <c r="AN249" s="310"/>
      <c r="AO249" s="309"/>
      <c r="AP249" s="309"/>
      <c r="AQ249" s="309"/>
      <c r="AR249" s="309"/>
      <c r="AS249" s="309"/>
      <c r="AT249" s="309"/>
      <c r="AU249" s="309"/>
      <c r="AV249" s="309"/>
    </row>
    <row r="250" spans="3:48">
      <c r="C250" s="21"/>
      <c r="D250" s="21"/>
      <c r="E250" s="21"/>
      <c r="F250" s="21"/>
      <c r="G250" s="438">
        <v>0.1</v>
      </c>
      <c r="H250" s="187" t="s">
        <v>12</v>
      </c>
      <c r="I250" s="229">
        <v>0</v>
      </c>
      <c r="J250" s="229">
        <v>0</v>
      </c>
      <c r="K250" s="229">
        <v>0</v>
      </c>
      <c r="L250" s="404"/>
      <c r="M250" s="229">
        <v>0</v>
      </c>
      <c r="N250" s="229">
        <v>0</v>
      </c>
      <c r="O250" s="229">
        <v>0</v>
      </c>
      <c r="P250" s="404"/>
      <c r="Q250" s="404"/>
      <c r="R250" s="404"/>
      <c r="S250" s="404"/>
      <c r="T250" s="229">
        <v>0</v>
      </c>
      <c r="U250" s="229">
        <v>0</v>
      </c>
      <c r="V250" s="404"/>
      <c r="W250" s="229">
        <v>0</v>
      </c>
      <c r="X250" s="229">
        <v>0</v>
      </c>
      <c r="Y250" s="229">
        <v>0</v>
      </c>
      <c r="Z250" s="404"/>
      <c r="AA250" s="229">
        <v>0</v>
      </c>
      <c r="AB250" s="229">
        <v>0</v>
      </c>
      <c r="AC250" s="210">
        <f>(300/20)*7</f>
        <v>105</v>
      </c>
      <c r="AD250" s="210">
        <f>(300/20)*7</f>
        <v>105</v>
      </c>
      <c r="AE250" s="229">
        <v>0</v>
      </c>
      <c r="AF250" s="229">
        <v>0</v>
      </c>
      <c r="AG250" s="404"/>
      <c r="AH250" s="210">
        <v>0</v>
      </c>
      <c r="AI250" s="210">
        <v>0</v>
      </c>
      <c r="AJ250" s="210">
        <v>0</v>
      </c>
      <c r="AK250" s="394">
        <v>0</v>
      </c>
      <c r="AL250" s="308">
        <f t="shared" si="45"/>
        <v>210</v>
      </c>
      <c r="AM250" s="309"/>
      <c r="AN250" s="310"/>
      <c r="AO250" s="309"/>
      <c r="AP250" s="309"/>
      <c r="AQ250" s="309"/>
      <c r="AR250" s="309"/>
      <c r="AS250" s="309"/>
      <c r="AT250" s="309"/>
      <c r="AU250" s="309"/>
      <c r="AV250" s="309"/>
    </row>
    <row r="251" spans="3:48">
      <c r="C251" s="21"/>
      <c r="D251" s="21"/>
      <c r="E251" s="21"/>
      <c r="F251" s="21"/>
      <c r="G251" s="436"/>
      <c r="H251" s="188" t="s">
        <v>15</v>
      </c>
      <c r="I251" s="209"/>
      <c r="J251" s="209"/>
      <c r="K251" s="209"/>
      <c r="L251" s="376"/>
      <c r="M251" s="209"/>
      <c r="N251" s="209"/>
      <c r="O251" s="209"/>
      <c r="P251" s="376"/>
      <c r="Q251" s="376"/>
      <c r="R251" s="376"/>
      <c r="S251" s="376"/>
      <c r="T251" s="209"/>
      <c r="U251" s="209"/>
      <c r="V251" s="376"/>
      <c r="W251" s="209"/>
      <c r="X251" s="209"/>
      <c r="Y251" s="209"/>
      <c r="Z251" s="376"/>
      <c r="AA251" s="209"/>
      <c r="AB251" s="209"/>
      <c r="AC251" s="209">
        <v>110.65</v>
      </c>
      <c r="AD251" s="209">
        <v>111.85</v>
      </c>
      <c r="AE251" s="209">
        <v>24.19</v>
      </c>
      <c r="AF251" s="209"/>
      <c r="AG251" s="376"/>
      <c r="AH251" s="209"/>
      <c r="AI251" s="209"/>
      <c r="AJ251" s="209"/>
      <c r="AK251" s="386"/>
      <c r="AL251" s="307">
        <f t="shared" si="45"/>
        <v>246.69</v>
      </c>
      <c r="AM251" s="309"/>
      <c r="AN251" s="310"/>
      <c r="AO251" s="309"/>
      <c r="AP251" s="309"/>
      <c r="AQ251" s="309"/>
      <c r="AR251" s="309"/>
      <c r="AS251" s="309"/>
      <c r="AT251" s="309"/>
      <c r="AU251" s="309"/>
      <c r="AV251" s="309"/>
    </row>
    <row r="252" spans="3:48">
      <c r="C252" s="21"/>
      <c r="D252" s="21"/>
      <c r="E252" s="21"/>
      <c r="F252" s="21"/>
      <c r="G252" s="437"/>
      <c r="H252" s="188" t="s">
        <v>110</v>
      </c>
      <c r="I252" s="209">
        <f>I251-I250</f>
        <v>0</v>
      </c>
      <c r="J252" s="209">
        <f>I252+(J251-J250)</f>
        <v>0</v>
      </c>
      <c r="K252" s="209">
        <f>J252+(K251-K250)</f>
        <v>0</v>
      </c>
      <c r="L252" s="376"/>
      <c r="M252" s="209">
        <f>K252+(M251-M250)</f>
        <v>0</v>
      </c>
      <c r="N252" s="209">
        <f>M252+(N251-N250)</f>
        <v>0</v>
      </c>
      <c r="O252" s="209">
        <f>N252+(O251-O250)</f>
        <v>0</v>
      </c>
      <c r="P252" s="376"/>
      <c r="Q252" s="376"/>
      <c r="R252" s="376"/>
      <c r="S252" s="376"/>
      <c r="T252" s="209">
        <f>O252+(T251-T250)</f>
        <v>0</v>
      </c>
      <c r="U252" s="209">
        <f>T252+(U251-U250)</f>
        <v>0</v>
      </c>
      <c r="V252" s="376"/>
      <c r="W252" s="209">
        <f>U252+(W251-W250)</f>
        <v>0</v>
      </c>
      <c r="X252" s="209">
        <f>W252+(X251-X250)</f>
        <v>0</v>
      </c>
      <c r="Y252" s="209">
        <f>X252+(Y251-Y250)</f>
        <v>0</v>
      </c>
      <c r="Z252" s="376"/>
      <c r="AA252" s="209">
        <f>Y252+(AA251-AA250)</f>
        <v>0</v>
      </c>
      <c r="AB252" s="209">
        <f>AA252+(AB251-AB250)</f>
        <v>0</v>
      </c>
      <c r="AC252" s="209">
        <f>AB252+(AC251-AC250)</f>
        <v>5.6500000000000101</v>
      </c>
      <c r="AD252" s="209">
        <f>AC252+(AD251-AD250)</f>
        <v>12.5</v>
      </c>
      <c r="AE252" s="209">
        <f>AD252+(AE251-AE250)</f>
        <v>36.69</v>
      </c>
      <c r="AF252" s="209"/>
      <c r="AG252" s="376"/>
      <c r="AH252" s="209"/>
      <c r="AI252" s="209"/>
      <c r="AJ252" s="209"/>
      <c r="AK252" s="386"/>
      <c r="AL252" s="307"/>
      <c r="AM252" s="309"/>
      <c r="AN252" s="310"/>
      <c r="AO252" s="309"/>
      <c r="AP252" s="309"/>
      <c r="AQ252" s="309"/>
      <c r="AR252" s="309"/>
      <c r="AS252" s="309"/>
      <c r="AT252" s="309"/>
      <c r="AU252" s="309"/>
      <c r="AV252" s="309"/>
    </row>
    <row r="253" spans="3:48">
      <c r="C253" s="21"/>
      <c r="D253" s="21"/>
      <c r="E253" s="21"/>
      <c r="F253" s="21"/>
      <c r="G253" s="438">
        <v>0.2</v>
      </c>
      <c r="H253" s="187" t="s">
        <v>12</v>
      </c>
      <c r="I253" s="229">
        <v>0</v>
      </c>
      <c r="J253" s="229">
        <v>0</v>
      </c>
      <c r="K253" s="229">
        <v>0</v>
      </c>
      <c r="L253" s="376"/>
      <c r="M253" s="229">
        <v>0</v>
      </c>
      <c r="N253" s="210">
        <f>(1300/20)*2</f>
        <v>130</v>
      </c>
      <c r="O253" s="210">
        <f>(1300/20)*3</f>
        <v>195</v>
      </c>
      <c r="P253" s="376"/>
      <c r="Q253" s="376"/>
      <c r="R253" s="376"/>
      <c r="S253" s="376"/>
      <c r="T253" s="210">
        <f>(1300/20)*2</f>
        <v>130</v>
      </c>
      <c r="U253" s="210">
        <f t="shared" ref="U253" si="47">1300/20</f>
        <v>65</v>
      </c>
      <c r="V253" s="376"/>
      <c r="W253" s="229">
        <v>0</v>
      </c>
      <c r="X253" s="229">
        <v>0</v>
      </c>
      <c r="Y253" s="229">
        <v>0</v>
      </c>
      <c r="Z253" s="376"/>
      <c r="AA253" s="229">
        <v>0</v>
      </c>
      <c r="AB253" s="229">
        <v>0</v>
      </c>
      <c r="AC253" s="229">
        <v>0</v>
      </c>
      <c r="AD253" s="229">
        <v>0</v>
      </c>
      <c r="AE253" s="229">
        <v>0</v>
      </c>
      <c r="AF253" s="229">
        <v>0</v>
      </c>
      <c r="AG253" s="376"/>
      <c r="AH253" s="210">
        <v>0</v>
      </c>
      <c r="AI253" s="210">
        <v>0</v>
      </c>
      <c r="AJ253" s="210">
        <v>0</v>
      </c>
      <c r="AK253" s="387">
        <v>0</v>
      </c>
      <c r="AL253" s="308">
        <f t="shared" si="45"/>
        <v>520</v>
      </c>
      <c r="AM253" s="309"/>
      <c r="AN253" s="310"/>
      <c r="AO253" s="309"/>
      <c r="AP253" s="309"/>
      <c r="AQ253" s="309"/>
      <c r="AR253" s="309"/>
      <c r="AS253" s="309"/>
      <c r="AT253" s="309"/>
      <c r="AU253" s="309"/>
      <c r="AV253" s="309"/>
    </row>
    <row r="254" spans="3:48">
      <c r="C254" s="21"/>
      <c r="D254" s="21"/>
      <c r="E254" s="21"/>
      <c r="F254" s="21"/>
      <c r="G254" s="436"/>
      <c r="H254" s="188" t="s">
        <v>15</v>
      </c>
      <c r="I254" s="209"/>
      <c r="J254" s="209"/>
      <c r="K254" s="209"/>
      <c r="L254" s="376"/>
      <c r="M254" s="209"/>
      <c r="N254" s="215">
        <v>148.75</v>
      </c>
      <c r="O254" s="215">
        <v>312.32</v>
      </c>
      <c r="P254" s="376"/>
      <c r="Q254" s="376"/>
      <c r="R254" s="376"/>
      <c r="S254" s="376"/>
      <c r="T254" s="215">
        <v>286.31</v>
      </c>
      <c r="U254" s="215">
        <v>133.27000000000001</v>
      </c>
      <c r="V254" s="376"/>
      <c r="W254" s="209"/>
      <c r="X254" s="209"/>
      <c r="Y254" s="209"/>
      <c r="Z254" s="376"/>
      <c r="AA254" s="209"/>
      <c r="AB254" s="209"/>
      <c r="AC254" s="209"/>
      <c r="AD254" s="209"/>
      <c r="AE254" s="209"/>
      <c r="AF254" s="209"/>
      <c r="AG254" s="376"/>
      <c r="AH254" s="209"/>
      <c r="AI254" s="209"/>
      <c r="AJ254" s="209"/>
      <c r="AK254" s="386"/>
      <c r="AL254" s="307">
        <f t="shared" si="45"/>
        <v>880.65</v>
      </c>
      <c r="AM254" s="309"/>
      <c r="AN254" s="310"/>
      <c r="AO254" s="309"/>
      <c r="AP254" s="309"/>
      <c r="AQ254" s="309"/>
      <c r="AR254" s="309"/>
      <c r="AS254" s="309"/>
      <c r="AT254" s="309"/>
      <c r="AU254" s="309"/>
      <c r="AV254" s="309"/>
    </row>
    <row r="255" spans="3:48">
      <c r="C255" s="21"/>
      <c r="D255" s="21"/>
      <c r="E255" s="21"/>
      <c r="F255" s="21"/>
      <c r="G255" s="437"/>
      <c r="H255" s="188" t="s">
        <v>110</v>
      </c>
      <c r="I255" s="209">
        <f>I254-I253</f>
        <v>0</v>
      </c>
      <c r="J255" s="209">
        <f>I255+(J254-J253)</f>
        <v>0</v>
      </c>
      <c r="K255" s="209">
        <f>J255+(K254-K253)</f>
        <v>0</v>
      </c>
      <c r="L255" s="376"/>
      <c r="M255" s="209">
        <f>K255+(M254-M253)</f>
        <v>0</v>
      </c>
      <c r="N255" s="209">
        <f>M255+(N254-N253)</f>
        <v>18.75</v>
      </c>
      <c r="O255" s="209">
        <f>N255+(O254-O253)</f>
        <v>136.07</v>
      </c>
      <c r="P255" s="376"/>
      <c r="Q255" s="376"/>
      <c r="R255" s="376"/>
      <c r="S255" s="376"/>
      <c r="T255" s="209">
        <f>O255+(T254-T253)</f>
        <v>292.38</v>
      </c>
      <c r="U255" s="209">
        <f>T255+(U254-U253)</f>
        <v>360.65</v>
      </c>
      <c r="V255" s="376"/>
      <c r="W255" s="209">
        <f>U255+(W254-W253)</f>
        <v>360.65</v>
      </c>
      <c r="X255" s="209"/>
      <c r="Y255" s="209"/>
      <c r="Z255" s="376"/>
      <c r="AA255" s="209"/>
      <c r="AB255" s="209"/>
      <c r="AC255" s="209"/>
      <c r="AD255" s="209"/>
      <c r="AE255" s="209"/>
      <c r="AF255" s="209"/>
      <c r="AG255" s="376"/>
      <c r="AH255" s="209"/>
      <c r="AI255" s="209"/>
      <c r="AJ255" s="209"/>
      <c r="AK255" s="386"/>
      <c r="AL255" s="307"/>
      <c r="AM255" s="309"/>
      <c r="AN255" s="310"/>
      <c r="AO255" s="309"/>
      <c r="AP255" s="309"/>
      <c r="AQ255" s="309"/>
      <c r="AR255" s="309"/>
      <c r="AS255" s="309"/>
      <c r="AT255" s="309"/>
      <c r="AU255" s="309"/>
      <c r="AV255" s="309"/>
    </row>
    <row r="256" spans="3:48">
      <c r="C256" s="21"/>
      <c r="D256" s="21"/>
      <c r="E256" s="21"/>
      <c r="F256" s="21"/>
      <c r="G256" s="438">
        <v>0.254</v>
      </c>
      <c r="H256" s="187" t="s">
        <v>12</v>
      </c>
      <c r="I256" s="229">
        <v>0</v>
      </c>
      <c r="J256" s="229">
        <v>0</v>
      </c>
      <c r="K256" s="229">
        <v>0</v>
      </c>
      <c r="L256" s="376"/>
      <c r="M256" s="229">
        <v>0</v>
      </c>
      <c r="N256" s="229">
        <v>0</v>
      </c>
      <c r="O256" s="229">
        <v>0</v>
      </c>
      <c r="P256" s="376"/>
      <c r="Q256" s="376"/>
      <c r="R256" s="376"/>
      <c r="S256" s="376"/>
      <c r="T256" s="229">
        <v>0</v>
      </c>
      <c r="U256" s="229">
        <v>0</v>
      </c>
      <c r="V256" s="376"/>
      <c r="W256" s="229">
        <v>0</v>
      </c>
      <c r="X256" s="229">
        <v>0</v>
      </c>
      <c r="Y256" s="229">
        <v>0</v>
      </c>
      <c r="Z256" s="376"/>
      <c r="AA256" s="229">
        <v>0</v>
      </c>
      <c r="AB256" s="229">
        <v>0</v>
      </c>
      <c r="AC256" s="229">
        <v>0</v>
      </c>
      <c r="AD256" s="229">
        <v>0</v>
      </c>
      <c r="AE256" s="229">
        <v>0</v>
      </c>
      <c r="AF256" s="229">
        <v>0</v>
      </c>
      <c r="AG256" s="376"/>
      <c r="AH256" s="210">
        <v>0</v>
      </c>
      <c r="AI256" s="210">
        <v>0</v>
      </c>
      <c r="AJ256" s="210">
        <v>0</v>
      </c>
      <c r="AK256" s="387">
        <v>0</v>
      </c>
      <c r="AL256" s="308">
        <f t="shared" si="45"/>
        <v>0</v>
      </c>
      <c r="AM256" s="309"/>
      <c r="AN256" s="310"/>
      <c r="AO256" s="309"/>
      <c r="AP256" s="309"/>
      <c r="AQ256" s="309"/>
      <c r="AR256" s="309"/>
      <c r="AS256" s="309"/>
      <c r="AT256" s="309"/>
      <c r="AU256" s="309"/>
      <c r="AV256" s="309"/>
    </row>
    <row r="257" spans="3:48">
      <c r="C257" s="21"/>
      <c r="D257" s="21"/>
      <c r="E257" s="21"/>
      <c r="F257" s="21"/>
      <c r="G257" s="436"/>
      <c r="H257" s="188" t="s">
        <v>15</v>
      </c>
      <c r="I257" s="209"/>
      <c r="J257" s="209"/>
      <c r="K257" s="209"/>
      <c r="L257" s="376"/>
      <c r="M257" s="209"/>
      <c r="N257" s="209"/>
      <c r="O257" s="209"/>
      <c r="P257" s="376"/>
      <c r="Q257" s="376"/>
      <c r="R257" s="376"/>
      <c r="S257" s="376"/>
      <c r="T257" s="209"/>
      <c r="U257" s="209"/>
      <c r="V257" s="376"/>
      <c r="W257" s="209"/>
      <c r="X257" s="209"/>
      <c r="Y257" s="209"/>
      <c r="Z257" s="376"/>
      <c r="AA257" s="209"/>
      <c r="AB257" s="209"/>
      <c r="AC257" s="209"/>
      <c r="AD257" s="209"/>
      <c r="AE257" s="209"/>
      <c r="AF257" s="209"/>
      <c r="AG257" s="376"/>
      <c r="AH257" s="209"/>
      <c r="AI257" s="209"/>
      <c r="AJ257" s="209"/>
      <c r="AK257" s="386"/>
      <c r="AL257" s="307">
        <f t="shared" si="45"/>
        <v>0</v>
      </c>
      <c r="AM257" s="309"/>
      <c r="AN257" s="310"/>
      <c r="AO257" s="309"/>
      <c r="AP257" s="309"/>
      <c r="AQ257" s="309"/>
      <c r="AR257" s="309"/>
      <c r="AS257" s="309"/>
      <c r="AT257" s="309"/>
      <c r="AU257" s="309"/>
      <c r="AV257" s="309"/>
    </row>
    <row r="258" spans="3:48">
      <c r="C258" s="21"/>
      <c r="D258" s="21"/>
      <c r="E258" s="21"/>
      <c r="F258" s="21"/>
      <c r="G258" s="439"/>
      <c r="H258" s="196" t="s">
        <v>110</v>
      </c>
      <c r="I258" s="211">
        <f>I257-I256</f>
        <v>0</v>
      </c>
      <c r="J258" s="211">
        <f>I258+(J257-J256)</f>
        <v>0</v>
      </c>
      <c r="K258" s="211">
        <f>J258+(K257-K256)</f>
        <v>0</v>
      </c>
      <c r="L258" s="380"/>
      <c r="M258" s="211">
        <f>K258+(M257-M256)</f>
        <v>0</v>
      </c>
      <c r="N258" s="211">
        <f>M258+(N257-N256)</f>
        <v>0</v>
      </c>
      <c r="O258" s="211">
        <f>N258+(O257-O256)</f>
        <v>0</v>
      </c>
      <c r="P258" s="380"/>
      <c r="Q258" s="380"/>
      <c r="R258" s="380"/>
      <c r="S258" s="380"/>
      <c r="T258" s="211">
        <f>O258+(T257-T256)</f>
        <v>0</v>
      </c>
      <c r="U258" s="211">
        <f>T258+(U257-U256)</f>
        <v>0</v>
      </c>
      <c r="V258" s="380"/>
      <c r="W258" s="211">
        <f>U258+(W257-W256)</f>
        <v>0</v>
      </c>
      <c r="X258" s="211">
        <f>W258+(X257-X256)</f>
        <v>0</v>
      </c>
      <c r="Y258" s="211">
        <f>X258+(Y257-Y256)</f>
        <v>0</v>
      </c>
      <c r="Z258" s="380"/>
      <c r="AA258" s="211">
        <f>Y258+(AA257-AA256)</f>
        <v>0</v>
      </c>
      <c r="AB258" s="211">
        <f>AA258+(AB257-AB256)</f>
        <v>0</v>
      </c>
      <c r="AC258" s="211">
        <f>AB258+(AC257-AC256)</f>
        <v>0</v>
      </c>
      <c r="AD258" s="211">
        <f>AC258+(AD257-AD256)</f>
        <v>0</v>
      </c>
      <c r="AE258" s="356"/>
      <c r="AF258" s="356"/>
      <c r="AG258" s="399"/>
      <c r="AH258" s="356"/>
      <c r="AI258" s="356"/>
      <c r="AJ258" s="356"/>
      <c r="AK258" s="415"/>
      <c r="AL258" s="358"/>
      <c r="AM258" s="309"/>
      <c r="AN258" s="310"/>
      <c r="AO258" s="309"/>
      <c r="AP258" s="309"/>
      <c r="AQ258" s="309"/>
      <c r="AR258" s="309"/>
      <c r="AS258" s="309"/>
      <c r="AT258" s="309"/>
      <c r="AU258" s="309"/>
      <c r="AV258" s="309"/>
    </row>
    <row r="259" spans="3:48">
      <c r="C259" s="21"/>
      <c r="D259" s="21"/>
      <c r="E259" s="21"/>
      <c r="F259" s="21"/>
      <c r="G259" s="311"/>
      <c r="H259" s="312" t="s">
        <v>111</v>
      </c>
      <c r="I259" s="323">
        <f>I238+I241+I244+I247+I250+I253+I256</f>
        <v>0</v>
      </c>
      <c r="J259" s="326">
        <f t="shared" ref="J259:K259" si="48">J238+J241+J244+J247+J250+J253+J256</f>
        <v>0</v>
      </c>
      <c r="K259" s="326">
        <f t="shared" si="48"/>
        <v>75</v>
      </c>
      <c r="L259" s="410"/>
      <c r="M259" s="326">
        <f t="shared" ref="M259:O259" si="49">M238+M241+M244+M247+M250+M253+M256</f>
        <v>355</v>
      </c>
      <c r="N259" s="326">
        <f t="shared" si="49"/>
        <v>485</v>
      </c>
      <c r="O259" s="326">
        <f t="shared" si="49"/>
        <v>550</v>
      </c>
      <c r="P259" s="410"/>
      <c r="Q259" s="410"/>
      <c r="R259" s="410"/>
      <c r="S259" s="410"/>
      <c r="T259" s="326">
        <f t="shared" ref="T259:U259" si="50">T238+T241+T244+T247+T250+T253+T256</f>
        <v>485</v>
      </c>
      <c r="U259" s="326">
        <f t="shared" si="50"/>
        <v>420</v>
      </c>
      <c r="V259" s="410"/>
      <c r="W259" s="326">
        <f t="shared" ref="W259:Y259" si="51">W238+W241+W244+W247+W250+W253+W256</f>
        <v>355</v>
      </c>
      <c r="X259" s="326">
        <f t="shared" si="51"/>
        <v>355</v>
      </c>
      <c r="Y259" s="326">
        <f t="shared" si="51"/>
        <v>355</v>
      </c>
      <c r="Z259" s="410"/>
      <c r="AA259" s="326">
        <f t="shared" ref="AA259:AF259" si="52">AA238+AA241+AA244+AA247+AA250+AA253+AA256</f>
        <v>355</v>
      </c>
      <c r="AB259" s="326">
        <f t="shared" si="52"/>
        <v>325</v>
      </c>
      <c r="AC259" s="326">
        <f t="shared" si="52"/>
        <v>430</v>
      </c>
      <c r="AD259" s="326">
        <f t="shared" si="52"/>
        <v>490</v>
      </c>
      <c r="AE259" s="326">
        <f t="shared" si="52"/>
        <v>625</v>
      </c>
      <c r="AF259" s="326">
        <f t="shared" si="52"/>
        <v>466</v>
      </c>
      <c r="AG259" s="410"/>
      <c r="AH259" s="326">
        <f t="shared" ref="AH259:AK259" si="53">AH238+AH241+AH244+AH247+AH250+AH253+AH256</f>
        <v>525</v>
      </c>
      <c r="AI259" s="326">
        <f t="shared" si="53"/>
        <v>465</v>
      </c>
      <c r="AJ259" s="326">
        <f t="shared" si="53"/>
        <v>525</v>
      </c>
      <c r="AK259" s="416">
        <f t="shared" si="53"/>
        <v>345</v>
      </c>
      <c r="AL259" s="306">
        <f t="shared" si="45"/>
        <v>7986</v>
      </c>
      <c r="AM259" s="309"/>
      <c r="AN259" s="310"/>
      <c r="AO259" s="309"/>
      <c r="AP259" s="309"/>
      <c r="AQ259" s="309"/>
      <c r="AR259" s="309"/>
      <c r="AS259" s="309"/>
      <c r="AT259" s="309"/>
      <c r="AU259" s="309"/>
      <c r="AV259" s="309"/>
    </row>
    <row r="260" spans="3:48">
      <c r="C260" s="21"/>
      <c r="D260" s="21"/>
      <c r="E260" s="21"/>
      <c r="F260" s="21"/>
      <c r="G260" s="311"/>
      <c r="H260" s="313" t="s">
        <v>112</v>
      </c>
      <c r="I260" s="327">
        <f>I239+I242+I245+I248+I251+I254+I257</f>
        <v>0</v>
      </c>
      <c r="J260" s="330">
        <f t="shared" ref="J260:K260" si="54">J239+J242+J245+J248+J251+J254+J257</f>
        <v>0</v>
      </c>
      <c r="K260" s="330">
        <f t="shared" si="54"/>
        <v>53.92</v>
      </c>
      <c r="L260" s="411"/>
      <c r="M260" s="330">
        <f t="shared" ref="M260:O260" si="55">M239+M242+M245+M248+M251+M254+M257</f>
        <v>304.70999999999998</v>
      </c>
      <c r="N260" s="330">
        <f t="shared" si="55"/>
        <v>525.4</v>
      </c>
      <c r="O260" s="330">
        <f t="shared" si="55"/>
        <v>726.1</v>
      </c>
      <c r="P260" s="411"/>
      <c r="Q260" s="411"/>
      <c r="R260" s="411"/>
      <c r="S260" s="411"/>
      <c r="T260" s="330">
        <f t="shared" ref="T260:U260" si="56">T239+T242+T245+T248+T251+T254+T257</f>
        <v>656.79</v>
      </c>
      <c r="U260" s="330">
        <f t="shared" si="56"/>
        <v>476.11</v>
      </c>
      <c r="V260" s="411"/>
      <c r="W260" s="330">
        <f t="shared" ref="W260:Y260" si="57">W239+W242+W245+W248+W251+W254+W257</f>
        <v>375.36</v>
      </c>
      <c r="X260" s="330">
        <f t="shared" si="57"/>
        <v>426.07</v>
      </c>
      <c r="Y260" s="330">
        <f t="shared" si="57"/>
        <v>439.51</v>
      </c>
      <c r="Z260" s="411"/>
      <c r="AA260" s="330">
        <f t="shared" ref="AA260:AF260" si="58">AA239+AA242+AA245+AA248+AA251+AA254+AA257</f>
        <v>434.44</v>
      </c>
      <c r="AB260" s="330">
        <f t="shared" si="58"/>
        <v>354.01</v>
      </c>
      <c r="AC260" s="330">
        <f t="shared" si="58"/>
        <v>458.11</v>
      </c>
      <c r="AD260" s="330">
        <f t="shared" si="58"/>
        <v>548.38</v>
      </c>
      <c r="AE260" s="330">
        <f t="shared" si="58"/>
        <v>796.88</v>
      </c>
      <c r="AF260" s="330">
        <f t="shared" si="58"/>
        <v>399.62</v>
      </c>
      <c r="AG260" s="411"/>
      <c r="AH260" s="330">
        <f t="shared" ref="AH260:AK260" si="59">AH239+AH242+AH245+AH248+AH251+AH254+AH257</f>
        <v>662.44</v>
      </c>
      <c r="AI260" s="330">
        <f t="shared" si="59"/>
        <v>543.95000000000005</v>
      </c>
      <c r="AJ260" s="330">
        <f t="shared" si="59"/>
        <v>666.47</v>
      </c>
      <c r="AK260" s="417">
        <f t="shared" si="59"/>
        <v>507.85</v>
      </c>
      <c r="AL260" s="361">
        <f t="shared" si="45"/>
        <v>9356.1200000000008</v>
      </c>
      <c r="AM260" s="309"/>
      <c r="AN260" s="310"/>
      <c r="AO260" s="309"/>
      <c r="AP260" s="309"/>
      <c r="AQ260" s="309"/>
      <c r="AR260" s="309"/>
      <c r="AS260" s="309"/>
      <c r="AT260" s="309"/>
      <c r="AU260" s="309"/>
      <c r="AV260" s="309"/>
    </row>
    <row r="261" spans="3:48">
      <c r="C261" s="21"/>
      <c r="D261" s="21"/>
      <c r="E261" s="21"/>
      <c r="F261" s="21"/>
      <c r="AM261" s="309"/>
      <c r="AN261" s="310"/>
      <c r="AO261" s="309"/>
      <c r="AP261" s="309"/>
      <c r="AQ261" s="309"/>
      <c r="AR261" s="309"/>
      <c r="AS261" s="309"/>
      <c r="AT261" s="309"/>
      <c r="AU261" s="309"/>
      <c r="AV261" s="309"/>
    </row>
    <row r="262" spans="3:48">
      <c r="C262" s="21"/>
      <c r="D262" s="21"/>
      <c r="E262" s="21"/>
      <c r="F262" s="21"/>
      <c r="AM262" s="309"/>
      <c r="AN262" s="310"/>
      <c r="AO262" s="309"/>
      <c r="AP262" s="309"/>
      <c r="AQ262" s="309"/>
      <c r="AR262" s="309"/>
      <c r="AS262" s="309"/>
      <c r="AT262" s="309"/>
      <c r="AU262" s="309"/>
      <c r="AV262" s="309"/>
    </row>
    <row r="263" spans="3:48">
      <c r="C263" s="21"/>
      <c r="D263" s="21"/>
      <c r="E263" s="21"/>
      <c r="F263" s="21"/>
      <c r="AM263" s="309"/>
      <c r="AN263" s="310"/>
      <c r="AO263" s="309"/>
      <c r="AP263" s="309"/>
      <c r="AQ263" s="309"/>
      <c r="AR263" s="309"/>
      <c r="AS263" s="309"/>
      <c r="AT263" s="309"/>
      <c r="AU263" s="309"/>
      <c r="AV263" s="309"/>
    </row>
    <row r="264" spans="3:48">
      <c r="C264" s="21"/>
      <c r="D264" s="21"/>
      <c r="E264" s="21"/>
      <c r="F264" s="21"/>
      <c r="AM264" s="309"/>
      <c r="AN264" s="310"/>
      <c r="AO264" s="309"/>
      <c r="AP264" s="309"/>
      <c r="AQ264" s="309"/>
      <c r="AR264" s="309"/>
      <c r="AS264" s="309"/>
      <c r="AT264" s="309"/>
      <c r="AU264" s="309"/>
      <c r="AV264" s="309"/>
    </row>
    <row r="265" spans="3:48" ht="30" customHeight="1">
      <c r="C265" s="21"/>
      <c r="D265" s="21"/>
      <c r="E265" s="21"/>
      <c r="F265" s="21"/>
      <c r="G265" s="314" t="s">
        <v>7</v>
      </c>
      <c r="H265" s="315" t="s">
        <v>8</v>
      </c>
      <c r="I265" s="38">
        <v>1</v>
      </c>
      <c r="J265" s="38">
        <v>2</v>
      </c>
      <c r="K265" s="38">
        <v>3</v>
      </c>
      <c r="L265" s="91">
        <v>4</v>
      </c>
      <c r="M265" s="38">
        <v>5</v>
      </c>
      <c r="N265" s="38">
        <v>6</v>
      </c>
      <c r="O265" s="38">
        <v>7</v>
      </c>
      <c r="P265" s="91">
        <v>8</v>
      </c>
      <c r="Q265" s="91">
        <v>9</v>
      </c>
      <c r="R265" s="91">
        <v>10</v>
      </c>
      <c r="S265" s="91">
        <v>11</v>
      </c>
      <c r="T265" s="38">
        <v>12</v>
      </c>
      <c r="U265" s="38">
        <v>13</v>
      </c>
      <c r="V265" s="91">
        <v>14</v>
      </c>
      <c r="W265" s="38">
        <v>15</v>
      </c>
      <c r="X265" s="38">
        <v>16</v>
      </c>
      <c r="Y265" s="38">
        <v>17</v>
      </c>
      <c r="Z265" s="91">
        <v>18</v>
      </c>
      <c r="AA265" s="38">
        <v>19</v>
      </c>
      <c r="AB265" s="38">
        <v>20</v>
      </c>
      <c r="AC265" s="38">
        <v>21</v>
      </c>
      <c r="AD265" s="38">
        <v>22</v>
      </c>
      <c r="AE265" s="38">
        <v>23</v>
      </c>
      <c r="AF265" s="38">
        <v>24</v>
      </c>
      <c r="AG265" s="91">
        <v>25</v>
      </c>
      <c r="AH265" s="38">
        <v>26</v>
      </c>
      <c r="AI265" s="38">
        <v>27</v>
      </c>
      <c r="AJ265" s="38">
        <v>28</v>
      </c>
      <c r="AK265" s="38">
        <v>29</v>
      </c>
      <c r="AL265" s="38" t="s">
        <v>9</v>
      </c>
      <c r="AM265" s="309"/>
      <c r="AN265" s="309"/>
      <c r="AO265" s="309"/>
      <c r="AP265" s="309"/>
      <c r="AQ265" s="309"/>
      <c r="AR265" s="309"/>
      <c r="AS265" s="309"/>
      <c r="AT265" s="309"/>
      <c r="AU265" s="309"/>
      <c r="AV265" s="309"/>
    </row>
    <row r="266" spans="3:48">
      <c r="G266" s="429" t="s">
        <v>113</v>
      </c>
      <c r="H266" s="189" t="s">
        <v>17</v>
      </c>
      <c r="I266" s="210">
        <v>180</v>
      </c>
      <c r="J266" s="210">
        <v>100</v>
      </c>
      <c r="K266" s="210">
        <v>60</v>
      </c>
      <c r="L266" s="376"/>
      <c r="M266" s="210">
        <v>60</v>
      </c>
      <c r="N266" s="210">
        <f t="shared" ref="N266:O266" si="60">5500/20</f>
        <v>275</v>
      </c>
      <c r="O266" s="210">
        <f t="shared" si="60"/>
        <v>275</v>
      </c>
      <c r="P266" s="376"/>
      <c r="Q266" s="376"/>
      <c r="R266" s="376"/>
      <c r="S266" s="376"/>
      <c r="T266" s="210">
        <f>5500/20</f>
        <v>275</v>
      </c>
      <c r="U266" s="210">
        <f>5500/20</f>
        <v>275</v>
      </c>
      <c r="V266" s="376"/>
      <c r="W266" s="210">
        <f t="shared" ref="W266:Y266" si="61">5500/20</f>
        <v>275</v>
      </c>
      <c r="X266" s="210">
        <f t="shared" si="61"/>
        <v>275</v>
      </c>
      <c r="Y266" s="210">
        <f t="shared" si="61"/>
        <v>275</v>
      </c>
      <c r="Z266" s="376"/>
      <c r="AA266" s="210">
        <f t="shared" ref="AA266:AE266" si="62">5500/20</f>
        <v>275</v>
      </c>
      <c r="AB266" s="210">
        <f t="shared" si="62"/>
        <v>275</v>
      </c>
      <c r="AC266" s="210">
        <f t="shared" si="62"/>
        <v>275</v>
      </c>
      <c r="AD266" s="210">
        <f t="shared" si="62"/>
        <v>275</v>
      </c>
      <c r="AE266" s="210">
        <f t="shared" si="62"/>
        <v>275</v>
      </c>
      <c r="AF266" s="210">
        <v>216</v>
      </c>
      <c r="AG266" s="376"/>
      <c r="AH266" s="210">
        <v>0</v>
      </c>
      <c r="AI266" s="210">
        <v>0</v>
      </c>
      <c r="AJ266" s="210">
        <v>0</v>
      </c>
      <c r="AK266" s="210">
        <v>0</v>
      </c>
      <c r="AL266" s="308">
        <f t="shared" ref="AL266:AL294" si="63">SUM(I266:AK266)</f>
        <v>3916</v>
      </c>
    </row>
    <row r="267" spans="3:48">
      <c r="G267" s="430"/>
      <c r="H267" s="188" t="s">
        <v>15</v>
      </c>
      <c r="I267" s="209">
        <v>178.82</v>
      </c>
      <c r="J267" s="209">
        <v>98.4</v>
      </c>
      <c r="K267" s="209">
        <v>60.52</v>
      </c>
      <c r="L267" s="376"/>
      <c r="M267" s="209">
        <v>64.739999999999995</v>
      </c>
      <c r="N267" s="209">
        <v>217.72</v>
      </c>
      <c r="O267" s="209">
        <v>325.8</v>
      </c>
      <c r="P267" s="376"/>
      <c r="Q267" s="376"/>
      <c r="R267" s="376"/>
      <c r="S267" s="376"/>
      <c r="T267" s="209">
        <v>319.92</v>
      </c>
      <c r="U267" s="209">
        <v>395.42</v>
      </c>
      <c r="V267" s="376"/>
      <c r="W267" s="209">
        <v>342.4</v>
      </c>
      <c r="X267" s="209">
        <v>549.5</v>
      </c>
      <c r="Y267" s="209">
        <v>312.86</v>
      </c>
      <c r="Z267" s="376"/>
      <c r="AA267" s="209">
        <v>249.2</v>
      </c>
      <c r="AB267" s="209">
        <v>384.74</v>
      </c>
      <c r="AC267" s="209">
        <v>331.14</v>
      </c>
      <c r="AD267" s="209">
        <v>354.44</v>
      </c>
      <c r="AE267" s="209">
        <v>327.26</v>
      </c>
      <c r="AF267" s="209">
        <v>226.26</v>
      </c>
      <c r="AG267" s="376"/>
      <c r="AH267" s="209">
        <v>30.36</v>
      </c>
      <c r="AI267" s="209"/>
      <c r="AJ267" s="209"/>
      <c r="AK267" s="386"/>
      <c r="AL267" s="307">
        <f t="shared" si="63"/>
        <v>4769.5</v>
      </c>
    </row>
    <row r="268" spans="3:48">
      <c r="C268" s="21"/>
      <c r="D268" s="21"/>
      <c r="E268" s="21"/>
      <c r="F268" s="21"/>
      <c r="G268" s="431"/>
      <c r="H268" s="188" t="s">
        <v>114</v>
      </c>
      <c r="I268" s="209">
        <f>I267-I266</f>
        <v>-1.1800000000000099</v>
      </c>
      <c r="J268" s="209">
        <f>I268+(J267-J266)</f>
        <v>-2.78</v>
      </c>
      <c r="K268" s="209">
        <f>J268+(K267-K266)</f>
        <v>-2.2599999999999998</v>
      </c>
      <c r="L268" s="376"/>
      <c r="M268" s="209">
        <f>K268+(M267-M266)</f>
        <v>2.48</v>
      </c>
      <c r="N268" s="209">
        <f>M268+(N267-N266)</f>
        <v>-54.8</v>
      </c>
      <c r="O268" s="209">
        <f>N268+(O267-O266)</f>
        <v>-3.9999999999999898</v>
      </c>
      <c r="P268" s="376"/>
      <c r="Q268" s="376"/>
      <c r="R268" s="376"/>
      <c r="S268" s="376"/>
      <c r="T268" s="209">
        <f>O268+(T267-T266)</f>
        <v>40.92</v>
      </c>
      <c r="U268" s="209">
        <f>T268+(U267-U266)</f>
        <v>161.34</v>
      </c>
      <c r="V268" s="376"/>
      <c r="W268" s="209">
        <f>U268+(W267-W266)</f>
        <v>228.74</v>
      </c>
      <c r="X268" s="209">
        <f>W268+(X267-X266)</f>
        <v>503.24</v>
      </c>
      <c r="Y268" s="209">
        <f>X268+(Y267-Y266)</f>
        <v>541.1</v>
      </c>
      <c r="Z268" s="376"/>
      <c r="AA268" s="209">
        <f>Y268+(AA267-AA266)</f>
        <v>515.29999999999995</v>
      </c>
      <c r="AB268" s="209">
        <f>AA268+(AB267-AB266)</f>
        <v>625.04</v>
      </c>
      <c r="AC268" s="209">
        <f>AB268+(AC267-AC266)</f>
        <v>681.18</v>
      </c>
      <c r="AD268" s="209">
        <f>AC268+(AD267-AD266)</f>
        <v>760.62</v>
      </c>
      <c r="AE268" s="209">
        <f>AD268+(AE267-AE266)</f>
        <v>812.88</v>
      </c>
      <c r="AF268" s="209">
        <f>AE268+(AF267-AF266)</f>
        <v>823.14</v>
      </c>
      <c r="AG268" s="376"/>
      <c r="AH268" s="209">
        <f>AF268+(AH267-AH266)</f>
        <v>853.5</v>
      </c>
      <c r="AI268" s="209"/>
      <c r="AJ268" s="209"/>
      <c r="AK268" s="386"/>
      <c r="AL268" s="307"/>
      <c r="AM268" s="309"/>
      <c r="AN268" s="310"/>
      <c r="AO268" s="309"/>
      <c r="AP268" s="309"/>
      <c r="AQ268" s="309"/>
      <c r="AR268" s="309"/>
      <c r="AS268" s="309"/>
      <c r="AT268" s="309"/>
      <c r="AU268" s="309"/>
      <c r="AV268" s="309"/>
    </row>
    <row r="269" spans="3:48">
      <c r="G269" s="429" t="s">
        <v>115</v>
      </c>
      <c r="H269" s="189" t="s">
        <v>17</v>
      </c>
      <c r="I269" s="210">
        <f>IFERROR(SUMIF($G$1:$G$235,$G269,I$1:I$235),0)</f>
        <v>0</v>
      </c>
      <c r="J269" s="210">
        <f>IFERROR(SUMIF($G$1:$G$235,$G269,J$1:J$235),0)</f>
        <v>0</v>
      </c>
      <c r="K269" s="210">
        <f>IFERROR(SUMIF($G$1:$G$235,$G269,K$1:K$235),0)</f>
        <v>0</v>
      </c>
      <c r="L269" s="376"/>
      <c r="M269" s="210">
        <f>IFERROR(SUMIF($G$1:$G$235,$G269,M$1:M$235),0)</f>
        <v>0</v>
      </c>
      <c r="N269" s="210">
        <f>IFERROR(SUMIF($G$1:$G$235,$G269,N$1:N$235),0)</f>
        <v>0</v>
      </c>
      <c r="O269" s="210">
        <f>IFERROR(SUMIF($G$1:$G$235,$G269,O$1:O$235),0)</f>
        <v>0</v>
      </c>
      <c r="P269" s="376"/>
      <c r="Q269" s="376"/>
      <c r="R269" s="376"/>
      <c r="S269" s="376"/>
      <c r="T269" s="210">
        <f>IFERROR(SUMIF($G$1:$G$235,$G269,T$1:T$235),0)</f>
        <v>0</v>
      </c>
      <c r="U269" s="210">
        <f>IFERROR(SUMIF($G$1:$G$235,$G269,U$1:U$235),0)</f>
        <v>0</v>
      </c>
      <c r="V269" s="376"/>
      <c r="W269" s="210">
        <f>IFERROR(SUMIF($G$1:$G$235,$G269,W$1:W$235),0)</f>
        <v>0</v>
      </c>
      <c r="X269" s="210">
        <f>IFERROR(SUMIF($G$1:$G$235,$G269,X$1:X$235),0)</f>
        <v>0</v>
      </c>
      <c r="Y269" s="210">
        <f>IFERROR(SUMIF($G$1:$G$235,$G269,Y$1:Y$235),0)</f>
        <v>0</v>
      </c>
      <c r="Z269" s="376"/>
      <c r="AA269" s="210">
        <f t="shared" ref="AA269:AE269" si="64">IFERROR(SUMIF($G$1:$G$235,$G269,AA$1:AA$235),0)</f>
        <v>0</v>
      </c>
      <c r="AB269" s="210">
        <f t="shared" si="64"/>
        <v>0</v>
      </c>
      <c r="AC269" s="210">
        <f t="shared" si="64"/>
        <v>0</v>
      </c>
      <c r="AD269" s="210">
        <f t="shared" si="64"/>
        <v>0</v>
      </c>
      <c r="AE269" s="210">
        <f t="shared" si="64"/>
        <v>0</v>
      </c>
      <c r="AF269" s="210">
        <v>0</v>
      </c>
      <c r="AG269" s="376"/>
      <c r="AH269" s="210">
        <f>(1000/5)*3</f>
        <v>600</v>
      </c>
      <c r="AI269" s="210">
        <v>100</v>
      </c>
      <c r="AJ269" s="210">
        <v>150</v>
      </c>
      <c r="AK269" s="387">
        <v>150</v>
      </c>
      <c r="AL269" s="308">
        <f t="shared" si="63"/>
        <v>1000</v>
      </c>
      <c r="AM269" s="309"/>
    </row>
    <row r="270" spans="3:48">
      <c r="G270" s="430"/>
      <c r="H270" s="188" t="s">
        <v>15</v>
      </c>
      <c r="I270" s="209"/>
      <c r="J270" s="209"/>
      <c r="K270" s="209"/>
      <c r="L270" s="376"/>
      <c r="M270" s="209"/>
      <c r="N270" s="209"/>
      <c r="O270" s="209"/>
      <c r="P270" s="376"/>
      <c r="Q270" s="376"/>
      <c r="R270" s="376"/>
      <c r="S270" s="376"/>
      <c r="T270" s="209"/>
      <c r="U270" s="209"/>
      <c r="V270" s="376"/>
      <c r="W270" s="209"/>
      <c r="X270" s="209"/>
      <c r="Y270" s="209"/>
      <c r="Z270" s="376"/>
      <c r="AA270" s="209"/>
      <c r="AB270" s="209"/>
      <c r="AC270" s="209"/>
      <c r="AD270" s="209"/>
      <c r="AE270" s="209"/>
      <c r="AF270" s="209"/>
      <c r="AG270" s="376"/>
      <c r="AH270" s="209">
        <v>707.12</v>
      </c>
      <c r="AI270" s="209">
        <v>42.62</v>
      </c>
      <c r="AJ270" s="209">
        <v>195.6</v>
      </c>
      <c r="AK270" s="386">
        <v>104.82</v>
      </c>
      <c r="AL270" s="307">
        <f t="shared" si="63"/>
        <v>1050.1600000000001</v>
      </c>
      <c r="AM270" s="309"/>
    </row>
    <row r="271" spans="3:48">
      <c r="C271" s="21"/>
      <c r="D271" s="21"/>
      <c r="E271" s="21"/>
      <c r="F271" s="21"/>
      <c r="G271" s="431"/>
      <c r="H271" s="188" t="s">
        <v>114</v>
      </c>
      <c r="I271" s="209">
        <f>I270-I269</f>
        <v>0</v>
      </c>
      <c r="J271" s="209">
        <f>I271+(J270-J269)</f>
        <v>0</v>
      </c>
      <c r="K271" s="209">
        <f>J271+(K270-K269)</f>
        <v>0</v>
      </c>
      <c r="L271" s="376"/>
      <c r="M271" s="209">
        <f>K271+(M270-M269)</f>
        <v>0</v>
      </c>
      <c r="N271" s="209">
        <f>M271+(N270-N269)</f>
        <v>0</v>
      </c>
      <c r="O271" s="209">
        <f>N271+(O270-O269)</f>
        <v>0</v>
      </c>
      <c r="P271" s="376"/>
      <c r="Q271" s="376"/>
      <c r="R271" s="376"/>
      <c r="S271" s="376"/>
      <c r="T271" s="209">
        <f>O271+(T270-T269)</f>
        <v>0</v>
      </c>
      <c r="U271" s="209">
        <f>T271+(U270-U269)</f>
        <v>0</v>
      </c>
      <c r="V271" s="376"/>
      <c r="W271" s="209">
        <f>U271+(W270-W269)</f>
        <v>0</v>
      </c>
      <c r="X271" s="209">
        <f>W271+(X270-X269)</f>
        <v>0</v>
      </c>
      <c r="Y271" s="209">
        <f>X271+(Y270-Y269)</f>
        <v>0</v>
      </c>
      <c r="Z271" s="376"/>
      <c r="AA271" s="209">
        <f>Y271+(AA270-AA269)</f>
        <v>0</v>
      </c>
      <c r="AB271" s="209">
        <f>AA271+(AB270-AB269)</f>
        <v>0</v>
      </c>
      <c r="AC271" s="209">
        <f>AB271+(AC270-AC269)</f>
        <v>0</v>
      </c>
      <c r="AD271" s="209">
        <f>AC271+(AD270-AD269)</f>
        <v>0</v>
      </c>
      <c r="AE271" s="209">
        <f>AD271+(AE270-AE269)</f>
        <v>0</v>
      </c>
      <c r="AF271" s="209">
        <f>AE271+(AF270-AF269)</f>
        <v>0</v>
      </c>
      <c r="AG271" s="376"/>
      <c r="AH271" s="209">
        <f>AF271+(AH270-AH269)</f>
        <v>107.12</v>
      </c>
      <c r="AI271" s="209">
        <f>AH271+(AI270-AI269)</f>
        <v>49.74</v>
      </c>
      <c r="AJ271" s="209">
        <f>AI271+(AJ270-AJ269)</f>
        <v>95.34</v>
      </c>
      <c r="AK271" s="209">
        <f>AJ271+(AK270-AK269)</f>
        <v>50.16</v>
      </c>
      <c r="AL271" s="307"/>
      <c r="AM271" s="309"/>
      <c r="AN271" s="310"/>
      <c r="AO271" s="309"/>
      <c r="AP271" s="309"/>
      <c r="AQ271" s="309"/>
      <c r="AR271" s="309"/>
      <c r="AS271" s="309"/>
      <c r="AT271" s="309"/>
      <c r="AU271" s="309"/>
      <c r="AV271" s="309"/>
    </row>
    <row r="272" spans="3:48">
      <c r="G272" s="429" t="s">
        <v>116</v>
      </c>
      <c r="H272" s="189" t="s">
        <v>17</v>
      </c>
      <c r="I272" s="210">
        <f>IFERROR(SUMIF($G$1:$G$235,$G272,I$1:I$235),0)</f>
        <v>0</v>
      </c>
      <c r="J272" s="210">
        <f>IFERROR(SUMIF($G$1:$G$235,$G272,J$1:J$235),0)</f>
        <v>0</v>
      </c>
      <c r="K272" s="210">
        <f>IFERROR(SUMIF($G$1:$G$235,$G272,K$1:K$235),0)</f>
        <v>0</v>
      </c>
      <c r="L272" s="376"/>
      <c r="M272" s="210">
        <v>120</v>
      </c>
      <c r="N272" s="210">
        <v>120</v>
      </c>
      <c r="O272" s="210">
        <f>IFERROR(SUMIF($G$1:$G$235,$G272,O$1:O$235),0)</f>
        <v>0</v>
      </c>
      <c r="P272" s="376"/>
      <c r="Q272" s="376"/>
      <c r="R272" s="376"/>
      <c r="S272" s="376"/>
      <c r="T272" s="210">
        <f>IFERROR(SUMIF($G$1:$G$235,$G272,T$1:T$235),0)</f>
        <v>0</v>
      </c>
      <c r="U272" s="210">
        <f>IFERROR(SUMIF($G$1:$G$235,$G272,U$1:U$235),0)</f>
        <v>0</v>
      </c>
      <c r="V272" s="376"/>
      <c r="W272" s="210">
        <f>IFERROR(SUMIF($G$1:$G$235,$G272,W$1:W$235),0)</f>
        <v>0</v>
      </c>
      <c r="X272" s="210">
        <f>IFERROR(SUMIF($G$1:$G$235,$G272,X$1:X$235),0)</f>
        <v>0</v>
      </c>
      <c r="Y272" s="210">
        <f>IFERROR(SUMIF($G$1:$G$235,$G272,Y$1:Y$235),0)</f>
        <v>0</v>
      </c>
      <c r="Z272" s="376"/>
      <c r="AA272" s="210">
        <f t="shared" ref="AA272:AF272" si="65">IFERROR(SUMIF($G$1:$G$235,$G272,AA$1:AA$235),0)</f>
        <v>0</v>
      </c>
      <c r="AB272" s="210">
        <f t="shared" si="65"/>
        <v>0</v>
      </c>
      <c r="AC272" s="210">
        <f t="shared" si="65"/>
        <v>0</v>
      </c>
      <c r="AD272" s="210">
        <f t="shared" si="65"/>
        <v>0</v>
      </c>
      <c r="AE272" s="210">
        <f t="shared" si="65"/>
        <v>0</v>
      </c>
      <c r="AF272" s="210">
        <f t="shared" si="65"/>
        <v>0</v>
      </c>
      <c r="AG272" s="376"/>
      <c r="AH272" s="210">
        <f>IFERROR(SUMIF($G$1:$G$235,$G272,AH$1:AH$235),0)</f>
        <v>0</v>
      </c>
      <c r="AI272" s="210">
        <f>IFERROR(SUMIF($G$1:$G$235,$G272,AI$1:AI$235),0)</f>
        <v>0</v>
      </c>
      <c r="AJ272" s="210">
        <f>IFERROR(SUMIF($G$1:$G$235,$G272,AJ$1:AJ$235),0)</f>
        <v>0</v>
      </c>
      <c r="AK272" s="387">
        <f>IFERROR(SUMIF($G$1:$G$235,$G272,AK$1:AK$235),0)</f>
        <v>0</v>
      </c>
      <c r="AL272" s="308">
        <f t="shared" si="63"/>
        <v>240</v>
      </c>
      <c r="AO272" s="368"/>
    </row>
    <row r="273" spans="3:48">
      <c r="G273" s="430"/>
      <c r="H273" s="188" t="s">
        <v>15</v>
      </c>
      <c r="I273" s="209"/>
      <c r="J273" s="209"/>
      <c r="K273" s="209"/>
      <c r="L273" s="376"/>
      <c r="M273" s="209">
        <v>146.62</v>
      </c>
      <c r="N273" s="209">
        <v>118.28</v>
      </c>
      <c r="O273" s="209"/>
      <c r="P273" s="376"/>
      <c r="Q273" s="376"/>
      <c r="R273" s="376"/>
      <c r="S273" s="376"/>
      <c r="T273" s="209"/>
      <c r="U273" s="209"/>
      <c r="V273" s="376"/>
      <c r="W273" s="209"/>
      <c r="X273" s="209"/>
      <c r="Z273" s="376"/>
      <c r="AA273" s="209"/>
      <c r="AB273" s="209"/>
      <c r="AC273" s="209"/>
      <c r="AD273" s="209"/>
      <c r="AE273" s="209"/>
      <c r="AF273" s="209"/>
      <c r="AG273" s="376"/>
      <c r="AH273" s="209"/>
      <c r="AI273" s="209"/>
      <c r="AJ273" s="209"/>
      <c r="AK273" s="386"/>
      <c r="AL273" s="307">
        <f t="shared" si="63"/>
        <v>264.89999999999998</v>
      </c>
      <c r="AO273" s="368"/>
    </row>
    <row r="274" spans="3:48">
      <c r="C274" s="21"/>
      <c r="D274" s="21"/>
      <c r="E274" s="21"/>
      <c r="F274" s="21"/>
      <c r="G274" s="431"/>
      <c r="H274" s="188" t="s">
        <v>114</v>
      </c>
      <c r="I274" s="209">
        <f>I273-I272</f>
        <v>0</v>
      </c>
      <c r="J274" s="209">
        <f>I274+(J273-J272)</f>
        <v>0</v>
      </c>
      <c r="K274" s="209">
        <f>J274+(K273-K272)</f>
        <v>0</v>
      </c>
      <c r="L274" s="376"/>
      <c r="M274" s="209">
        <f>K274+(M273-M272)</f>
        <v>26.62</v>
      </c>
      <c r="N274" s="209">
        <f>M274+(N273-N272)</f>
        <v>24.9</v>
      </c>
      <c r="O274" s="209">
        <f>N274+(O273-O272)</f>
        <v>24.9</v>
      </c>
      <c r="P274" s="376"/>
      <c r="Q274" s="376"/>
      <c r="R274" s="376"/>
      <c r="S274" s="376"/>
      <c r="T274" s="209"/>
      <c r="U274" s="209"/>
      <c r="V274" s="376"/>
      <c r="W274" s="209"/>
      <c r="X274" s="209"/>
      <c r="Y274" s="209"/>
      <c r="Z274" s="376"/>
      <c r="AA274" s="209"/>
      <c r="AB274" s="209"/>
      <c r="AC274" s="209"/>
      <c r="AD274" s="209"/>
      <c r="AE274" s="209"/>
      <c r="AF274" s="209"/>
      <c r="AG274" s="376"/>
      <c r="AH274" s="209"/>
      <c r="AI274" s="209"/>
      <c r="AJ274" s="209"/>
      <c r="AK274" s="386"/>
      <c r="AL274" s="307"/>
      <c r="AM274" s="309"/>
      <c r="AN274" s="310"/>
      <c r="AO274" s="309"/>
      <c r="AP274" s="309"/>
      <c r="AQ274" s="309"/>
      <c r="AR274" s="309"/>
      <c r="AS274" s="309"/>
      <c r="AT274" s="309"/>
      <c r="AU274" s="309"/>
      <c r="AV274" s="309"/>
    </row>
    <row r="275" spans="3:48">
      <c r="G275" s="429" t="s">
        <v>117</v>
      </c>
      <c r="H275" s="189" t="s">
        <v>17</v>
      </c>
      <c r="I275" s="210">
        <f>IFERROR(SUMIF($G$1:$G$235,$G275,I$1:I$235),0)</f>
        <v>0</v>
      </c>
      <c r="J275" s="210">
        <f>IFERROR(SUMIF($G$1:$G$235,$G275,J$1:J$235),0)</f>
        <v>0</v>
      </c>
      <c r="K275" s="210">
        <f>IFERROR(SUMIF($G$1:$G$235,$G275,K$1:K$235),0)</f>
        <v>0</v>
      </c>
      <c r="L275" s="376"/>
      <c r="M275" s="210">
        <f>IFERROR(SUMIF($G$1:$G$235,$G275,M$1:M$235),0)</f>
        <v>0</v>
      </c>
      <c r="N275" s="210">
        <f>IFERROR(SUMIF($G$1:$G$235,$G275,N$1:N$235),0)</f>
        <v>0</v>
      </c>
      <c r="O275" s="210">
        <f>IFERROR(SUMIF($G$1:$G$235,$G275,O$1:O$235),0)</f>
        <v>0</v>
      </c>
      <c r="P275" s="376"/>
      <c r="Q275" s="376"/>
      <c r="R275" s="376"/>
      <c r="S275" s="376"/>
      <c r="T275" s="210">
        <f>IFERROR(SUMIF($G$1:$G$235,$G275,T$1:T$235),0)</f>
        <v>0</v>
      </c>
      <c r="U275" s="210">
        <f>IFERROR(SUMIF($G$1:$G$235,$G275,U$1:U$235),0)</f>
        <v>0</v>
      </c>
      <c r="V275" s="376"/>
      <c r="W275" s="210">
        <f>IFERROR(SUMIF($G$1:$G$235,$G275,W$1:W$235),0)</f>
        <v>0</v>
      </c>
      <c r="X275" s="210">
        <f>IFERROR(SUMIF($G$1:$G$235,$G275,X$1:X$235),0)</f>
        <v>0</v>
      </c>
      <c r="Y275" s="210">
        <f>IFERROR(SUMIF($G$1:$G$235,$G275,Y$1:Y$235),0)</f>
        <v>0</v>
      </c>
      <c r="Z275" s="376"/>
      <c r="AA275" s="210">
        <f t="shared" ref="AA275:AF275" si="66">IFERROR(SUMIF($G$1:$G$235,$G275,AA$1:AA$235),0)</f>
        <v>0</v>
      </c>
      <c r="AB275" s="210">
        <f t="shared" si="66"/>
        <v>0</v>
      </c>
      <c r="AC275" s="210">
        <f t="shared" si="66"/>
        <v>0</v>
      </c>
      <c r="AD275" s="210">
        <f t="shared" si="66"/>
        <v>0</v>
      </c>
      <c r="AE275" s="210">
        <f t="shared" si="66"/>
        <v>0</v>
      </c>
      <c r="AF275" s="210">
        <f t="shared" si="66"/>
        <v>0</v>
      </c>
      <c r="AG275" s="376"/>
      <c r="AH275" s="210">
        <f>IFERROR(SUMIF($G$1:$G$235,$G275,AH$1:AH$235),0)</f>
        <v>0</v>
      </c>
      <c r="AI275" s="210">
        <f>IFERROR(SUMIF($G$1:$G$235,$G275,AI$1:AI$235),0)</f>
        <v>0</v>
      </c>
      <c r="AJ275" s="210">
        <f>IFERROR(SUMIF($G$1:$G$235,$G275,AJ$1:AJ$235),0)</f>
        <v>0</v>
      </c>
      <c r="AK275" s="387">
        <f>IFERROR(SUMIF($G$1:$G$235,$G275,AK$1:AK$235),0)</f>
        <v>0</v>
      </c>
      <c r="AL275" s="308">
        <f t="shared" si="63"/>
        <v>0</v>
      </c>
      <c r="AO275" s="368"/>
    </row>
    <row r="276" spans="3:48">
      <c r="G276" s="430"/>
      <c r="H276" s="188" t="s">
        <v>15</v>
      </c>
      <c r="I276" s="209"/>
      <c r="J276" s="209"/>
      <c r="K276" s="209"/>
      <c r="L276" s="376"/>
      <c r="M276" s="209"/>
      <c r="N276" s="209"/>
      <c r="O276" s="209"/>
      <c r="P276" s="376"/>
      <c r="Q276" s="376"/>
      <c r="R276" s="376"/>
      <c r="S276" s="376"/>
      <c r="T276" s="209"/>
      <c r="U276" s="209"/>
      <c r="V276" s="376"/>
      <c r="W276" s="209"/>
      <c r="X276" s="209"/>
      <c r="Y276" s="209"/>
      <c r="Z276" s="376"/>
      <c r="AA276" s="209"/>
      <c r="AB276" s="209"/>
      <c r="AC276" s="209"/>
      <c r="AD276" s="209"/>
      <c r="AE276" s="209"/>
      <c r="AF276" s="209"/>
      <c r="AG276" s="376"/>
      <c r="AH276" s="209"/>
      <c r="AI276" s="209"/>
      <c r="AJ276" s="209"/>
      <c r="AK276" s="386"/>
      <c r="AL276" s="307">
        <f t="shared" si="63"/>
        <v>0</v>
      </c>
      <c r="AO276" s="368"/>
    </row>
    <row r="277" spans="3:48">
      <c r="C277" s="21"/>
      <c r="D277" s="21"/>
      <c r="E277" s="21"/>
      <c r="F277" s="21"/>
      <c r="G277" s="431"/>
      <c r="H277" s="188" t="s">
        <v>114</v>
      </c>
      <c r="I277" s="209">
        <f>I276-I275</f>
        <v>0</v>
      </c>
      <c r="J277" s="209">
        <f>I277+(J276-J275)</f>
        <v>0</v>
      </c>
      <c r="K277" s="209">
        <f>J277+(K276-K275)</f>
        <v>0</v>
      </c>
      <c r="L277" s="376"/>
      <c r="M277" s="209">
        <f>K277+(M276-M275)</f>
        <v>0</v>
      </c>
      <c r="N277" s="209">
        <f>M277+(N276-N275)</f>
        <v>0</v>
      </c>
      <c r="O277" s="209">
        <f>N277+(O276-O275)</f>
        <v>0</v>
      </c>
      <c r="P277" s="376"/>
      <c r="Q277" s="376"/>
      <c r="R277" s="376"/>
      <c r="S277" s="376"/>
      <c r="T277" s="209">
        <f>O277+(T276-T275)</f>
        <v>0</v>
      </c>
      <c r="U277" s="209">
        <f>T277+(U276-U275)</f>
        <v>0</v>
      </c>
      <c r="V277" s="376"/>
      <c r="W277" s="209">
        <f>U277+(W276-W275)</f>
        <v>0</v>
      </c>
      <c r="X277" s="209">
        <f>W277+(X276-X275)</f>
        <v>0</v>
      </c>
      <c r="Y277" s="209">
        <f>X277+(Y276-Y275)</f>
        <v>0</v>
      </c>
      <c r="Z277" s="376"/>
      <c r="AA277" s="209">
        <f>Y277+(AA276-AA275)</f>
        <v>0</v>
      </c>
      <c r="AB277" s="209">
        <f>AA277+(AB276-AB275)</f>
        <v>0</v>
      </c>
      <c r="AC277" s="209">
        <f>AB277+(AC276-AC275)</f>
        <v>0</v>
      </c>
      <c r="AD277" s="209">
        <f>AC277+(AD276-AD275)</f>
        <v>0</v>
      </c>
      <c r="AE277" s="209">
        <f>AD277+(AE276-AE275)</f>
        <v>0</v>
      </c>
      <c r="AF277" s="209"/>
      <c r="AG277" s="376"/>
      <c r="AH277" s="209"/>
      <c r="AI277" s="209"/>
      <c r="AJ277" s="209"/>
      <c r="AK277" s="386"/>
      <c r="AL277" s="307"/>
      <c r="AM277" s="309"/>
      <c r="AN277" s="310"/>
      <c r="AO277" s="309"/>
      <c r="AP277" s="309"/>
      <c r="AQ277" s="309"/>
      <c r="AR277" s="309"/>
      <c r="AS277" s="309"/>
      <c r="AT277" s="309"/>
      <c r="AU277" s="309"/>
      <c r="AV277" s="309"/>
    </row>
    <row r="278" spans="3:48">
      <c r="G278" s="429" t="s">
        <v>118</v>
      </c>
      <c r="H278" s="189" t="s">
        <v>17</v>
      </c>
      <c r="I278" s="210">
        <v>0</v>
      </c>
      <c r="J278" s="210">
        <v>380</v>
      </c>
      <c r="K278" s="210">
        <v>101</v>
      </c>
      <c r="L278" s="376"/>
      <c r="M278" s="210">
        <v>0</v>
      </c>
      <c r="N278" s="210">
        <v>0</v>
      </c>
      <c r="O278" s="210">
        <v>0</v>
      </c>
      <c r="P278" s="376"/>
      <c r="Q278" s="376"/>
      <c r="R278" s="376"/>
      <c r="S278" s="376"/>
      <c r="T278" s="210">
        <v>0</v>
      </c>
      <c r="U278" s="210">
        <v>0</v>
      </c>
      <c r="V278" s="376"/>
      <c r="W278" s="210">
        <v>0</v>
      </c>
      <c r="X278" s="210">
        <v>0</v>
      </c>
      <c r="Y278" s="210">
        <f>(1300/20)*6</f>
        <v>390</v>
      </c>
      <c r="Z278" s="376"/>
      <c r="AA278" s="210">
        <v>380</v>
      </c>
      <c r="AB278" s="210">
        <v>0</v>
      </c>
      <c r="AC278" s="210">
        <v>0</v>
      </c>
      <c r="AD278" s="210">
        <v>0</v>
      </c>
      <c r="AE278" s="210">
        <v>0</v>
      </c>
      <c r="AF278" s="210">
        <v>0</v>
      </c>
      <c r="AG278" s="376"/>
      <c r="AH278" s="210">
        <v>0</v>
      </c>
      <c r="AI278" s="210">
        <v>0</v>
      </c>
      <c r="AJ278" s="210">
        <v>0</v>
      </c>
      <c r="AK278" s="210">
        <v>0</v>
      </c>
      <c r="AL278" s="308">
        <f t="shared" si="63"/>
        <v>1251</v>
      </c>
      <c r="AO278" s="368"/>
    </row>
    <row r="279" spans="3:48">
      <c r="G279" s="430"/>
      <c r="H279" s="188" t="s">
        <v>15</v>
      </c>
      <c r="I279" s="209"/>
      <c r="J279" s="209">
        <v>438.26</v>
      </c>
      <c r="K279" s="209">
        <v>101.86</v>
      </c>
      <c r="L279" s="376"/>
      <c r="M279" s="209">
        <v>4</v>
      </c>
      <c r="N279" s="209"/>
      <c r="O279" s="209"/>
      <c r="P279" s="376"/>
      <c r="Q279" s="376"/>
      <c r="R279" s="376"/>
      <c r="S279" s="376"/>
      <c r="T279" s="209"/>
      <c r="U279" s="209"/>
      <c r="V279" s="376"/>
      <c r="W279" s="209"/>
      <c r="X279" s="209"/>
      <c r="Y279" s="209">
        <v>491.7</v>
      </c>
      <c r="Z279" s="376"/>
      <c r="AA279" s="209">
        <v>380.12</v>
      </c>
      <c r="AB279" s="209">
        <v>10.88</v>
      </c>
      <c r="AC279" s="209"/>
      <c r="AD279" s="209"/>
      <c r="AE279" s="209"/>
      <c r="AF279" s="209"/>
      <c r="AG279" s="376"/>
      <c r="AH279" s="209"/>
      <c r="AI279" s="209"/>
      <c r="AJ279" s="209"/>
      <c r="AK279" s="386"/>
      <c r="AL279" s="307">
        <f t="shared" si="63"/>
        <v>1426.82</v>
      </c>
      <c r="AO279" s="368"/>
    </row>
    <row r="280" spans="3:48">
      <c r="C280" s="21"/>
      <c r="D280" s="21"/>
      <c r="E280" s="21"/>
      <c r="F280" s="21"/>
      <c r="G280" s="431"/>
      <c r="H280" s="188" t="s">
        <v>114</v>
      </c>
      <c r="I280" s="209">
        <f>I279-I278</f>
        <v>0</v>
      </c>
      <c r="J280" s="209">
        <f>I280+(J279-J278)</f>
        <v>58.26</v>
      </c>
      <c r="K280" s="209">
        <f>J280+(K279-K278)</f>
        <v>59.12</v>
      </c>
      <c r="L280" s="376"/>
      <c r="M280" s="209">
        <f>K280+(M279-M278)</f>
        <v>63.12</v>
      </c>
      <c r="N280" s="209">
        <f>M280+(N279-N278)</f>
        <v>63.12</v>
      </c>
      <c r="O280" s="209">
        <f>N280+(O279-O278)</f>
        <v>63.12</v>
      </c>
      <c r="P280" s="376"/>
      <c r="Q280" s="376"/>
      <c r="R280" s="376"/>
      <c r="S280" s="376"/>
      <c r="T280" s="209">
        <f>O280+(T279-T278)</f>
        <v>63.12</v>
      </c>
      <c r="U280" s="209">
        <f>T280+(U279-U278)</f>
        <v>63.12</v>
      </c>
      <c r="V280" s="376"/>
      <c r="W280" s="209">
        <f>U280+(W279-W278)</f>
        <v>63.12</v>
      </c>
      <c r="X280" s="209">
        <f>W280+(X279-X278)</f>
        <v>63.12</v>
      </c>
      <c r="Y280" s="209">
        <f>X280+(Y279-Y278)</f>
        <v>164.82</v>
      </c>
      <c r="Z280" s="376"/>
      <c r="AA280" s="209">
        <f>Y280+(AA279-AA278)</f>
        <v>164.94</v>
      </c>
      <c r="AB280" s="209">
        <f>AA280+(AB279-AB278)</f>
        <v>175.82</v>
      </c>
      <c r="AC280" s="209">
        <f>AB280+(AC279-AC278)</f>
        <v>175.82</v>
      </c>
      <c r="AD280" s="209"/>
      <c r="AE280" s="209"/>
      <c r="AF280" s="209"/>
      <c r="AG280" s="376"/>
      <c r="AH280" s="209"/>
      <c r="AI280" s="209"/>
      <c r="AJ280" s="209"/>
      <c r="AK280" s="386"/>
      <c r="AL280" s="307"/>
      <c r="AM280" s="309"/>
      <c r="AN280" s="310"/>
      <c r="AO280" s="309"/>
      <c r="AP280" s="309"/>
      <c r="AQ280" s="309"/>
      <c r="AR280" s="309"/>
      <c r="AS280" s="309"/>
      <c r="AT280" s="309"/>
      <c r="AU280" s="309"/>
      <c r="AV280" s="309"/>
    </row>
    <row r="281" spans="3:48">
      <c r="G281" s="429" t="s">
        <v>119</v>
      </c>
      <c r="H281" s="189" t="s">
        <v>120</v>
      </c>
      <c r="I281" s="210">
        <v>0</v>
      </c>
      <c r="J281" s="210">
        <v>0</v>
      </c>
      <c r="K281" s="210">
        <v>0</v>
      </c>
      <c r="L281" s="376"/>
      <c r="M281" s="210">
        <v>0</v>
      </c>
      <c r="N281" s="210">
        <v>0</v>
      </c>
      <c r="O281" s="210">
        <v>0</v>
      </c>
      <c r="P281" s="376"/>
      <c r="Q281" s="376"/>
      <c r="R281" s="376"/>
      <c r="S281" s="376"/>
      <c r="T281" s="210">
        <v>0</v>
      </c>
      <c r="U281" s="210">
        <v>0</v>
      </c>
      <c r="V281" s="376"/>
      <c r="W281" s="210">
        <v>0</v>
      </c>
      <c r="X281" s="210">
        <v>0</v>
      </c>
      <c r="Y281" s="210">
        <v>0</v>
      </c>
      <c r="Z281" s="376"/>
      <c r="AA281" s="210">
        <v>0</v>
      </c>
      <c r="AB281" s="210">
        <v>0</v>
      </c>
      <c r="AC281" s="210">
        <v>25</v>
      </c>
      <c r="AD281" s="210">
        <v>25</v>
      </c>
      <c r="AE281" s="210">
        <v>25</v>
      </c>
      <c r="AF281" s="210">
        <v>0</v>
      </c>
      <c r="AG281" s="376"/>
      <c r="AH281" s="210">
        <v>0</v>
      </c>
      <c r="AI281" s="210">
        <v>0</v>
      </c>
      <c r="AJ281" s="210">
        <v>0</v>
      </c>
      <c r="AK281" s="210">
        <v>0</v>
      </c>
      <c r="AL281" s="362">
        <f t="shared" si="63"/>
        <v>75</v>
      </c>
      <c r="AO281" s="368"/>
    </row>
    <row r="282" spans="3:48">
      <c r="G282" s="430"/>
      <c r="H282" s="188" t="s">
        <v>15</v>
      </c>
      <c r="I282" s="209">
        <v>6.26</v>
      </c>
      <c r="J282" s="209"/>
      <c r="K282" s="209"/>
      <c r="L282" s="376"/>
      <c r="M282" s="209"/>
      <c r="N282" s="209"/>
      <c r="O282" s="209"/>
      <c r="P282" s="376"/>
      <c r="Q282" s="376"/>
      <c r="R282" s="376"/>
      <c r="S282" s="376"/>
      <c r="T282" s="209"/>
      <c r="U282" s="209"/>
      <c r="V282" s="376"/>
      <c r="W282" s="209"/>
      <c r="X282" s="209"/>
      <c r="Y282" s="209"/>
      <c r="Z282" s="376"/>
      <c r="AA282" s="209"/>
      <c r="AB282" s="209"/>
      <c r="AC282" s="209">
        <v>20.100000000000001</v>
      </c>
      <c r="AD282" s="209">
        <v>23.36</v>
      </c>
      <c r="AE282" s="209">
        <v>22.64</v>
      </c>
      <c r="AF282" s="209"/>
      <c r="AG282" s="376"/>
      <c r="AH282" s="209"/>
      <c r="AI282" s="209"/>
      <c r="AJ282" s="209"/>
      <c r="AK282" s="386"/>
      <c r="AL282" s="307">
        <f t="shared" si="63"/>
        <v>72.36</v>
      </c>
      <c r="AO282" s="368"/>
    </row>
    <row r="283" spans="3:48">
      <c r="C283" s="21"/>
      <c r="D283" s="21"/>
      <c r="E283" s="21"/>
      <c r="F283" s="21"/>
      <c r="G283" s="431"/>
      <c r="H283" s="188" t="s">
        <v>114</v>
      </c>
      <c r="I283" s="209">
        <f>I282-I281</f>
        <v>6.26</v>
      </c>
      <c r="J283" s="209">
        <f>I283+(J282-J281)</f>
        <v>6.26</v>
      </c>
      <c r="K283" s="209">
        <f>J283+(K282-K281)</f>
        <v>6.26</v>
      </c>
      <c r="L283" s="376"/>
      <c r="M283" s="209">
        <f>K283+(M282-M281)</f>
        <v>6.26</v>
      </c>
      <c r="N283" s="209">
        <f>M283+(N282-N281)</f>
        <v>6.26</v>
      </c>
      <c r="O283" s="209">
        <f>N283+(O282-O281)</f>
        <v>6.26</v>
      </c>
      <c r="P283" s="376"/>
      <c r="Q283" s="376"/>
      <c r="R283" s="376"/>
      <c r="S283" s="376"/>
      <c r="T283" s="209">
        <f>O283+(T282-T281)</f>
        <v>6.26</v>
      </c>
      <c r="U283" s="209">
        <f>T283+(U282-U281)</f>
        <v>6.26</v>
      </c>
      <c r="V283" s="376"/>
      <c r="W283" s="209">
        <f>U283+(W282-W281)</f>
        <v>6.26</v>
      </c>
      <c r="X283" s="209">
        <f>W283+(X282-X281)</f>
        <v>6.26</v>
      </c>
      <c r="Y283" s="209">
        <f>X283+(Y282-Y281)</f>
        <v>6.26</v>
      </c>
      <c r="Z283" s="376"/>
      <c r="AA283" s="209">
        <f>Y283+(AA282-AA281)</f>
        <v>6.26</v>
      </c>
      <c r="AB283" s="209">
        <f>AA283+(AB282-AB281)</f>
        <v>6.26</v>
      </c>
      <c r="AC283" s="209">
        <f>AB283+(AC282-AC281)</f>
        <v>1.36</v>
      </c>
      <c r="AD283" s="209">
        <f>AC283+(AD282-AD281)</f>
        <v>-0.27999999999999903</v>
      </c>
      <c r="AE283" s="209">
        <f>AD283+(AE282-AE281)</f>
        <v>-2.64</v>
      </c>
      <c r="AF283" s="209">
        <f>AE283+(AF282-AF281)</f>
        <v>-2.64</v>
      </c>
      <c r="AG283" s="376"/>
      <c r="AH283" s="209"/>
      <c r="AI283" s="209"/>
      <c r="AJ283" s="209"/>
      <c r="AK283" s="386"/>
      <c r="AL283" s="307"/>
      <c r="AM283" s="309"/>
      <c r="AN283" s="310"/>
      <c r="AO283" s="309"/>
      <c r="AP283" s="309"/>
      <c r="AQ283" s="309"/>
      <c r="AR283" s="309"/>
      <c r="AS283" s="309"/>
      <c r="AT283" s="309"/>
      <c r="AU283" s="309"/>
      <c r="AV283" s="309"/>
    </row>
    <row r="284" spans="3:48">
      <c r="G284" s="429" t="s">
        <v>121</v>
      </c>
      <c r="H284" s="189" t="s">
        <v>122</v>
      </c>
      <c r="I284" s="210">
        <v>0</v>
      </c>
      <c r="J284" s="210">
        <v>0</v>
      </c>
      <c r="K284" s="210">
        <v>0</v>
      </c>
      <c r="L284" s="376"/>
      <c r="M284" s="210">
        <v>0</v>
      </c>
      <c r="N284" s="210">
        <v>0</v>
      </c>
      <c r="O284" s="210">
        <v>0</v>
      </c>
      <c r="P284" s="376"/>
      <c r="Q284" s="376"/>
      <c r="R284" s="376"/>
      <c r="S284" s="376"/>
      <c r="T284" s="210">
        <v>0</v>
      </c>
      <c r="U284" s="210">
        <v>0</v>
      </c>
      <c r="V284" s="376"/>
      <c r="W284" s="210">
        <v>0</v>
      </c>
      <c r="X284" s="210">
        <v>0</v>
      </c>
      <c r="Y284" s="210">
        <v>0</v>
      </c>
      <c r="Z284" s="376"/>
      <c r="AA284" s="210">
        <v>0</v>
      </c>
      <c r="AB284" s="210">
        <v>0</v>
      </c>
      <c r="AC284" s="210">
        <f>(300/20)*2</f>
        <v>30</v>
      </c>
      <c r="AD284" s="210">
        <f t="shared" ref="AD284:AF284" si="67">(300/20)*3</f>
        <v>45</v>
      </c>
      <c r="AE284" s="210">
        <f t="shared" si="67"/>
        <v>45</v>
      </c>
      <c r="AF284" s="210">
        <f t="shared" si="67"/>
        <v>45</v>
      </c>
      <c r="AG284" s="376"/>
      <c r="AH284" s="210">
        <v>0</v>
      </c>
      <c r="AI284" s="210">
        <v>0</v>
      </c>
      <c r="AJ284" s="210">
        <v>0</v>
      </c>
      <c r="AK284" s="387">
        <v>0</v>
      </c>
      <c r="AL284" s="362">
        <f t="shared" ref="AL284:AL285" si="68">SUM(I284:AK284)</f>
        <v>165</v>
      </c>
      <c r="AO284" s="368"/>
    </row>
    <row r="285" spans="3:48">
      <c r="G285" s="430"/>
      <c r="H285" s="188" t="s">
        <v>15</v>
      </c>
      <c r="I285" s="209"/>
      <c r="J285" s="209"/>
      <c r="K285" s="209"/>
      <c r="L285" s="376"/>
      <c r="M285" s="209"/>
      <c r="N285" s="209"/>
      <c r="O285" s="209"/>
      <c r="P285" s="376"/>
      <c r="Q285" s="376"/>
      <c r="R285" s="376"/>
      <c r="S285" s="376"/>
      <c r="T285" s="209"/>
      <c r="U285" s="209"/>
      <c r="V285" s="376"/>
      <c r="W285" s="209"/>
      <c r="X285" s="209"/>
      <c r="Y285" s="209"/>
      <c r="Z285" s="376"/>
      <c r="AA285" s="209"/>
      <c r="AB285" s="209"/>
      <c r="AC285" s="209">
        <v>39.82</v>
      </c>
      <c r="AD285" s="209">
        <v>69.92</v>
      </c>
      <c r="AE285" s="209">
        <v>57.28</v>
      </c>
      <c r="AF285" s="209"/>
      <c r="AG285" s="376"/>
      <c r="AH285" s="209"/>
      <c r="AI285" s="209"/>
      <c r="AJ285" s="209"/>
      <c r="AK285" s="386"/>
      <c r="AL285" s="307">
        <f t="shared" si="68"/>
        <v>167.02</v>
      </c>
      <c r="AO285" s="368"/>
    </row>
    <row r="286" spans="3:48">
      <c r="C286" s="21"/>
      <c r="D286" s="21"/>
      <c r="E286" s="21"/>
      <c r="F286" s="21"/>
      <c r="G286" s="431"/>
      <c r="H286" s="188" t="s">
        <v>114</v>
      </c>
      <c r="I286" s="209">
        <f>I285-I284</f>
        <v>0</v>
      </c>
      <c r="J286" s="209">
        <f>I286+(J285-J284)</f>
        <v>0</v>
      </c>
      <c r="K286" s="209">
        <f>J286+(K285-K284)</f>
        <v>0</v>
      </c>
      <c r="L286" s="376"/>
      <c r="M286" s="209">
        <f>K286+(M285-M284)</f>
        <v>0</v>
      </c>
      <c r="N286" s="209">
        <f>M286+(N285-N284)</f>
        <v>0</v>
      </c>
      <c r="O286" s="209">
        <f>N286+(O285-O284)</f>
        <v>0</v>
      </c>
      <c r="P286" s="376"/>
      <c r="Q286" s="376"/>
      <c r="R286" s="376"/>
      <c r="S286" s="376"/>
      <c r="T286" s="209">
        <f>O286+(T285-T284)</f>
        <v>0</v>
      </c>
      <c r="U286" s="209">
        <f>T286+(U285-U284)</f>
        <v>0</v>
      </c>
      <c r="V286" s="376"/>
      <c r="W286" s="209">
        <f>U286+(W285-W284)</f>
        <v>0</v>
      </c>
      <c r="X286" s="209">
        <f>W286+(X285-X284)</f>
        <v>0</v>
      </c>
      <c r="Y286" s="209">
        <f>X286+(Y285-Y284)</f>
        <v>0</v>
      </c>
      <c r="Z286" s="376"/>
      <c r="AA286" s="209">
        <f>Y286+(AA285-AA284)</f>
        <v>0</v>
      </c>
      <c r="AB286" s="209">
        <f>AA286+(AB285-AB284)</f>
        <v>0</v>
      </c>
      <c r="AC286" s="209">
        <f>AB286+(AC285-AC284)</f>
        <v>9.82</v>
      </c>
      <c r="AD286" s="209">
        <f>AC286+(AD285-AD284)</f>
        <v>34.74</v>
      </c>
      <c r="AE286" s="209">
        <f>AD286+(AE285-AE284)</f>
        <v>47.02</v>
      </c>
      <c r="AF286" s="209">
        <f>AE286+(AF285-AF284)</f>
        <v>2.02</v>
      </c>
      <c r="AG286" s="376"/>
      <c r="AH286" s="209"/>
      <c r="AI286" s="209"/>
      <c r="AJ286" s="209"/>
      <c r="AK286" s="386"/>
      <c r="AL286" s="307"/>
      <c r="AM286" s="309"/>
      <c r="AN286" s="310"/>
      <c r="AO286" s="309"/>
      <c r="AP286" s="309"/>
      <c r="AQ286" s="309"/>
      <c r="AR286" s="309"/>
      <c r="AS286" s="309"/>
      <c r="AT286" s="309"/>
      <c r="AU286" s="309"/>
      <c r="AV286" s="309"/>
    </row>
    <row r="287" spans="3:48">
      <c r="G287" s="429" t="s">
        <v>123</v>
      </c>
      <c r="H287" s="189" t="s">
        <v>122</v>
      </c>
      <c r="I287" s="210">
        <v>0</v>
      </c>
      <c r="J287" s="210">
        <v>0</v>
      </c>
      <c r="K287" s="210">
        <v>0</v>
      </c>
      <c r="L287" s="376"/>
      <c r="M287" s="210">
        <v>0</v>
      </c>
      <c r="N287" s="210">
        <v>0</v>
      </c>
      <c r="O287" s="210">
        <v>0</v>
      </c>
      <c r="P287" s="376"/>
      <c r="Q287" s="376"/>
      <c r="R287" s="376"/>
      <c r="S287" s="376"/>
      <c r="T287" s="210">
        <v>0</v>
      </c>
      <c r="U287" s="210">
        <v>0</v>
      </c>
      <c r="V287" s="376"/>
      <c r="W287" s="210">
        <v>0</v>
      </c>
      <c r="X287" s="210">
        <v>0</v>
      </c>
      <c r="Y287" s="210">
        <v>0</v>
      </c>
      <c r="Z287" s="376"/>
      <c r="AA287" s="210">
        <v>0</v>
      </c>
      <c r="AB287" s="210">
        <v>0</v>
      </c>
      <c r="AC287" s="210">
        <v>0</v>
      </c>
      <c r="AD287" s="210">
        <v>0</v>
      </c>
      <c r="AE287" s="210">
        <v>0</v>
      </c>
      <c r="AF287" s="210">
        <v>0</v>
      </c>
      <c r="AG287" s="376"/>
      <c r="AH287" s="210">
        <v>0</v>
      </c>
      <c r="AI287" s="210">
        <v>0</v>
      </c>
      <c r="AJ287" s="210">
        <v>0</v>
      </c>
      <c r="AK287" s="210">
        <v>0</v>
      </c>
      <c r="AL287" s="362"/>
      <c r="AO287" s="368"/>
    </row>
    <row r="288" spans="3:48">
      <c r="G288" s="430"/>
      <c r="H288" s="188" t="s">
        <v>15</v>
      </c>
      <c r="I288" s="209"/>
      <c r="J288" s="209"/>
      <c r="K288" s="209"/>
      <c r="L288" s="376"/>
      <c r="M288" s="209"/>
      <c r="N288" s="209"/>
      <c r="O288" s="209"/>
      <c r="P288" s="376"/>
      <c r="Q288" s="376"/>
      <c r="R288" s="376"/>
      <c r="S288" s="376"/>
      <c r="T288" s="209"/>
      <c r="U288" s="209"/>
      <c r="V288" s="376"/>
      <c r="W288" s="209"/>
      <c r="X288" s="209"/>
      <c r="Y288" s="209"/>
      <c r="Z288" s="376"/>
      <c r="AA288" s="209"/>
      <c r="AB288" s="209"/>
      <c r="AC288" s="209"/>
      <c r="AD288" s="209"/>
      <c r="AE288" s="209"/>
      <c r="AF288" s="209"/>
      <c r="AG288" s="376"/>
      <c r="AH288" s="209"/>
      <c r="AI288" s="209"/>
      <c r="AJ288" s="209"/>
      <c r="AK288" s="386"/>
      <c r="AL288" s="307"/>
      <c r="AO288" s="368"/>
    </row>
    <row r="289" spans="2:48">
      <c r="C289" s="21"/>
      <c r="D289" s="21"/>
      <c r="E289" s="21"/>
      <c r="F289" s="21"/>
      <c r="G289" s="431"/>
      <c r="H289" s="188" t="s">
        <v>114</v>
      </c>
      <c r="I289" s="209">
        <f>I288-I287</f>
        <v>0</v>
      </c>
      <c r="J289" s="209">
        <f>I289+(J288-J287)</f>
        <v>0</v>
      </c>
      <c r="K289" s="209">
        <f>J289+(K288-K287)</f>
        <v>0</v>
      </c>
      <c r="L289" s="376"/>
      <c r="M289" s="209">
        <f>K289+(M288-M287)</f>
        <v>0</v>
      </c>
      <c r="N289" s="209">
        <f>M289+(N288-N287)</f>
        <v>0</v>
      </c>
      <c r="O289" s="209">
        <f>N289+(O288-O287)</f>
        <v>0</v>
      </c>
      <c r="P289" s="376"/>
      <c r="Q289" s="376"/>
      <c r="R289" s="376"/>
      <c r="S289" s="376"/>
      <c r="T289" s="209">
        <f>O289+(T288-T287)</f>
        <v>0</v>
      </c>
      <c r="U289" s="209">
        <f>T289+(U288-U287)</f>
        <v>0</v>
      </c>
      <c r="V289" s="376"/>
      <c r="W289" s="209">
        <f>U289+(W288-W287)</f>
        <v>0</v>
      </c>
      <c r="X289" s="209">
        <f>W289+(X288-X287)</f>
        <v>0</v>
      </c>
      <c r="Y289" s="209">
        <f>X289+(Y288-Y287)</f>
        <v>0</v>
      </c>
      <c r="Z289" s="376"/>
      <c r="AA289" s="209">
        <f>Y289+(AA288-AA287)</f>
        <v>0</v>
      </c>
      <c r="AB289" s="209">
        <f>AA289+(AB288-AB287)</f>
        <v>0</v>
      </c>
      <c r="AC289" s="209">
        <f>AB289+(AC288-AC287)</f>
        <v>0</v>
      </c>
      <c r="AD289" s="209">
        <f>AC289+(AD288-AD287)</f>
        <v>0</v>
      </c>
      <c r="AE289" s="209">
        <f>AD289+(AE288-AE287)</f>
        <v>0</v>
      </c>
      <c r="AF289" s="209"/>
      <c r="AG289" s="376"/>
      <c r="AH289" s="209"/>
      <c r="AI289" s="209"/>
      <c r="AJ289" s="209"/>
      <c r="AK289" s="386"/>
      <c r="AL289" s="307"/>
      <c r="AM289" s="309"/>
      <c r="AN289" s="310"/>
      <c r="AO289" s="309"/>
      <c r="AP289" s="309"/>
      <c r="AQ289" s="309"/>
      <c r="AR289" s="309"/>
      <c r="AS289" s="309"/>
      <c r="AT289" s="309"/>
      <c r="AU289" s="309"/>
      <c r="AV289" s="309"/>
    </row>
    <row r="290" spans="2:48">
      <c r="G290" s="429" t="s">
        <v>124</v>
      </c>
      <c r="H290" s="189" t="s">
        <v>125</v>
      </c>
      <c r="I290" s="210">
        <f t="shared" ref="I290:K290" si="69">300/20</f>
        <v>15</v>
      </c>
      <c r="J290" s="210">
        <f t="shared" si="69"/>
        <v>15</v>
      </c>
      <c r="K290" s="210">
        <f t="shared" si="69"/>
        <v>15</v>
      </c>
      <c r="L290" s="376"/>
      <c r="M290" s="210">
        <f t="shared" ref="M290:O290" si="70">300/20</f>
        <v>15</v>
      </c>
      <c r="N290" s="210">
        <f t="shared" si="70"/>
        <v>15</v>
      </c>
      <c r="O290" s="210">
        <f t="shared" si="70"/>
        <v>15</v>
      </c>
      <c r="P290" s="376"/>
      <c r="Q290" s="376"/>
      <c r="R290" s="376"/>
      <c r="S290" s="376"/>
      <c r="T290" s="210">
        <v>0</v>
      </c>
      <c r="U290" s="210">
        <v>0</v>
      </c>
      <c r="V290" s="376"/>
      <c r="W290" s="210">
        <v>0</v>
      </c>
      <c r="X290" s="210">
        <v>0</v>
      </c>
      <c r="Y290" s="210">
        <v>0</v>
      </c>
      <c r="Z290" s="376"/>
      <c r="AA290" s="210">
        <v>0</v>
      </c>
      <c r="AB290" s="210">
        <v>0</v>
      </c>
      <c r="AC290" s="210">
        <v>0</v>
      </c>
      <c r="AD290" s="210">
        <v>0</v>
      </c>
      <c r="AE290" s="210">
        <v>0</v>
      </c>
      <c r="AF290" s="210">
        <v>0</v>
      </c>
      <c r="AG290" s="376"/>
      <c r="AH290" s="210">
        <v>0</v>
      </c>
      <c r="AI290" s="210">
        <v>0</v>
      </c>
      <c r="AJ290" s="210">
        <v>0</v>
      </c>
      <c r="AK290" s="387">
        <v>0</v>
      </c>
      <c r="AL290" s="362"/>
      <c r="AO290" s="368"/>
    </row>
    <row r="291" spans="2:48">
      <c r="G291" s="430"/>
      <c r="H291" s="188" t="s">
        <v>15</v>
      </c>
      <c r="I291" s="209"/>
      <c r="J291" s="209"/>
      <c r="K291" s="209"/>
      <c r="L291" s="376"/>
      <c r="M291" s="209"/>
      <c r="N291" s="209"/>
      <c r="O291" s="209"/>
      <c r="P291" s="376"/>
      <c r="Q291" s="376"/>
      <c r="R291" s="376"/>
      <c r="S291" s="376"/>
      <c r="T291" s="209"/>
      <c r="U291" s="209"/>
      <c r="V291" s="376"/>
      <c r="W291" s="209"/>
      <c r="X291" s="209"/>
      <c r="Y291" s="209"/>
      <c r="Z291" s="376"/>
      <c r="AA291" s="209"/>
      <c r="AB291" s="209"/>
      <c r="AC291" s="209"/>
      <c r="AD291" s="209"/>
      <c r="AE291" s="209"/>
      <c r="AF291" s="209"/>
      <c r="AG291" s="376"/>
      <c r="AH291" s="209"/>
      <c r="AI291" s="209"/>
      <c r="AJ291" s="209"/>
      <c r="AK291" s="386"/>
      <c r="AL291" s="307"/>
      <c r="AO291" s="368"/>
    </row>
    <row r="292" spans="2:48">
      <c r="C292" s="21"/>
      <c r="D292" s="21"/>
      <c r="E292" s="21"/>
      <c r="F292" s="21"/>
      <c r="G292" s="431"/>
      <c r="H292" s="188" t="s">
        <v>114</v>
      </c>
      <c r="I292" s="209">
        <f>I291-I290</f>
        <v>-15</v>
      </c>
      <c r="J292" s="209">
        <f>I292+(J291-J290)</f>
        <v>-30</v>
      </c>
      <c r="K292" s="209">
        <f>J292+(K291-K290)</f>
        <v>-45</v>
      </c>
      <c r="L292" s="376"/>
      <c r="M292" s="209">
        <f>K292+(M291-M290)</f>
        <v>-60</v>
      </c>
      <c r="N292" s="209">
        <f>M292+(N291-N290)</f>
        <v>-75</v>
      </c>
      <c r="O292" s="209">
        <f>N292+(O291-O290)</f>
        <v>-90</v>
      </c>
      <c r="P292" s="376"/>
      <c r="Q292" s="376"/>
      <c r="R292" s="376"/>
      <c r="S292" s="376"/>
      <c r="T292" s="209"/>
      <c r="U292" s="209"/>
      <c r="V292" s="376"/>
      <c r="W292" s="209"/>
      <c r="X292" s="209"/>
      <c r="Y292" s="209"/>
      <c r="Z292" s="376"/>
      <c r="AA292" s="209"/>
      <c r="AB292" s="209"/>
      <c r="AC292" s="209"/>
      <c r="AD292" s="209"/>
      <c r="AE292" s="209"/>
      <c r="AF292" s="209"/>
      <c r="AG292" s="376"/>
      <c r="AH292" s="209"/>
      <c r="AI292" s="209"/>
      <c r="AJ292" s="209"/>
      <c r="AK292" s="386"/>
      <c r="AL292" s="307"/>
      <c r="AM292" s="309"/>
      <c r="AN292" s="310"/>
      <c r="AO292" s="309"/>
      <c r="AP292" s="309"/>
      <c r="AQ292" s="309"/>
      <c r="AR292" s="309"/>
      <c r="AS292" s="309"/>
      <c r="AT292" s="309"/>
      <c r="AU292" s="309"/>
      <c r="AV292" s="309"/>
    </row>
    <row r="293" spans="2:48">
      <c r="G293" s="429" t="s">
        <v>126</v>
      </c>
      <c r="H293" s="189" t="s">
        <v>127</v>
      </c>
      <c r="I293" s="210">
        <v>0</v>
      </c>
      <c r="J293" s="210">
        <v>0</v>
      </c>
      <c r="K293" s="210">
        <v>0</v>
      </c>
      <c r="L293" s="376"/>
      <c r="M293" s="210">
        <v>0</v>
      </c>
      <c r="N293" s="210">
        <v>0</v>
      </c>
      <c r="O293" s="210">
        <v>0</v>
      </c>
      <c r="P293" s="376"/>
      <c r="Q293" s="376"/>
      <c r="R293" s="376"/>
      <c r="S293" s="376"/>
      <c r="T293" s="210">
        <v>0</v>
      </c>
      <c r="U293" s="210">
        <v>0</v>
      </c>
      <c r="V293" s="376"/>
      <c r="W293" s="210">
        <v>0</v>
      </c>
      <c r="X293" s="210">
        <v>0</v>
      </c>
      <c r="Y293" s="210">
        <v>0</v>
      </c>
      <c r="Z293" s="376"/>
      <c r="AA293" s="210">
        <v>0</v>
      </c>
      <c r="AB293" s="210">
        <v>0</v>
      </c>
      <c r="AC293" s="210">
        <v>0</v>
      </c>
      <c r="AD293" s="210">
        <v>0</v>
      </c>
      <c r="AE293" s="210">
        <v>0</v>
      </c>
      <c r="AF293" s="210">
        <v>0</v>
      </c>
      <c r="AG293" s="376"/>
      <c r="AH293" s="210">
        <v>120</v>
      </c>
      <c r="AI293" s="210">
        <v>250</v>
      </c>
      <c r="AJ293" s="210">
        <v>250</v>
      </c>
      <c r="AK293" s="210">
        <v>250</v>
      </c>
      <c r="AL293" s="362">
        <f t="shared" si="63"/>
        <v>870</v>
      </c>
      <c r="AO293" s="368"/>
    </row>
    <row r="294" spans="2:48">
      <c r="G294" s="430"/>
      <c r="H294" s="188" t="s">
        <v>15</v>
      </c>
      <c r="I294" s="211"/>
      <c r="J294" s="211"/>
      <c r="K294" s="211"/>
      <c r="L294" s="380"/>
      <c r="M294" s="211"/>
      <c r="N294" s="211"/>
      <c r="O294" s="211"/>
      <c r="P294" s="380"/>
      <c r="Q294" s="380"/>
      <c r="R294" s="380"/>
      <c r="S294" s="380"/>
      <c r="T294" s="211"/>
      <c r="U294" s="211"/>
      <c r="V294" s="380"/>
      <c r="W294" s="211"/>
      <c r="X294" s="211"/>
      <c r="Y294" s="211"/>
      <c r="Z294" s="380"/>
      <c r="AA294" s="211"/>
      <c r="AB294" s="211"/>
      <c r="AC294" s="211"/>
      <c r="AD294" s="211"/>
      <c r="AE294" s="211"/>
      <c r="AF294" s="211"/>
      <c r="AG294" s="380"/>
      <c r="AH294" s="211">
        <v>120.76</v>
      </c>
      <c r="AI294" s="211">
        <v>246.4</v>
      </c>
      <c r="AJ294" s="211">
        <v>218.06</v>
      </c>
      <c r="AK294" s="418">
        <v>265.22000000000003</v>
      </c>
      <c r="AL294" s="307">
        <f t="shared" si="63"/>
        <v>850.44</v>
      </c>
      <c r="AO294" s="368"/>
    </row>
    <row r="295" spans="2:48">
      <c r="C295" s="21"/>
      <c r="D295" s="21"/>
      <c r="E295" s="21"/>
      <c r="F295" s="21"/>
      <c r="G295" s="431"/>
      <c r="H295" s="196" t="s">
        <v>114</v>
      </c>
      <c r="I295" s="211">
        <f>I294-I293</f>
        <v>0</v>
      </c>
      <c r="J295" s="211">
        <f>I295+(J294-J293)</f>
        <v>0</v>
      </c>
      <c r="K295" s="211">
        <f>J295+(K294-K293)</f>
        <v>0</v>
      </c>
      <c r="L295" s="380"/>
      <c r="M295" s="211">
        <f>K295+(M294-M293)</f>
        <v>0</v>
      </c>
      <c r="N295" s="211">
        <f>M295+(N294-N293)</f>
        <v>0</v>
      </c>
      <c r="O295" s="211">
        <f>N295+(O294-O293)</f>
        <v>0</v>
      </c>
      <c r="P295" s="380"/>
      <c r="Q295" s="380"/>
      <c r="R295" s="380"/>
      <c r="S295" s="380"/>
      <c r="T295" s="211">
        <f>O295+(T294-T293)</f>
        <v>0</v>
      </c>
      <c r="U295" s="211">
        <f>T295+(U294-U293)</f>
        <v>0</v>
      </c>
      <c r="V295" s="380"/>
      <c r="W295" s="211">
        <f>U295+(W294-W293)</f>
        <v>0</v>
      </c>
      <c r="X295" s="211">
        <f>W295+(X294-X293)</f>
        <v>0</v>
      </c>
      <c r="Y295" s="211">
        <f>X295+(Y294-Y293)</f>
        <v>0</v>
      </c>
      <c r="Z295" s="380"/>
      <c r="AA295" s="211">
        <f>Y295+(AA294-AA293)</f>
        <v>0</v>
      </c>
      <c r="AB295" s="211">
        <f>AA295+(AB294-AB293)</f>
        <v>0</v>
      </c>
      <c r="AC295" s="211">
        <f>AB295+(AC294-AC293)</f>
        <v>0</v>
      </c>
      <c r="AD295" s="211">
        <f>AC295+(AD294-AD293)</f>
        <v>0</v>
      </c>
      <c r="AE295" s="211">
        <f>AD295+(AE294-AE293)</f>
        <v>0</v>
      </c>
      <c r="AF295" s="211">
        <f>AE295+(AF294-AF293)</f>
        <v>0</v>
      </c>
      <c r="AG295" s="380"/>
      <c r="AH295" s="211">
        <f>AF295+(AH294-AH293)</f>
        <v>0.760000000000005</v>
      </c>
      <c r="AI295" s="211">
        <f>AH295+(AI294-AI293)</f>
        <v>-2.8399999999999892</v>
      </c>
      <c r="AJ295" s="211">
        <f>AI295+(AJ294-AJ293)</f>
        <v>-34.779999999999987</v>
      </c>
      <c r="AK295" s="211">
        <f>AJ295+(AK294-AK293)</f>
        <v>-19.55999999999996</v>
      </c>
      <c r="AL295" s="364"/>
      <c r="AM295" s="309"/>
      <c r="AN295" s="310"/>
      <c r="AO295" s="309"/>
      <c r="AP295" s="309"/>
      <c r="AQ295" s="309"/>
      <c r="AR295" s="309"/>
      <c r="AS295" s="309"/>
      <c r="AT295" s="309"/>
      <c r="AU295" s="309"/>
      <c r="AV295" s="309"/>
    </row>
    <row r="296" spans="2:48">
      <c r="H296" s="312" t="s">
        <v>111</v>
      </c>
      <c r="I296" s="332">
        <f>SUM(I266,I269,I272,I275,I278,I281,I284,I287,I290,I293)</f>
        <v>195</v>
      </c>
      <c r="J296" s="335">
        <f t="shared" ref="J296:K296" si="71">SUM(J266,J269,J272,J275,J278,J281,J284,J287,J290,J293)</f>
        <v>495</v>
      </c>
      <c r="K296" s="335">
        <f t="shared" si="71"/>
        <v>176</v>
      </c>
      <c r="L296" s="410"/>
      <c r="M296" s="335">
        <f t="shared" ref="M296:O296" si="72">SUM(M266,M269,M272,M275,M278,M281,M284,M287,M290,M293)</f>
        <v>195</v>
      </c>
      <c r="N296" s="335">
        <f t="shared" si="72"/>
        <v>410</v>
      </c>
      <c r="O296" s="335">
        <f t="shared" si="72"/>
        <v>290</v>
      </c>
      <c r="P296" s="410"/>
      <c r="Q296" s="410"/>
      <c r="R296" s="410"/>
      <c r="S296" s="410"/>
      <c r="T296" s="335">
        <f t="shared" ref="T296:U296" si="73">SUM(T266,T269,T272,T275,T278,T281,T284,T287,T290,T293)</f>
        <v>275</v>
      </c>
      <c r="U296" s="335">
        <f t="shared" si="73"/>
        <v>275</v>
      </c>
      <c r="V296" s="410"/>
      <c r="W296" s="335">
        <f t="shared" ref="W296:Y296" si="74">SUM(W266,W269,W272,W275,W278,W281,W284,W287,W290,W293)</f>
        <v>275</v>
      </c>
      <c r="X296" s="335">
        <f t="shared" si="74"/>
        <v>275</v>
      </c>
      <c r="Y296" s="335">
        <f t="shared" si="74"/>
        <v>665</v>
      </c>
      <c r="Z296" s="410"/>
      <c r="AA296" s="335">
        <f t="shared" ref="AA296:AF296" si="75">SUM(AA266,AA269,AA272,AA275,AA278,AA281,AA284,AA287,AA290,AA293)</f>
        <v>655</v>
      </c>
      <c r="AB296" s="335">
        <f t="shared" si="75"/>
        <v>275</v>
      </c>
      <c r="AC296" s="335">
        <f t="shared" si="75"/>
        <v>330</v>
      </c>
      <c r="AD296" s="335">
        <f t="shared" si="75"/>
        <v>345</v>
      </c>
      <c r="AE296" s="335">
        <f t="shared" si="75"/>
        <v>345</v>
      </c>
      <c r="AF296" s="335">
        <f t="shared" si="75"/>
        <v>261</v>
      </c>
      <c r="AG296" s="410"/>
      <c r="AH296" s="335">
        <f t="shared" ref="AH296:AK296" si="76">SUM(AH266,AH269,AH272,AH275,AH278,AH281,AH284,AH287,AH290,AH293)</f>
        <v>720</v>
      </c>
      <c r="AI296" s="335">
        <f t="shared" si="76"/>
        <v>350</v>
      </c>
      <c r="AJ296" s="335">
        <f t="shared" si="76"/>
        <v>400</v>
      </c>
      <c r="AK296" s="419">
        <f t="shared" si="76"/>
        <v>400</v>
      </c>
      <c r="AL296" s="366">
        <f t="shared" ref="AL296" si="77">SUM(AL266,AL269,AL272,AL275,AL278,AL281,AL290,AL293)</f>
        <v>7352</v>
      </c>
      <c r="AO296" s="368"/>
    </row>
    <row r="297" spans="2:48">
      <c r="H297" s="313" t="s">
        <v>112</v>
      </c>
      <c r="I297" s="336">
        <f>SUM(I267,I270,I273,I276,I279,I282,I285,I288,I291,I294)</f>
        <v>185.08</v>
      </c>
      <c r="J297" s="339">
        <f t="shared" ref="J297:K297" si="78">SUM(J267,J270,J273,J276,J279,J282,J285,J288,J291,J294)</f>
        <v>536.66</v>
      </c>
      <c r="K297" s="339">
        <f t="shared" si="78"/>
        <v>162.38</v>
      </c>
      <c r="L297" s="397"/>
      <c r="M297" s="339">
        <f t="shared" ref="M297:O297" si="79">SUM(M267,M270,M273,M276,M279,M282,M285,M288,M291,M294)</f>
        <v>215.36</v>
      </c>
      <c r="N297" s="339">
        <f t="shared" si="79"/>
        <v>336</v>
      </c>
      <c r="O297" s="339">
        <f t="shared" si="79"/>
        <v>325.8</v>
      </c>
      <c r="P297" s="397"/>
      <c r="Q297" s="397"/>
      <c r="R297" s="397"/>
      <c r="S297" s="397"/>
      <c r="T297" s="339">
        <f t="shared" ref="T297:U297" si="80">SUM(T267,T270,T273,T276,T279,T282,T285,T288,T291,T294)</f>
        <v>319.92</v>
      </c>
      <c r="U297" s="339">
        <f t="shared" si="80"/>
        <v>395.42</v>
      </c>
      <c r="V297" s="397"/>
      <c r="W297" s="339">
        <f t="shared" ref="W297:Y297" si="81">SUM(W267,W270,W273,W276,W279,W282,W285,W288,W291,W294)</f>
        <v>342.4</v>
      </c>
      <c r="X297" s="339">
        <f t="shared" si="81"/>
        <v>549.5</v>
      </c>
      <c r="Y297" s="339">
        <f t="shared" si="81"/>
        <v>804.56</v>
      </c>
      <c r="Z297" s="397"/>
      <c r="AA297" s="339">
        <f t="shared" ref="AA297:AF297" si="82">SUM(AA267,AA270,AA273,AA276,AA279,AA282,AA285,AA288,AA291,AA294)</f>
        <v>629.32000000000005</v>
      </c>
      <c r="AB297" s="339">
        <f t="shared" si="82"/>
        <v>395.62</v>
      </c>
      <c r="AC297" s="339">
        <f t="shared" si="82"/>
        <v>391.06</v>
      </c>
      <c r="AD297" s="339">
        <f t="shared" si="82"/>
        <v>447.72</v>
      </c>
      <c r="AE297" s="339">
        <f t="shared" si="82"/>
        <v>407.18</v>
      </c>
      <c r="AF297" s="339">
        <f t="shared" si="82"/>
        <v>226.26</v>
      </c>
      <c r="AG297" s="397"/>
      <c r="AH297" s="339">
        <f t="shared" ref="AH297:AK297" si="83">SUM(AH267,AH270,AH273,AH276,AH279,AH282,AH285,AH288,AH291,AH294)</f>
        <v>858.24</v>
      </c>
      <c r="AI297" s="339">
        <f t="shared" si="83"/>
        <v>289.02</v>
      </c>
      <c r="AJ297" s="339">
        <f t="shared" si="83"/>
        <v>413.66</v>
      </c>
      <c r="AK297" s="420">
        <f t="shared" si="83"/>
        <v>370.04</v>
      </c>
      <c r="AL297" s="361">
        <f t="shared" ref="AL297" si="84">SUM(AL267,AL270,AL273,AL276,AL279,AL282,AL291,AL294)</f>
        <v>8434.1799999999985</v>
      </c>
      <c r="AO297" s="368"/>
    </row>
    <row r="298" spans="2:48">
      <c r="B298" s="309"/>
      <c r="C298" s="481"/>
      <c r="D298" s="481"/>
      <c r="E298" s="481"/>
      <c r="F298" s="481"/>
      <c r="G298" s="481"/>
      <c r="J298" s="309"/>
      <c r="K298" s="309"/>
      <c r="L298" s="412"/>
      <c r="M298" s="309"/>
      <c r="N298" s="309"/>
      <c r="O298" s="309"/>
      <c r="P298" s="412"/>
      <c r="Q298" s="412"/>
      <c r="R298" s="412"/>
      <c r="S298" s="412"/>
      <c r="T298" s="309"/>
      <c r="U298" s="309"/>
      <c r="V298" s="412"/>
      <c r="W298" s="309"/>
      <c r="X298" s="309"/>
      <c r="Y298" s="309"/>
      <c r="Z298" s="412"/>
      <c r="AA298" s="309"/>
      <c r="AB298" s="309"/>
      <c r="AC298" s="309"/>
      <c r="AD298" s="309"/>
      <c r="AE298" s="309"/>
      <c r="AF298" s="309"/>
      <c r="AG298" s="421"/>
      <c r="AH298" s="309"/>
      <c r="AI298" s="309"/>
      <c r="AJ298" s="309"/>
      <c r="AK298" s="309"/>
      <c r="AM298" s="511"/>
      <c r="AN298" s="511"/>
      <c r="AO298" s="309"/>
    </row>
    <row r="299" spans="2:48">
      <c r="B299" s="178"/>
      <c r="C299" s="316"/>
      <c r="D299" s="316"/>
      <c r="E299" s="316"/>
      <c r="F299" s="316"/>
      <c r="AM299" s="511"/>
      <c r="AN299" s="511"/>
      <c r="AO299" s="309"/>
    </row>
    <row r="300" spans="2:48">
      <c r="B300" s="178"/>
      <c r="C300" s="316"/>
      <c r="D300" s="316"/>
      <c r="E300" s="316"/>
      <c r="F300" s="316"/>
      <c r="AM300" s="511"/>
      <c r="AN300" s="511"/>
      <c r="AO300" s="309"/>
    </row>
    <row r="301" spans="2:48">
      <c r="B301" s="178"/>
      <c r="C301" s="316"/>
      <c r="D301" s="316"/>
      <c r="E301" s="316"/>
      <c r="F301" s="316"/>
      <c r="AM301" s="511"/>
      <c r="AN301" s="511"/>
      <c r="AO301" s="309"/>
    </row>
    <row r="302" spans="2:48">
      <c r="B302" s="178"/>
      <c r="C302" s="316"/>
      <c r="D302" s="316"/>
      <c r="E302" s="316"/>
      <c r="F302" s="316"/>
      <c r="AM302" s="511"/>
      <c r="AN302" s="511"/>
      <c r="AO302" s="309"/>
    </row>
    <row r="303" spans="2:48">
      <c r="B303" s="178"/>
      <c r="C303" s="316"/>
      <c r="D303" s="316"/>
      <c r="E303" s="316"/>
      <c r="F303" s="316"/>
      <c r="AM303" s="511"/>
      <c r="AN303" s="511"/>
      <c r="AO303" s="309"/>
    </row>
    <row r="304" spans="2:48">
      <c r="B304" s="178"/>
      <c r="C304" s="316"/>
      <c r="D304" s="316"/>
      <c r="E304" s="316"/>
      <c r="F304" s="316"/>
      <c r="AM304" s="511"/>
      <c r="AN304" s="511"/>
      <c r="AO304" s="369"/>
    </row>
    <row r="305" spans="2:48">
      <c r="B305" s="317"/>
      <c r="C305" s="318"/>
      <c r="D305" s="318"/>
      <c r="E305" s="318"/>
      <c r="F305" s="318"/>
      <c r="G305" s="319"/>
      <c r="H305" s="319"/>
      <c r="I305" s="319"/>
      <c r="J305" s="319"/>
      <c r="K305" s="319"/>
      <c r="L305" s="413"/>
      <c r="M305" s="319"/>
      <c r="N305" s="319"/>
      <c r="O305" s="319"/>
      <c r="P305" s="413"/>
      <c r="Q305" s="413"/>
      <c r="R305" s="413"/>
      <c r="S305" s="413"/>
      <c r="T305" s="319"/>
      <c r="U305" s="319"/>
      <c r="V305" s="413"/>
      <c r="W305" s="319"/>
      <c r="X305" s="319"/>
      <c r="Y305" s="319"/>
      <c r="Z305" s="413"/>
      <c r="AA305" s="319"/>
      <c r="AB305" s="319"/>
      <c r="AC305" s="319"/>
      <c r="AD305" s="319"/>
      <c r="AE305" s="319"/>
      <c r="AF305" s="319"/>
      <c r="AG305" s="422"/>
      <c r="AH305" s="319"/>
      <c r="AI305" s="319"/>
      <c r="AJ305" s="319"/>
      <c r="AK305" s="319"/>
      <c r="AM305" s="511"/>
      <c r="AN305" s="511"/>
      <c r="AO305" s="309"/>
    </row>
    <row r="307" spans="2:48">
      <c r="B307" s="309"/>
      <c r="C307" s="481"/>
      <c r="D307" s="481"/>
      <c r="E307" s="481"/>
      <c r="F307" s="481"/>
      <c r="G307" s="481"/>
      <c r="H307" s="309"/>
      <c r="I307" s="309"/>
      <c r="J307" s="309"/>
      <c r="K307" s="309"/>
      <c r="L307" s="412"/>
      <c r="M307" s="309"/>
      <c r="N307" s="309"/>
      <c r="O307" s="309"/>
      <c r="P307" s="412"/>
      <c r="Q307" s="412"/>
      <c r="R307" s="412"/>
      <c r="S307" s="412"/>
      <c r="T307" s="309"/>
      <c r="U307" s="309"/>
      <c r="V307" s="412"/>
      <c r="W307" s="309"/>
      <c r="X307" s="309"/>
      <c r="Y307" s="309"/>
      <c r="Z307" s="412"/>
      <c r="AA307" s="309"/>
      <c r="AB307" s="309"/>
      <c r="AC307" s="309"/>
      <c r="AD307" s="309"/>
      <c r="AE307" s="309"/>
      <c r="AF307" s="309"/>
      <c r="AG307" s="421"/>
      <c r="AH307" s="309"/>
      <c r="AI307" s="309"/>
      <c r="AJ307" s="309"/>
      <c r="AK307" s="309"/>
    </row>
    <row r="308" spans="2:48">
      <c r="C308" s="316"/>
      <c r="D308" s="316"/>
      <c r="E308" s="316"/>
      <c r="F308" s="316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</row>
    <row r="309" spans="2:48">
      <c r="C309" s="316"/>
      <c r="D309" s="316"/>
      <c r="E309" s="316"/>
      <c r="F309" s="316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</row>
    <row r="310" spans="2:48">
      <c r="C310" s="316"/>
      <c r="D310" s="316"/>
      <c r="E310" s="316"/>
      <c r="F310" s="316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</row>
    <row r="311" spans="2:48">
      <c r="C311" s="316"/>
      <c r="D311" s="316"/>
      <c r="E311" s="316"/>
      <c r="F311" s="316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</row>
    <row r="312" spans="2:48">
      <c r="C312" s="316"/>
      <c r="D312" s="316"/>
      <c r="E312" s="316"/>
      <c r="F312" s="316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</row>
    <row r="313" spans="2:48">
      <c r="C313" s="316"/>
      <c r="D313" s="316"/>
      <c r="E313" s="316"/>
      <c r="F313" s="316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</row>
    <row r="314" spans="2:48">
      <c r="C314" s="316"/>
      <c r="D314" s="316"/>
      <c r="E314" s="316"/>
      <c r="F314" s="316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</row>
    <row r="315" spans="2:48">
      <c r="C315" s="316"/>
      <c r="D315" s="316"/>
      <c r="E315" s="316"/>
      <c r="F315" s="316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</row>
    <row r="316" spans="2:48">
      <c r="C316" s="316"/>
      <c r="D316" s="316"/>
      <c r="E316" s="316"/>
      <c r="F316" s="316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</row>
    <row r="317" spans="2:48">
      <c r="C317" s="316"/>
      <c r="D317" s="316"/>
      <c r="E317" s="316"/>
      <c r="F317" s="316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</row>
    <row r="318" spans="2:48">
      <c r="C318" s="316"/>
      <c r="D318" s="316"/>
      <c r="E318" s="316"/>
      <c r="F318" s="316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</row>
    <row r="319" spans="2:48">
      <c r="B319" s="317"/>
      <c r="C319" s="318"/>
      <c r="D319" s="318"/>
      <c r="E319" s="318"/>
      <c r="F319" s="318"/>
      <c r="G319" s="320"/>
      <c r="H319" s="320"/>
      <c r="I319" s="320"/>
      <c r="J319" s="320"/>
      <c r="K319" s="320"/>
      <c r="L319" s="414"/>
      <c r="M319" s="320"/>
      <c r="N319" s="320"/>
      <c r="O319" s="320"/>
      <c r="P319" s="414"/>
      <c r="Q319" s="414"/>
      <c r="R319" s="414"/>
      <c r="S319" s="414"/>
      <c r="T319" s="320"/>
      <c r="U319" s="320"/>
      <c r="V319" s="414"/>
      <c r="W319" s="320"/>
      <c r="X319" s="320"/>
      <c r="Y319" s="320"/>
      <c r="Z319" s="414"/>
      <c r="AA319" s="320"/>
      <c r="AB319" s="320"/>
      <c r="AC319" s="320"/>
      <c r="AD319" s="320"/>
      <c r="AE319" s="320"/>
      <c r="AF319" s="320"/>
      <c r="AH319" s="320"/>
      <c r="AI319" s="320"/>
      <c r="AJ319" s="320"/>
      <c r="AK319" s="3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</row>
    <row r="321" spans="2:48">
      <c r="B321" s="309"/>
      <c r="C321" s="309"/>
      <c r="D321" s="309"/>
      <c r="E321" s="309"/>
      <c r="F321" s="309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</row>
    <row r="322" spans="2:48">
      <c r="C322" s="316"/>
      <c r="D322" s="316"/>
      <c r="E322" s="316"/>
      <c r="F322" s="316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</row>
    <row r="323" spans="2:48">
      <c r="C323" s="316"/>
      <c r="D323" s="316"/>
      <c r="E323" s="316"/>
      <c r="F323" s="316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</row>
    <row r="324" spans="2:48">
      <c r="B324" s="369"/>
      <c r="C324" s="309"/>
      <c r="D324" s="309"/>
      <c r="E324" s="309"/>
      <c r="F324" s="309"/>
      <c r="G324" s="370"/>
      <c r="H324" s="370"/>
      <c r="I324" s="370"/>
      <c r="J324" s="370"/>
      <c r="K324" s="370"/>
      <c r="L324" s="414"/>
      <c r="M324" s="370"/>
      <c r="N324" s="370"/>
      <c r="O324" s="370"/>
      <c r="P324" s="414"/>
      <c r="Q324" s="414"/>
      <c r="R324" s="414"/>
      <c r="S324" s="414"/>
      <c r="T324" s="370"/>
      <c r="U324" s="370"/>
      <c r="V324" s="414"/>
      <c r="W324" s="370"/>
      <c r="X324" s="370"/>
      <c r="Y324" s="370"/>
      <c r="Z324" s="414"/>
      <c r="AA324" s="370"/>
      <c r="AB324" s="370"/>
      <c r="AC324" s="370"/>
      <c r="AD324" s="370"/>
      <c r="AE324" s="370"/>
      <c r="AF324" s="370"/>
      <c r="AH324" s="370"/>
      <c r="AI324" s="370"/>
      <c r="AJ324" s="370"/>
      <c r="AK324" s="37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</row>
  </sheetData>
  <mergeCells count="108">
    <mergeCell ref="C298:G298"/>
    <mergeCell ref="AM298:AN298"/>
    <mergeCell ref="AM299:AN299"/>
    <mergeCell ref="AM300:AN300"/>
    <mergeCell ref="AM301:AN301"/>
    <mergeCell ref="AM302:AN302"/>
    <mergeCell ref="AM303:AN303"/>
    <mergeCell ref="AM304:AN304"/>
    <mergeCell ref="AM305:AN305"/>
    <mergeCell ref="C307:G307"/>
    <mergeCell ref="A4:A28"/>
    <mergeCell ref="A30:A57"/>
    <mergeCell ref="A58:A86"/>
    <mergeCell ref="A87:A97"/>
    <mergeCell ref="A98:A107"/>
    <mergeCell ref="A108:A125"/>
    <mergeCell ref="A126:A140"/>
    <mergeCell ref="A141:A191"/>
    <mergeCell ref="A192:A235"/>
    <mergeCell ref="B3:B29"/>
    <mergeCell ref="B30:B57"/>
    <mergeCell ref="B58:B86"/>
    <mergeCell ref="B87:B97"/>
    <mergeCell ref="B98:B107"/>
    <mergeCell ref="B108:B125"/>
    <mergeCell ref="B126:B140"/>
    <mergeCell ref="B141:B191"/>
    <mergeCell ref="B192:B235"/>
    <mergeCell ref="C3:C29"/>
    <mergeCell ref="C30:C57"/>
    <mergeCell ref="C58:C86"/>
    <mergeCell ref="C87:C97"/>
    <mergeCell ref="C98:C107"/>
    <mergeCell ref="C108:C125"/>
    <mergeCell ref="C126:C140"/>
    <mergeCell ref="C141:C191"/>
    <mergeCell ref="C192:C235"/>
    <mergeCell ref="D3:D29"/>
    <mergeCell ref="D30:D57"/>
    <mergeCell ref="D58:D86"/>
    <mergeCell ref="D87:D97"/>
    <mergeCell ref="D98:D107"/>
    <mergeCell ref="D108:D125"/>
    <mergeCell ref="D126:D140"/>
    <mergeCell ref="D192:D235"/>
    <mergeCell ref="E3:E29"/>
    <mergeCell ref="E58:E86"/>
    <mergeCell ref="E87:E104"/>
    <mergeCell ref="E108:E125"/>
    <mergeCell ref="E141:E188"/>
    <mergeCell ref="F3:F29"/>
    <mergeCell ref="F30:F57"/>
    <mergeCell ref="F58:F86"/>
    <mergeCell ref="F87:F97"/>
    <mergeCell ref="F98:F107"/>
    <mergeCell ref="F108:F125"/>
    <mergeCell ref="F126:F140"/>
    <mergeCell ref="F141:F191"/>
    <mergeCell ref="F192:F235"/>
    <mergeCell ref="G238:G240"/>
    <mergeCell ref="G241:G243"/>
    <mergeCell ref="G244:G246"/>
    <mergeCell ref="G247:G249"/>
    <mergeCell ref="G250:G252"/>
    <mergeCell ref="G253:G255"/>
    <mergeCell ref="G256:G258"/>
    <mergeCell ref="G266:G268"/>
    <mergeCell ref="G269:G271"/>
    <mergeCell ref="G272:G274"/>
    <mergeCell ref="G275:G277"/>
    <mergeCell ref="G278:G280"/>
    <mergeCell ref="G281:G283"/>
    <mergeCell ref="G284:G286"/>
    <mergeCell ref="G287:G289"/>
    <mergeCell ref="G290:G292"/>
    <mergeCell ref="G293:G295"/>
    <mergeCell ref="AM3:AM9"/>
    <mergeCell ref="AM30:AM31"/>
    <mergeCell ref="AM58:AM59"/>
    <mergeCell ref="AN3:AN9"/>
    <mergeCell ref="AN30:AN31"/>
    <mergeCell ref="AN58:AN59"/>
    <mergeCell ref="AP50:AP57"/>
    <mergeCell ref="AP60:AP80"/>
    <mergeCell ref="AP182:AP188"/>
    <mergeCell ref="AP211:AP212"/>
    <mergeCell ref="AP214:AP235"/>
    <mergeCell ref="AQ207:AQ212"/>
    <mergeCell ref="AR207:AR212"/>
    <mergeCell ref="AS3:AS29"/>
    <mergeCell ref="AS30:AS57"/>
    <mergeCell ref="AS58:AS80"/>
    <mergeCell ref="AS141:AS188"/>
    <mergeCell ref="AS192:AS235"/>
    <mergeCell ref="AT141:AT188"/>
    <mergeCell ref="AT192:AT235"/>
    <mergeCell ref="AU58:AU80"/>
    <mergeCell ref="AU87:AU92"/>
    <mergeCell ref="AU108:AU125"/>
    <mergeCell ref="AU126:AU140"/>
    <mergeCell ref="AV3:AV29"/>
    <mergeCell ref="AV30:AV57"/>
    <mergeCell ref="AV58:AV80"/>
    <mergeCell ref="AV87:AV107"/>
    <mergeCell ref="AV108:AV125"/>
    <mergeCell ref="AV126:AV140"/>
    <mergeCell ref="AV141:AV188"/>
    <mergeCell ref="AV192:AV235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4"/>
  <sheetViews>
    <sheetView showGridLines="0" tabSelected="1" topLeftCell="G1" workbookViewId="0">
      <pane xSplit="1" ySplit="237" topLeftCell="U238" activePane="bottomRight" state="frozen"/>
      <selection pane="topRight"/>
      <selection pane="bottomLeft"/>
      <selection pane="bottomRight" activeCell="AL271" sqref="AL271"/>
    </sheetView>
  </sheetViews>
  <sheetFormatPr defaultColWidth="9.140625" defaultRowHeight="15"/>
  <cols>
    <col min="1" max="1" width="13.7109375" style="20" hidden="1" customWidth="1"/>
    <col min="2" max="2" width="18.140625" style="20" hidden="1" customWidth="1"/>
    <col min="3" max="5" width="12" style="178" hidden="1" customWidth="1"/>
    <col min="6" max="6" width="11.5703125" style="178" hidden="1" customWidth="1"/>
    <col min="7" max="7" width="15.42578125" style="20" customWidth="1"/>
    <col min="8" max="8" width="33.85546875" style="20" customWidth="1"/>
    <col min="9" max="9" width="7.7109375" style="20" customWidth="1"/>
    <col min="10" max="10" width="7.7109375" style="179" customWidth="1"/>
    <col min="11" max="11" width="7.7109375" style="180" customWidth="1"/>
    <col min="12" max="16" width="7.7109375" style="20" customWidth="1"/>
    <col min="17" max="17" width="7.7109375" style="179" customWidth="1"/>
    <col min="18" max="18" width="7.7109375" style="180" customWidth="1"/>
    <col min="19" max="19" width="7.7109375" style="181" customWidth="1"/>
    <col min="20" max="23" width="7.7109375" style="20" customWidth="1"/>
    <col min="24" max="24" width="7.7109375" style="179" customWidth="1"/>
    <col min="25" max="25" width="7.7109375" style="180" customWidth="1"/>
    <col min="26" max="30" width="7.7109375" style="20" customWidth="1"/>
    <col min="31" max="31" width="7.7109375" style="179" customWidth="1"/>
    <col min="32" max="32" width="7.7109375" style="180" customWidth="1"/>
    <col min="33" max="36" width="7.7109375" style="20" customWidth="1"/>
    <col min="37" max="37" width="7.7109375" style="181" customWidth="1"/>
    <col min="38" max="38" width="7.7109375" style="179" customWidth="1"/>
    <col min="39" max="39" width="7.7109375" style="180" customWidth="1"/>
    <col min="40" max="41" width="11.7109375" style="178" customWidth="1"/>
    <col min="42" max="42" width="13.42578125" style="178" customWidth="1"/>
    <col min="43" max="50" width="11.7109375" style="178" customWidth="1"/>
    <col min="51" max="16384" width="9.140625" style="20"/>
  </cols>
  <sheetData>
    <row r="1" spans="1:52" ht="41.45" customHeight="1">
      <c r="G1" s="37" t="s">
        <v>128</v>
      </c>
      <c r="J1" s="199"/>
      <c r="K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</row>
    <row r="2" spans="1:52" s="177" customFormat="1" ht="41.45" hidden="1" customHeight="1">
      <c r="A2" s="38" t="s">
        <v>1</v>
      </c>
      <c r="B2" s="38" t="s">
        <v>2</v>
      </c>
      <c r="C2" s="182" t="s">
        <v>3</v>
      </c>
      <c r="D2" s="40" t="s">
        <v>4</v>
      </c>
      <c r="E2" s="41" t="s">
        <v>5</v>
      </c>
      <c r="F2" s="41" t="s">
        <v>6</v>
      </c>
      <c r="G2" s="38" t="s">
        <v>7</v>
      </c>
      <c r="H2" s="42" t="s">
        <v>8</v>
      </c>
      <c r="I2" s="38">
        <v>1</v>
      </c>
      <c r="J2" s="200">
        <v>2</v>
      </c>
      <c r="K2" s="65">
        <v>3</v>
      </c>
      <c r="L2" s="38">
        <v>5</v>
      </c>
      <c r="M2" s="38">
        <v>5</v>
      </c>
      <c r="N2" s="38">
        <v>6</v>
      </c>
      <c r="O2" s="38">
        <v>7</v>
      </c>
      <c r="P2" s="38">
        <v>7</v>
      </c>
      <c r="Q2" s="200">
        <v>2</v>
      </c>
      <c r="R2" s="65">
        <v>3</v>
      </c>
      <c r="S2" s="238">
        <v>12</v>
      </c>
      <c r="T2" s="38">
        <v>12</v>
      </c>
      <c r="U2" s="38">
        <v>13</v>
      </c>
      <c r="V2" s="38">
        <v>13</v>
      </c>
      <c r="W2" s="38">
        <v>15</v>
      </c>
      <c r="X2" s="200">
        <v>2</v>
      </c>
      <c r="Y2" s="65">
        <v>3</v>
      </c>
      <c r="Z2" s="38">
        <v>17</v>
      </c>
      <c r="AA2" s="38">
        <v>19</v>
      </c>
      <c r="AB2" s="38">
        <v>20</v>
      </c>
      <c r="AC2" s="38">
        <v>21</v>
      </c>
      <c r="AD2" s="38">
        <v>22</v>
      </c>
      <c r="AE2" s="200">
        <v>2</v>
      </c>
      <c r="AF2" s="65">
        <v>3</v>
      </c>
      <c r="AG2" s="38">
        <v>17</v>
      </c>
      <c r="AH2" s="38">
        <v>26</v>
      </c>
      <c r="AI2" s="38">
        <v>27</v>
      </c>
      <c r="AJ2" s="38">
        <v>28</v>
      </c>
      <c r="AK2" s="238"/>
      <c r="AL2" s="200">
        <v>2</v>
      </c>
      <c r="AM2" s="65">
        <v>3</v>
      </c>
      <c r="AN2" s="38" t="s">
        <v>9</v>
      </c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268"/>
      <c r="AZ2" s="268"/>
    </row>
    <row r="3" spans="1:52" hidden="1">
      <c r="A3" s="183"/>
      <c r="B3" s="496" t="s">
        <v>10</v>
      </c>
      <c r="C3" s="508">
        <v>8000</v>
      </c>
      <c r="D3" s="464">
        <v>1.59</v>
      </c>
      <c r="E3" s="440"/>
      <c r="F3" s="450" t="s">
        <v>11</v>
      </c>
      <c r="G3" s="184">
        <v>0.08</v>
      </c>
      <c r="H3" s="185" t="s">
        <v>12</v>
      </c>
      <c r="I3" s="201">
        <v>101.64</v>
      </c>
      <c r="J3" s="202">
        <v>101.64</v>
      </c>
      <c r="K3" s="203">
        <v>101.64</v>
      </c>
      <c r="L3" s="201">
        <v>101.64</v>
      </c>
      <c r="M3" s="201">
        <v>101.64</v>
      </c>
      <c r="N3" s="201">
        <v>101.64</v>
      </c>
      <c r="O3" s="201">
        <v>101.64</v>
      </c>
      <c r="P3" s="201">
        <v>101.64</v>
      </c>
      <c r="Q3" s="202">
        <v>101.64</v>
      </c>
      <c r="R3" s="203">
        <v>101.64</v>
      </c>
      <c r="S3" s="239">
        <v>101.64</v>
      </c>
      <c r="T3" s="201">
        <v>101.64</v>
      </c>
      <c r="U3" s="201">
        <v>101.64</v>
      </c>
      <c r="V3" s="201">
        <v>101.64</v>
      </c>
      <c r="W3" s="201">
        <v>101.64</v>
      </c>
      <c r="X3" s="202">
        <v>101.64</v>
      </c>
      <c r="Y3" s="203">
        <v>101.64</v>
      </c>
      <c r="Z3" s="201">
        <v>101.64</v>
      </c>
      <c r="AA3" s="201">
        <v>101.64</v>
      </c>
      <c r="AB3" s="201">
        <v>101.64</v>
      </c>
      <c r="AC3" s="201">
        <v>101.64</v>
      </c>
      <c r="AD3" s="201">
        <v>101.64</v>
      </c>
      <c r="AE3" s="202">
        <v>101.64</v>
      </c>
      <c r="AF3" s="203">
        <v>101.64</v>
      </c>
      <c r="AG3" s="201">
        <v>101.64</v>
      </c>
      <c r="AH3" s="201">
        <v>101.64</v>
      </c>
      <c r="AI3" s="201">
        <v>101.64</v>
      </c>
      <c r="AJ3" s="201">
        <v>101.64</v>
      </c>
      <c r="AK3" s="250"/>
      <c r="AL3" s="202">
        <v>101.64</v>
      </c>
      <c r="AM3" s="203">
        <v>101.64</v>
      </c>
      <c r="AN3" s="251"/>
      <c r="AO3" s="428"/>
      <c r="AP3" s="428"/>
      <c r="AQ3" s="108"/>
      <c r="AR3" s="108"/>
      <c r="AS3" s="108"/>
      <c r="AT3" s="108"/>
      <c r="AU3" s="428"/>
      <c r="AV3" s="121"/>
      <c r="AW3" s="121"/>
      <c r="AX3" s="428"/>
    </row>
    <row r="4" spans="1:52" hidden="1">
      <c r="A4" s="482" t="s">
        <v>13</v>
      </c>
      <c r="B4" s="497"/>
      <c r="C4" s="509"/>
      <c r="D4" s="465"/>
      <c r="E4" s="441"/>
      <c r="F4" s="451"/>
      <c r="G4" s="186"/>
      <c r="H4" s="187" t="s">
        <v>14</v>
      </c>
      <c r="I4" s="204">
        <v>1.5</v>
      </c>
      <c r="J4" s="205">
        <v>1.5</v>
      </c>
      <c r="K4" s="206">
        <v>1.5</v>
      </c>
      <c r="L4" s="204">
        <v>1.5</v>
      </c>
      <c r="M4" s="204">
        <v>1.5</v>
      </c>
      <c r="N4" s="204">
        <v>1.5</v>
      </c>
      <c r="O4" s="204">
        <v>1.5</v>
      </c>
      <c r="P4" s="204">
        <v>1.5</v>
      </c>
      <c r="Q4" s="205">
        <v>1.5</v>
      </c>
      <c r="R4" s="206">
        <v>1.5</v>
      </c>
      <c r="S4" s="240">
        <v>1.5</v>
      </c>
      <c r="T4" s="204">
        <v>1.5</v>
      </c>
      <c r="U4" s="204">
        <v>1.5</v>
      </c>
      <c r="V4" s="204">
        <v>1.5</v>
      </c>
      <c r="W4" s="204">
        <v>1.5</v>
      </c>
      <c r="X4" s="205">
        <v>1.5</v>
      </c>
      <c r="Y4" s="206">
        <v>1.5</v>
      </c>
      <c r="Z4" s="204">
        <v>1.5</v>
      </c>
      <c r="AA4" s="204">
        <v>1.5</v>
      </c>
      <c r="AB4" s="204">
        <v>1.5</v>
      </c>
      <c r="AC4" s="204">
        <v>1.5</v>
      </c>
      <c r="AD4" s="204">
        <v>1.5</v>
      </c>
      <c r="AE4" s="205">
        <v>1.5</v>
      </c>
      <c r="AF4" s="206">
        <v>1.5</v>
      </c>
      <c r="AG4" s="204">
        <v>1.5</v>
      </c>
      <c r="AH4" s="204">
        <v>1.5</v>
      </c>
      <c r="AI4" s="204">
        <v>1.5</v>
      </c>
      <c r="AJ4" s="204">
        <v>1.5</v>
      </c>
      <c r="AK4" s="252"/>
      <c r="AL4" s="205">
        <v>1.5</v>
      </c>
      <c r="AM4" s="206">
        <v>1.5</v>
      </c>
      <c r="AN4" s="253"/>
      <c r="AO4" s="428"/>
      <c r="AP4" s="428"/>
      <c r="AQ4" s="108"/>
      <c r="AR4" s="108"/>
      <c r="AS4" s="108"/>
      <c r="AT4" s="108"/>
      <c r="AU4" s="428"/>
      <c r="AV4" s="121"/>
      <c r="AW4" s="121"/>
      <c r="AX4" s="428"/>
    </row>
    <row r="5" spans="1:52" hidden="1">
      <c r="A5" s="482"/>
      <c r="B5" s="497"/>
      <c r="C5" s="509"/>
      <c r="D5" s="465"/>
      <c r="E5" s="441"/>
      <c r="F5" s="451"/>
      <c r="G5" s="134"/>
      <c r="H5" s="188" t="s">
        <v>15</v>
      </c>
      <c r="I5" s="197"/>
      <c r="J5" s="207"/>
      <c r="K5" s="208"/>
      <c r="L5" s="209"/>
      <c r="M5" s="209"/>
      <c r="N5" s="209"/>
      <c r="O5" s="209"/>
      <c r="P5" s="209"/>
      <c r="Q5" s="207"/>
      <c r="R5" s="208"/>
      <c r="S5" s="241"/>
      <c r="T5" s="209"/>
      <c r="U5" s="209"/>
      <c r="V5" s="209"/>
      <c r="W5" s="209"/>
      <c r="X5" s="207"/>
      <c r="Y5" s="208"/>
      <c r="Z5" s="209"/>
      <c r="AA5" s="209"/>
      <c r="AB5" s="209"/>
      <c r="AC5" s="209"/>
      <c r="AD5" s="209"/>
      <c r="AE5" s="207"/>
      <c r="AF5" s="208"/>
      <c r="AG5" s="209"/>
      <c r="AH5" s="209"/>
      <c r="AI5" s="209"/>
      <c r="AJ5" s="209"/>
      <c r="AK5" s="254"/>
      <c r="AL5" s="207"/>
      <c r="AM5" s="208"/>
      <c r="AN5" s="253"/>
      <c r="AO5" s="428"/>
      <c r="AP5" s="428"/>
      <c r="AQ5" s="108"/>
      <c r="AR5" s="108"/>
      <c r="AS5" s="108"/>
      <c r="AT5" s="108"/>
      <c r="AU5" s="428"/>
      <c r="AV5" s="121"/>
      <c r="AW5" s="121"/>
      <c r="AX5" s="428"/>
    </row>
    <row r="6" spans="1:52" hidden="1">
      <c r="A6" s="482"/>
      <c r="B6" s="497"/>
      <c r="C6" s="509"/>
      <c r="D6" s="465"/>
      <c r="E6" s="441"/>
      <c r="F6" s="451"/>
      <c r="G6" s="186" t="s">
        <v>16</v>
      </c>
      <c r="H6" s="189" t="s">
        <v>17</v>
      </c>
      <c r="I6" s="210">
        <v>101.64</v>
      </c>
      <c r="J6" s="207">
        <v>101.64</v>
      </c>
      <c r="K6" s="208">
        <v>101.64</v>
      </c>
      <c r="L6" s="210">
        <v>101.64</v>
      </c>
      <c r="M6" s="210">
        <v>101.64</v>
      </c>
      <c r="N6" s="210">
        <v>101.64</v>
      </c>
      <c r="O6" s="210">
        <v>101.64</v>
      </c>
      <c r="P6" s="210">
        <v>101.64</v>
      </c>
      <c r="Q6" s="207">
        <v>101.64</v>
      </c>
      <c r="R6" s="208">
        <v>101.64</v>
      </c>
      <c r="S6" s="241">
        <v>101.64</v>
      </c>
      <c r="T6" s="210">
        <v>101.64</v>
      </c>
      <c r="U6" s="210">
        <v>101.64</v>
      </c>
      <c r="V6" s="210">
        <v>101.64</v>
      </c>
      <c r="W6" s="210">
        <v>101.64</v>
      </c>
      <c r="X6" s="207">
        <v>101.64</v>
      </c>
      <c r="Y6" s="208">
        <v>101.64</v>
      </c>
      <c r="Z6" s="210">
        <v>101.64</v>
      </c>
      <c r="AA6" s="210">
        <v>101.64</v>
      </c>
      <c r="AB6" s="210">
        <v>101.64</v>
      </c>
      <c r="AC6" s="210">
        <v>101.64</v>
      </c>
      <c r="AD6" s="210">
        <v>101.64</v>
      </c>
      <c r="AE6" s="207">
        <v>101.64</v>
      </c>
      <c r="AF6" s="208">
        <v>101.64</v>
      </c>
      <c r="AG6" s="210">
        <v>101.64</v>
      </c>
      <c r="AH6" s="210">
        <v>101.64</v>
      </c>
      <c r="AI6" s="210">
        <v>101.64</v>
      </c>
      <c r="AJ6" s="210">
        <v>101.64</v>
      </c>
      <c r="AK6" s="254"/>
      <c r="AL6" s="207">
        <v>101.64</v>
      </c>
      <c r="AM6" s="208">
        <v>101.64</v>
      </c>
      <c r="AN6" s="253"/>
      <c r="AO6" s="428"/>
      <c r="AP6" s="428"/>
      <c r="AQ6" s="108"/>
      <c r="AR6" s="108"/>
      <c r="AS6" s="108"/>
      <c r="AT6" s="108"/>
      <c r="AU6" s="428"/>
      <c r="AV6" s="121"/>
      <c r="AW6" s="121"/>
      <c r="AX6" s="428"/>
    </row>
    <row r="7" spans="1:52" hidden="1">
      <c r="A7" s="482"/>
      <c r="B7" s="497"/>
      <c r="C7" s="509"/>
      <c r="D7" s="465"/>
      <c r="E7" s="441"/>
      <c r="F7" s="451"/>
      <c r="G7" s="186"/>
      <c r="H7" s="187" t="s">
        <v>14</v>
      </c>
      <c r="I7" s="210">
        <v>0.5</v>
      </c>
      <c r="J7" s="207">
        <v>0.5</v>
      </c>
      <c r="K7" s="208">
        <v>0.5</v>
      </c>
      <c r="L7" s="210">
        <v>0.5</v>
      </c>
      <c r="M7" s="210">
        <v>0.5</v>
      </c>
      <c r="N7" s="210">
        <v>0.5</v>
      </c>
      <c r="O7" s="210">
        <v>0.5</v>
      </c>
      <c r="P7" s="210">
        <v>0.5</v>
      </c>
      <c r="Q7" s="207">
        <v>0.5</v>
      </c>
      <c r="R7" s="208">
        <v>0.5</v>
      </c>
      <c r="S7" s="241">
        <v>0.5</v>
      </c>
      <c r="T7" s="210">
        <v>0.5</v>
      </c>
      <c r="U7" s="210">
        <v>0.5</v>
      </c>
      <c r="V7" s="210">
        <v>0.5</v>
      </c>
      <c r="W7" s="210">
        <v>0.5</v>
      </c>
      <c r="X7" s="207">
        <v>0.5</v>
      </c>
      <c r="Y7" s="208">
        <v>0.5</v>
      </c>
      <c r="Z7" s="210">
        <v>0.5</v>
      </c>
      <c r="AA7" s="210">
        <v>0.5</v>
      </c>
      <c r="AB7" s="210">
        <v>0.5</v>
      </c>
      <c r="AC7" s="210">
        <v>0.5</v>
      </c>
      <c r="AD7" s="210">
        <v>0.5</v>
      </c>
      <c r="AE7" s="207">
        <v>0.5</v>
      </c>
      <c r="AF7" s="208">
        <v>0.5</v>
      </c>
      <c r="AG7" s="210">
        <v>0.5</v>
      </c>
      <c r="AH7" s="210">
        <v>0.5</v>
      </c>
      <c r="AI7" s="210">
        <v>0.5</v>
      </c>
      <c r="AJ7" s="210">
        <v>0.5</v>
      </c>
      <c r="AK7" s="254"/>
      <c r="AL7" s="207">
        <v>0.5</v>
      </c>
      <c r="AM7" s="208">
        <v>0.5</v>
      </c>
      <c r="AN7" s="253"/>
      <c r="AO7" s="428"/>
      <c r="AP7" s="428"/>
      <c r="AQ7" s="108"/>
      <c r="AR7" s="108"/>
      <c r="AS7" s="108"/>
      <c r="AT7" s="108"/>
      <c r="AU7" s="428"/>
      <c r="AV7" s="121"/>
      <c r="AW7" s="121"/>
      <c r="AX7" s="428"/>
    </row>
    <row r="8" spans="1:52" hidden="1">
      <c r="A8" s="482"/>
      <c r="B8" s="497"/>
      <c r="C8" s="509"/>
      <c r="D8" s="465"/>
      <c r="E8" s="441"/>
      <c r="F8" s="451"/>
      <c r="G8" s="133"/>
      <c r="H8" s="188" t="s">
        <v>15</v>
      </c>
      <c r="I8" s="211"/>
      <c r="J8" s="207"/>
      <c r="K8" s="208"/>
      <c r="L8" s="209"/>
      <c r="M8" s="209"/>
      <c r="N8" s="209"/>
      <c r="O8" s="209"/>
      <c r="P8" s="209"/>
      <c r="Q8" s="207"/>
      <c r="R8" s="208"/>
      <c r="S8" s="241"/>
      <c r="T8" s="209"/>
      <c r="U8" s="209"/>
      <c r="V8" s="209"/>
      <c r="W8" s="209"/>
      <c r="X8" s="207"/>
      <c r="Y8" s="208"/>
      <c r="Z8" s="209"/>
      <c r="AA8" s="209"/>
      <c r="AB8" s="209"/>
      <c r="AC8" s="209"/>
      <c r="AD8" s="209"/>
      <c r="AE8" s="207"/>
      <c r="AF8" s="208"/>
      <c r="AG8" s="209"/>
      <c r="AH8" s="209"/>
      <c r="AI8" s="209"/>
      <c r="AJ8" s="209"/>
      <c r="AK8" s="254"/>
      <c r="AL8" s="207"/>
      <c r="AM8" s="208"/>
      <c r="AN8" s="253"/>
      <c r="AO8" s="428"/>
      <c r="AP8" s="428"/>
      <c r="AQ8" s="108"/>
      <c r="AR8" s="108"/>
      <c r="AS8" s="108"/>
      <c r="AT8" s="108"/>
      <c r="AU8" s="428"/>
      <c r="AV8" s="121"/>
      <c r="AW8" s="121"/>
      <c r="AX8" s="428"/>
    </row>
    <row r="9" spans="1:52" hidden="1">
      <c r="A9" s="482"/>
      <c r="B9" s="497"/>
      <c r="C9" s="509"/>
      <c r="D9" s="465"/>
      <c r="E9" s="441"/>
      <c r="F9" s="452"/>
      <c r="G9" s="186" t="s">
        <v>18</v>
      </c>
      <c r="H9" s="187" t="s">
        <v>19</v>
      </c>
      <c r="I9" s="212">
        <f>($M$27*$D$3/3)*4</f>
        <v>50880</v>
      </c>
      <c r="J9" s="213">
        <f>(($M$27*$D$3/3)*4)-(I11)</f>
        <v>66445</v>
      </c>
      <c r="K9" s="214">
        <f>(($M$27*$D$3/3)*4)-(J11)</f>
        <v>82344</v>
      </c>
      <c r="L9" s="212">
        <f>(($M$27*$D$3/3)*4)-(J11)</f>
        <v>82344</v>
      </c>
      <c r="M9" s="212">
        <f>(($M$27*$D$3/3)*4)-(K11)</f>
        <v>106341</v>
      </c>
      <c r="N9" s="212">
        <f>(($M$27*$D$3/3)*4)-(M11)</f>
        <v>126014</v>
      </c>
      <c r="O9" s="212">
        <f>(($M$27*$D$3/3)*4)-(N11)</f>
        <v>137684</v>
      </c>
      <c r="P9" s="212">
        <f>(($M$27*$D$3/3)*4)-(O11)</f>
        <v>157283</v>
      </c>
      <c r="Q9" s="213">
        <f>(($M$27*$D$3/3)*4)-(P11)</f>
        <v>176882</v>
      </c>
      <c r="R9" s="214">
        <f>(($M$27*$D$3/3)*4)-(Q11)</f>
        <v>192781</v>
      </c>
      <c r="S9" s="242">
        <f>($M$27*$D$3/3)*4</f>
        <v>50880</v>
      </c>
      <c r="T9" s="212">
        <f>($M$27*$D$3/3)*4</f>
        <v>50880</v>
      </c>
      <c r="U9" s="212">
        <f>($M$27*$D$3/3)*4</f>
        <v>50880</v>
      </c>
      <c r="V9" s="212">
        <f>($M$27*$D$3/3)*4</f>
        <v>50880</v>
      </c>
      <c r="W9" s="212">
        <f>($M$27*$D$3/3)*4</f>
        <v>50880</v>
      </c>
      <c r="X9" s="213">
        <f>(($M$27*$D$3/3)*4)-(W11)</f>
        <v>50880</v>
      </c>
      <c r="Y9" s="214">
        <f>(($M$27*$D$3/3)*4)-(X11)</f>
        <v>66779</v>
      </c>
      <c r="Z9" s="212">
        <f>($M$27*$D$3/3)*4</f>
        <v>50880</v>
      </c>
      <c r="AA9" s="212">
        <f>($M$27*$D$3/3)*4</f>
        <v>50880</v>
      </c>
      <c r="AB9" s="212">
        <f>($M$27*$D$3/3)*4</f>
        <v>50880</v>
      </c>
      <c r="AC9" s="212">
        <f>($M$27*$D$3/3)*4</f>
        <v>50880</v>
      </c>
      <c r="AD9" s="212">
        <f>($M$27*$D$3/3)*4</f>
        <v>50880</v>
      </c>
      <c r="AE9" s="213">
        <f>(($M$27*$D$3/3)*4)-(AD11)</f>
        <v>50880</v>
      </c>
      <c r="AF9" s="214">
        <f>(($M$27*$D$3/3)*4)-(AE11)</f>
        <v>66779</v>
      </c>
      <c r="AG9" s="212">
        <f>($M$27*$D$3/3)*4</f>
        <v>50880</v>
      </c>
      <c r="AH9" s="212">
        <f>($M$27*$D$3/3)*4</f>
        <v>50880</v>
      </c>
      <c r="AI9" s="212">
        <f>($M$27*$D$3/3)*4</f>
        <v>50880</v>
      </c>
      <c r="AJ9" s="212">
        <f>($M$27*$D$3/3)*4</f>
        <v>50880</v>
      </c>
      <c r="AK9" s="255"/>
      <c r="AL9" s="213">
        <f>(($M$27*$D$3/3)*4)-(AK11)</f>
        <v>50880</v>
      </c>
      <c r="AM9" s="214">
        <f>(($M$27*$D$3/3)*4)-(AL11)</f>
        <v>66779</v>
      </c>
      <c r="AN9" s="256">
        <f>SUM(I9:AM9)</f>
        <v>2244295</v>
      </c>
      <c r="AO9" s="428"/>
      <c r="AP9" s="428"/>
      <c r="AQ9" s="108"/>
      <c r="AR9" s="108"/>
      <c r="AS9" s="108"/>
      <c r="AT9" s="108"/>
      <c r="AU9" s="428"/>
      <c r="AV9" s="121"/>
      <c r="AW9" s="121"/>
      <c r="AX9" s="428"/>
    </row>
    <row r="10" spans="1:52" hidden="1">
      <c r="A10" s="482"/>
      <c r="B10" s="497"/>
      <c r="C10" s="509"/>
      <c r="D10" s="465"/>
      <c r="E10" s="441"/>
      <c r="F10" s="452"/>
      <c r="G10" s="190"/>
      <c r="H10" s="187" t="s">
        <v>20</v>
      </c>
      <c r="I10" s="212">
        <v>2</v>
      </c>
      <c r="J10" s="213">
        <v>2</v>
      </c>
      <c r="K10" s="214">
        <v>2</v>
      </c>
      <c r="L10" s="212">
        <v>3</v>
      </c>
      <c r="M10" s="212">
        <v>3</v>
      </c>
      <c r="N10" s="212">
        <v>3</v>
      </c>
      <c r="O10" s="212">
        <v>3</v>
      </c>
      <c r="P10" s="212">
        <v>3</v>
      </c>
      <c r="Q10" s="213">
        <v>2</v>
      </c>
      <c r="R10" s="214">
        <v>2</v>
      </c>
      <c r="S10" s="242">
        <v>3</v>
      </c>
      <c r="T10" s="212">
        <v>3</v>
      </c>
      <c r="U10" s="212">
        <v>3</v>
      </c>
      <c r="V10" s="212">
        <v>3</v>
      </c>
      <c r="W10" s="212">
        <v>3</v>
      </c>
      <c r="X10" s="213">
        <v>2</v>
      </c>
      <c r="Y10" s="214">
        <v>2</v>
      </c>
      <c r="Z10" s="212">
        <v>3</v>
      </c>
      <c r="AA10" s="212">
        <v>3</v>
      </c>
      <c r="AB10" s="212">
        <v>3</v>
      </c>
      <c r="AC10" s="212">
        <v>3</v>
      </c>
      <c r="AD10" s="212">
        <v>3</v>
      </c>
      <c r="AE10" s="213">
        <v>2</v>
      </c>
      <c r="AF10" s="214">
        <v>2</v>
      </c>
      <c r="AG10" s="212">
        <v>3</v>
      </c>
      <c r="AH10" s="212">
        <v>3</v>
      </c>
      <c r="AI10" s="212">
        <v>3</v>
      </c>
      <c r="AJ10" s="212">
        <v>3</v>
      </c>
      <c r="AK10" s="255"/>
      <c r="AL10" s="213">
        <v>2</v>
      </c>
      <c r="AM10" s="214">
        <v>2</v>
      </c>
      <c r="AN10" s="256"/>
      <c r="AO10" s="108"/>
      <c r="AP10" s="108"/>
      <c r="AQ10" s="108"/>
      <c r="AR10" s="108"/>
      <c r="AS10" s="108"/>
      <c r="AT10" s="108"/>
      <c r="AU10" s="428"/>
      <c r="AV10" s="121"/>
      <c r="AW10" s="121"/>
      <c r="AX10" s="428"/>
    </row>
    <row r="11" spans="1:52" hidden="1">
      <c r="A11" s="482"/>
      <c r="B11" s="497"/>
      <c r="C11" s="509"/>
      <c r="D11" s="465"/>
      <c r="E11" s="441"/>
      <c r="F11" s="452"/>
      <c r="G11" s="190"/>
      <c r="H11" s="187"/>
      <c r="I11" s="212">
        <f t="shared" ref="I11:L11" si="0">I12-I9</f>
        <v>-15565</v>
      </c>
      <c r="J11" s="213">
        <f t="shared" si="0"/>
        <v>-31464</v>
      </c>
      <c r="K11" s="214">
        <f t="shared" si="0"/>
        <v>-55461</v>
      </c>
      <c r="L11" s="212">
        <f t="shared" si="0"/>
        <v>-51137</v>
      </c>
      <c r="M11" s="212">
        <f t="shared" ref="M11:R11" si="1">M12-M9</f>
        <v>-75134</v>
      </c>
      <c r="N11" s="212">
        <f t="shared" si="1"/>
        <v>-86804</v>
      </c>
      <c r="O11" s="212">
        <f t="shared" si="1"/>
        <v>-106403</v>
      </c>
      <c r="P11" s="212">
        <f t="shared" si="1"/>
        <v>-126002</v>
      </c>
      <c r="Q11" s="213">
        <f t="shared" si="1"/>
        <v>-141901</v>
      </c>
      <c r="R11" s="214">
        <f t="shared" si="1"/>
        <v>-165898</v>
      </c>
      <c r="S11" s="242"/>
      <c r="T11" s="212"/>
      <c r="U11" s="212"/>
      <c r="V11" s="212"/>
      <c r="W11" s="212"/>
      <c r="X11" s="213">
        <f>X12-X9</f>
        <v>-15899</v>
      </c>
      <c r="Y11" s="214">
        <f>Y12-Y9</f>
        <v>-39896</v>
      </c>
      <c r="Z11" s="212"/>
      <c r="AA11" s="212"/>
      <c r="AB11" s="212"/>
      <c r="AC11" s="212"/>
      <c r="AD11" s="212"/>
      <c r="AE11" s="213">
        <f>AE12-AE9</f>
        <v>-15899</v>
      </c>
      <c r="AF11" s="214">
        <f>AF12-AF9</f>
        <v>-39896</v>
      </c>
      <c r="AG11" s="212"/>
      <c r="AH11" s="212"/>
      <c r="AI11" s="212"/>
      <c r="AJ11" s="212"/>
      <c r="AK11" s="255"/>
      <c r="AL11" s="213">
        <f>AL12-AL9</f>
        <v>-15899</v>
      </c>
      <c r="AM11" s="214">
        <f>AM12-AM9</f>
        <v>-39896</v>
      </c>
      <c r="AN11" s="256"/>
      <c r="AO11" s="108"/>
      <c r="AP11" s="108"/>
      <c r="AQ11" s="108"/>
      <c r="AR11" s="108"/>
      <c r="AS11" s="108"/>
      <c r="AT11" s="108"/>
      <c r="AU11" s="428"/>
      <c r="AV11" s="121"/>
      <c r="AW11" s="121"/>
      <c r="AX11" s="428"/>
    </row>
    <row r="12" spans="1:52" hidden="1">
      <c r="A12" s="482"/>
      <c r="B12" s="497"/>
      <c r="C12" s="509"/>
      <c r="D12" s="465"/>
      <c r="E12" s="441"/>
      <c r="F12" s="452"/>
      <c r="G12" s="134"/>
      <c r="H12" s="188" t="s">
        <v>15</v>
      </c>
      <c r="I12" s="215">
        <f>9674+6802+9575+9264</f>
        <v>35315</v>
      </c>
      <c r="J12" s="213">
        <f>8810+8935+9469+7767</f>
        <v>34981</v>
      </c>
      <c r="K12" s="214">
        <f>5480+5550+4121+6234+5498</f>
        <v>26883</v>
      </c>
      <c r="L12" s="215">
        <f>8984+6391+8970+6862</f>
        <v>31207</v>
      </c>
      <c r="M12" s="215">
        <f>8984+6391+8970+6862</f>
        <v>31207</v>
      </c>
      <c r="N12" s="215">
        <f>10854+9741+9346+9269</f>
        <v>39210</v>
      </c>
      <c r="O12" s="215">
        <f>8918+3748+9346+9269</f>
        <v>31281</v>
      </c>
      <c r="P12" s="215">
        <f>8918+3748+9346+9269</f>
        <v>31281</v>
      </c>
      <c r="Q12" s="213">
        <f>8810+8935+9469+7767</f>
        <v>34981</v>
      </c>
      <c r="R12" s="214">
        <f>5480+5550+4121+6234+5498</f>
        <v>26883</v>
      </c>
      <c r="S12" s="242">
        <f>8979+9437+8197+9515</f>
        <v>36128</v>
      </c>
      <c r="T12" s="215">
        <f>8979+9437+8197+9515</f>
        <v>36128</v>
      </c>
      <c r="U12" s="215">
        <v>34638</v>
      </c>
      <c r="V12" s="215">
        <v>34638</v>
      </c>
      <c r="W12" s="215">
        <f>9373+8709+8516+9500</f>
        <v>36098</v>
      </c>
      <c r="X12" s="213">
        <f>8810+8935+9469+7767</f>
        <v>34981</v>
      </c>
      <c r="Y12" s="214">
        <f>5480+5550+4121+6234+5498</f>
        <v>26883</v>
      </c>
      <c r="Z12" s="215"/>
      <c r="AA12" s="215"/>
      <c r="AB12" s="215"/>
      <c r="AC12" s="215"/>
      <c r="AD12" s="215"/>
      <c r="AE12" s="213">
        <f>8810+8935+9469+7767</f>
        <v>34981</v>
      </c>
      <c r="AF12" s="214">
        <f>5480+5550+4121+6234+5498</f>
        <v>26883</v>
      </c>
      <c r="AG12" s="215"/>
      <c r="AH12" s="215"/>
      <c r="AI12" s="215"/>
      <c r="AJ12" s="215"/>
      <c r="AK12" s="255"/>
      <c r="AL12" s="213">
        <f>8810+8935+9469+7767</f>
        <v>34981</v>
      </c>
      <c r="AM12" s="214">
        <f>5480+5550+4121+6234+5498</f>
        <v>26883</v>
      </c>
      <c r="AN12" s="253">
        <f>SUM(I12:AM12)</f>
        <v>686451</v>
      </c>
      <c r="AO12" s="108"/>
      <c r="AP12" s="108"/>
      <c r="AQ12" s="108"/>
      <c r="AR12" s="108"/>
      <c r="AS12" s="108"/>
      <c r="AT12" s="108"/>
      <c r="AU12" s="428"/>
      <c r="AV12" s="121"/>
      <c r="AW12" s="121"/>
      <c r="AX12" s="428"/>
    </row>
    <row r="13" spans="1:52" hidden="1">
      <c r="A13" s="482"/>
      <c r="B13" s="497"/>
      <c r="C13" s="509"/>
      <c r="D13" s="465"/>
      <c r="E13" s="441"/>
      <c r="F13" s="452"/>
      <c r="G13" s="190" t="s">
        <v>21</v>
      </c>
      <c r="H13" s="187" t="s">
        <v>22</v>
      </c>
      <c r="I13" s="212">
        <f t="shared" ref="I13:AJ13" si="2">$M$27*$D$3/3</f>
        <v>12720</v>
      </c>
      <c r="J13" s="213">
        <f t="shared" si="2"/>
        <v>12720</v>
      </c>
      <c r="K13" s="214">
        <f t="shared" si="2"/>
        <v>12720</v>
      </c>
      <c r="L13" s="212">
        <f t="shared" si="2"/>
        <v>12720</v>
      </c>
      <c r="M13" s="212">
        <f t="shared" si="2"/>
        <v>12720</v>
      </c>
      <c r="N13" s="212">
        <f t="shared" si="2"/>
        <v>12720</v>
      </c>
      <c r="O13" s="212">
        <f t="shared" si="2"/>
        <v>12720</v>
      </c>
      <c r="P13" s="212">
        <f t="shared" si="2"/>
        <v>12720</v>
      </c>
      <c r="Q13" s="213">
        <f t="shared" si="2"/>
        <v>12720</v>
      </c>
      <c r="R13" s="214">
        <f t="shared" si="2"/>
        <v>12720</v>
      </c>
      <c r="S13" s="242">
        <f t="shared" si="2"/>
        <v>12720</v>
      </c>
      <c r="T13" s="212">
        <f t="shared" si="2"/>
        <v>12720</v>
      </c>
      <c r="U13" s="212">
        <f t="shared" si="2"/>
        <v>12720</v>
      </c>
      <c r="V13" s="212">
        <f t="shared" si="2"/>
        <v>12720</v>
      </c>
      <c r="W13" s="212">
        <f t="shared" si="2"/>
        <v>12720</v>
      </c>
      <c r="X13" s="213">
        <f t="shared" si="2"/>
        <v>12720</v>
      </c>
      <c r="Y13" s="214">
        <f t="shared" si="2"/>
        <v>12720</v>
      </c>
      <c r="Z13" s="212">
        <f t="shared" si="2"/>
        <v>12720</v>
      </c>
      <c r="AA13" s="212">
        <f t="shared" si="2"/>
        <v>12720</v>
      </c>
      <c r="AB13" s="212">
        <f t="shared" si="2"/>
        <v>12720</v>
      </c>
      <c r="AC13" s="212">
        <f t="shared" si="2"/>
        <v>12720</v>
      </c>
      <c r="AD13" s="212">
        <f t="shared" si="2"/>
        <v>12720</v>
      </c>
      <c r="AE13" s="213">
        <f t="shared" si="2"/>
        <v>12720</v>
      </c>
      <c r="AF13" s="214">
        <f t="shared" si="2"/>
        <v>12720</v>
      </c>
      <c r="AG13" s="212">
        <f t="shared" si="2"/>
        <v>12720</v>
      </c>
      <c r="AH13" s="212">
        <f t="shared" si="2"/>
        <v>12720</v>
      </c>
      <c r="AI13" s="212">
        <f t="shared" si="2"/>
        <v>12720</v>
      </c>
      <c r="AJ13" s="212">
        <f t="shared" si="2"/>
        <v>12720</v>
      </c>
      <c r="AK13" s="255"/>
      <c r="AL13" s="213">
        <f>$M$27*$D$3/3</f>
        <v>12720</v>
      </c>
      <c r="AM13" s="214">
        <f>$M$27*$D$3/3</f>
        <v>12720</v>
      </c>
      <c r="AN13" s="256">
        <f>SUM(I13:AM13)</f>
        <v>381600</v>
      </c>
      <c r="AO13" s="108"/>
      <c r="AP13" s="108"/>
      <c r="AQ13" s="108"/>
      <c r="AR13" s="108"/>
      <c r="AS13" s="108"/>
      <c r="AT13" s="108"/>
      <c r="AU13" s="428"/>
      <c r="AV13" s="121"/>
      <c r="AW13" s="121"/>
      <c r="AX13" s="428"/>
    </row>
    <row r="14" spans="1:52" hidden="1">
      <c r="A14" s="482"/>
      <c r="B14" s="497"/>
      <c r="C14" s="509"/>
      <c r="D14" s="465"/>
      <c r="E14" s="441"/>
      <c r="F14" s="452"/>
      <c r="G14" s="190"/>
      <c r="H14" s="187" t="s">
        <v>20</v>
      </c>
      <c r="I14" s="212">
        <v>2</v>
      </c>
      <c r="J14" s="213">
        <v>2</v>
      </c>
      <c r="K14" s="214">
        <v>2</v>
      </c>
      <c r="L14" s="212">
        <v>2</v>
      </c>
      <c r="M14" s="212">
        <v>2</v>
      </c>
      <c r="N14" s="212">
        <v>2</v>
      </c>
      <c r="O14" s="212">
        <v>2</v>
      </c>
      <c r="P14" s="212">
        <v>2</v>
      </c>
      <c r="Q14" s="213">
        <v>2</v>
      </c>
      <c r="R14" s="214">
        <v>2</v>
      </c>
      <c r="S14" s="242">
        <v>2</v>
      </c>
      <c r="T14" s="212">
        <v>2</v>
      </c>
      <c r="U14" s="212">
        <v>2</v>
      </c>
      <c r="V14" s="212">
        <v>2</v>
      </c>
      <c r="W14" s="212">
        <v>2</v>
      </c>
      <c r="X14" s="213">
        <v>2</v>
      </c>
      <c r="Y14" s="214">
        <v>2</v>
      </c>
      <c r="Z14" s="212">
        <v>2</v>
      </c>
      <c r="AA14" s="212">
        <v>2</v>
      </c>
      <c r="AB14" s="212">
        <v>2</v>
      </c>
      <c r="AC14" s="212">
        <v>2</v>
      </c>
      <c r="AD14" s="212">
        <v>2</v>
      </c>
      <c r="AE14" s="213">
        <v>2</v>
      </c>
      <c r="AF14" s="214">
        <v>2</v>
      </c>
      <c r="AG14" s="212">
        <v>2</v>
      </c>
      <c r="AH14" s="212">
        <v>2</v>
      </c>
      <c r="AI14" s="212">
        <v>2</v>
      </c>
      <c r="AJ14" s="212">
        <v>2</v>
      </c>
      <c r="AK14" s="255"/>
      <c r="AL14" s="213">
        <v>2</v>
      </c>
      <c r="AM14" s="214">
        <v>2</v>
      </c>
      <c r="AN14" s="256"/>
      <c r="AO14" s="108"/>
      <c r="AP14" s="108"/>
      <c r="AQ14" s="108"/>
      <c r="AR14" s="108"/>
      <c r="AS14" s="108"/>
      <c r="AT14" s="108"/>
      <c r="AU14" s="428"/>
      <c r="AV14" s="121"/>
      <c r="AW14" s="121"/>
      <c r="AX14" s="428"/>
    </row>
    <row r="15" spans="1:52" hidden="1">
      <c r="A15" s="482"/>
      <c r="B15" s="497"/>
      <c r="C15" s="509"/>
      <c r="D15" s="465"/>
      <c r="E15" s="441"/>
      <c r="F15" s="452"/>
      <c r="G15" s="134"/>
      <c r="H15" s="188" t="s">
        <v>15</v>
      </c>
      <c r="I15" s="216">
        <f>5951+6056</f>
        <v>12007</v>
      </c>
      <c r="J15" s="213">
        <f>6333+6085</f>
        <v>12418</v>
      </c>
      <c r="K15" s="214">
        <f>3759+3971+3269</f>
        <v>10999</v>
      </c>
      <c r="L15" s="215">
        <f>6601+5996</f>
        <v>12597</v>
      </c>
      <c r="M15" s="215">
        <f>6601+5996</f>
        <v>12597</v>
      </c>
      <c r="N15" s="215">
        <f>6742+6181</f>
        <v>12923</v>
      </c>
      <c r="O15" s="215">
        <f>6185+3951</f>
        <v>10136</v>
      </c>
      <c r="P15" s="215">
        <f>6185+3951</f>
        <v>10136</v>
      </c>
      <c r="Q15" s="213">
        <f>6333+6085</f>
        <v>12418</v>
      </c>
      <c r="R15" s="214">
        <f>3759+3971+3269</f>
        <v>10999</v>
      </c>
      <c r="S15" s="242">
        <f>4845+6409</f>
        <v>11254</v>
      </c>
      <c r="T15" s="215">
        <f>4845+6409</f>
        <v>11254</v>
      </c>
      <c r="U15" s="215">
        <f>6654+6302</f>
        <v>12956</v>
      </c>
      <c r="V15" s="215">
        <f>6654+6302</f>
        <v>12956</v>
      </c>
      <c r="W15" s="215">
        <f>6311+6521</f>
        <v>12832</v>
      </c>
      <c r="X15" s="213">
        <f>6333+6085</f>
        <v>12418</v>
      </c>
      <c r="Y15" s="214">
        <f>3759+3971+3269</f>
        <v>10999</v>
      </c>
      <c r="Z15" s="215"/>
      <c r="AA15" s="215"/>
      <c r="AB15" s="215"/>
      <c r="AC15" s="215"/>
      <c r="AD15" s="215"/>
      <c r="AE15" s="213">
        <f>6333+6085</f>
        <v>12418</v>
      </c>
      <c r="AF15" s="214">
        <f>3759+3971+3269</f>
        <v>10999</v>
      </c>
      <c r="AG15" s="215"/>
      <c r="AH15" s="215"/>
      <c r="AI15" s="215"/>
      <c r="AJ15" s="215"/>
      <c r="AK15" s="255"/>
      <c r="AL15" s="213">
        <f>6333+6085</f>
        <v>12418</v>
      </c>
      <c r="AM15" s="214">
        <f>3759+3971+3269</f>
        <v>10999</v>
      </c>
      <c r="AN15" s="253">
        <f>SUM(I15:AM15)</f>
        <v>248733</v>
      </c>
      <c r="AO15" s="108"/>
      <c r="AP15" s="108"/>
      <c r="AQ15" s="108"/>
      <c r="AR15" s="108"/>
      <c r="AS15" s="108"/>
      <c r="AT15" s="108"/>
      <c r="AU15" s="428"/>
      <c r="AV15" s="121"/>
      <c r="AW15" s="121"/>
      <c r="AX15" s="428"/>
    </row>
    <row r="16" spans="1:52" hidden="1">
      <c r="A16" s="482"/>
      <c r="B16" s="497"/>
      <c r="C16" s="509"/>
      <c r="D16" s="465"/>
      <c r="E16" s="441"/>
      <c r="F16" s="452"/>
      <c r="G16" s="190" t="s">
        <v>23</v>
      </c>
      <c r="H16" s="187" t="s">
        <v>24</v>
      </c>
      <c r="I16" s="212">
        <f t="shared" ref="I16:AJ16" si="3">($M$27*$D$3/3)*2</f>
        <v>25440</v>
      </c>
      <c r="J16" s="213">
        <f t="shared" si="3"/>
        <v>25440</v>
      </c>
      <c r="K16" s="214">
        <f t="shared" si="3"/>
        <v>25440</v>
      </c>
      <c r="L16" s="212">
        <f t="shared" si="3"/>
        <v>25440</v>
      </c>
      <c r="M16" s="212">
        <f t="shared" si="3"/>
        <v>25440</v>
      </c>
      <c r="N16" s="212">
        <f t="shared" si="3"/>
        <v>25440</v>
      </c>
      <c r="O16" s="212">
        <f t="shared" si="3"/>
        <v>25440</v>
      </c>
      <c r="P16" s="212">
        <f t="shared" si="3"/>
        <v>25440</v>
      </c>
      <c r="Q16" s="213">
        <f t="shared" si="3"/>
        <v>25440</v>
      </c>
      <c r="R16" s="214">
        <f t="shared" si="3"/>
        <v>25440</v>
      </c>
      <c r="S16" s="242">
        <f t="shared" si="3"/>
        <v>25440</v>
      </c>
      <c r="T16" s="212">
        <f t="shared" si="3"/>
        <v>25440</v>
      </c>
      <c r="U16" s="212">
        <f t="shared" si="3"/>
        <v>25440</v>
      </c>
      <c r="V16" s="212">
        <f t="shared" si="3"/>
        <v>25440</v>
      </c>
      <c r="W16" s="212">
        <f t="shared" si="3"/>
        <v>25440</v>
      </c>
      <c r="X16" s="213">
        <f t="shared" si="3"/>
        <v>25440</v>
      </c>
      <c r="Y16" s="214">
        <f t="shared" si="3"/>
        <v>25440</v>
      </c>
      <c r="Z16" s="212">
        <f t="shared" si="3"/>
        <v>25440</v>
      </c>
      <c r="AA16" s="212">
        <f t="shared" si="3"/>
        <v>25440</v>
      </c>
      <c r="AB16" s="212">
        <f t="shared" si="3"/>
        <v>25440</v>
      </c>
      <c r="AC16" s="212">
        <f t="shared" si="3"/>
        <v>25440</v>
      </c>
      <c r="AD16" s="212">
        <f t="shared" si="3"/>
        <v>25440</v>
      </c>
      <c r="AE16" s="213">
        <f t="shared" si="3"/>
        <v>25440</v>
      </c>
      <c r="AF16" s="214">
        <f t="shared" si="3"/>
        <v>25440</v>
      </c>
      <c r="AG16" s="212">
        <f t="shared" si="3"/>
        <v>25440</v>
      </c>
      <c r="AH16" s="212">
        <f t="shared" si="3"/>
        <v>25440</v>
      </c>
      <c r="AI16" s="212">
        <f t="shared" si="3"/>
        <v>25440</v>
      </c>
      <c r="AJ16" s="212">
        <f t="shared" si="3"/>
        <v>25440</v>
      </c>
      <c r="AK16" s="255"/>
      <c r="AL16" s="213">
        <f>($M$27*$D$3/3)*2</f>
        <v>25440</v>
      </c>
      <c r="AM16" s="214">
        <f>($M$27*$D$3/3)*2</f>
        <v>25440</v>
      </c>
      <c r="AN16" s="256">
        <f>SUM(I16:AM16)</f>
        <v>763200</v>
      </c>
      <c r="AO16" s="112"/>
      <c r="AP16" s="122"/>
      <c r="AQ16" s="122"/>
      <c r="AR16" s="121"/>
      <c r="AS16" s="108"/>
      <c r="AT16" s="108"/>
      <c r="AU16" s="428"/>
      <c r="AV16" s="121"/>
      <c r="AW16" s="121"/>
      <c r="AX16" s="428"/>
    </row>
    <row r="17" spans="1:50" hidden="1">
      <c r="A17" s="482"/>
      <c r="B17" s="497"/>
      <c r="C17" s="509"/>
      <c r="D17" s="465"/>
      <c r="E17" s="441"/>
      <c r="F17" s="452"/>
      <c r="G17" s="134"/>
      <c r="H17" s="188" t="s">
        <v>15</v>
      </c>
      <c r="I17" s="134"/>
      <c r="J17" s="213">
        <v>39168</v>
      </c>
      <c r="K17" s="217"/>
      <c r="L17" s="215">
        <f>4675+35202</f>
        <v>39877</v>
      </c>
      <c r="M17" s="215">
        <f>4675+35202</f>
        <v>39877</v>
      </c>
      <c r="N17" s="197"/>
      <c r="O17" s="215"/>
      <c r="P17" s="215"/>
      <c r="Q17" s="213">
        <v>39168</v>
      </c>
      <c r="R17" s="217"/>
      <c r="S17" s="242">
        <f>59551</f>
        <v>59551</v>
      </c>
      <c r="T17" s="215">
        <f>59551</f>
        <v>59551</v>
      </c>
      <c r="U17" s="134"/>
      <c r="V17" s="134"/>
      <c r="W17" s="215"/>
      <c r="X17" s="213">
        <v>39168</v>
      </c>
      <c r="Y17" s="217"/>
      <c r="Z17" s="215"/>
      <c r="AA17" s="134"/>
      <c r="AB17" s="215"/>
      <c r="AC17" s="134"/>
      <c r="AD17" s="215"/>
      <c r="AE17" s="213">
        <v>39168</v>
      </c>
      <c r="AF17" s="217"/>
      <c r="AG17" s="215"/>
      <c r="AH17" s="215"/>
      <c r="AI17" s="215"/>
      <c r="AJ17" s="134"/>
      <c r="AK17" s="257"/>
      <c r="AL17" s="213">
        <v>39168</v>
      </c>
      <c r="AM17" s="217"/>
      <c r="AN17" s="253">
        <f>SUM(I17:AM17)</f>
        <v>394696</v>
      </c>
      <c r="AO17" s="112"/>
      <c r="AP17" s="122"/>
      <c r="AQ17" s="122"/>
      <c r="AR17" s="121"/>
      <c r="AS17" s="108"/>
      <c r="AT17" s="108"/>
      <c r="AU17" s="428"/>
      <c r="AV17" s="121"/>
      <c r="AW17" s="121"/>
      <c r="AX17" s="428"/>
    </row>
    <row r="18" spans="1:50" hidden="1">
      <c r="A18" s="482"/>
      <c r="B18" s="497"/>
      <c r="C18" s="509"/>
      <c r="D18" s="465"/>
      <c r="E18" s="441"/>
      <c r="F18" s="452"/>
      <c r="G18" s="190" t="s">
        <v>25</v>
      </c>
      <c r="H18" s="187" t="s">
        <v>26</v>
      </c>
      <c r="I18" s="212">
        <f t="shared" ref="I18:AJ18" si="4">($M$27*$D$3/3)*2</f>
        <v>25440</v>
      </c>
      <c r="J18" s="213">
        <f t="shared" si="4"/>
        <v>25440</v>
      </c>
      <c r="K18" s="214">
        <f t="shared" si="4"/>
        <v>25440</v>
      </c>
      <c r="L18" s="212">
        <f t="shared" si="4"/>
        <v>25440</v>
      </c>
      <c r="M18" s="212">
        <f t="shared" si="4"/>
        <v>25440</v>
      </c>
      <c r="N18" s="212">
        <f t="shared" si="4"/>
        <v>25440</v>
      </c>
      <c r="O18" s="212">
        <f t="shared" si="4"/>
        <v>25440</v>
      </c>
      <c r="P18" s="212">
        <f t="shared" si="4"/>
        <v>25440</v>
      </c>
      <c r="Q18" s="213">
        <f t="shared" si="4"/>
        <v>25440</v>
      </c>
      <c r="R18" s="214">
        <f t="shared" si="4"/>
        <v>25440</v>
      </c>
      <c r="S18" s="242">
        <f t="shared" si="4"/>
        <v>25440</v>
      </c>
      <c r="T18" s="212">
        <f t="shared" si="4"/>
        <v>25440</v>
      </c>
      <c r="U18" s="212">
        <f t="shared" si="4"/>
        <v>25440</v>
      </c>
      <c r="V18" s="212">
        <f t="shared" si="4"/>
        <v>25440</v>
      </c>
      <c r="W18" s="212">
        <f t="shared" si="4"/>
        <v>25440</v>
      </c>
      <c r="X18" s="213">
        <f t="shared" si="4"/>
        <v>25440</v>
      </c>
      <c r="Y18" s="214">
        <f t="shared" si="4"/>
        <v>25440</v>
      </c>
      <c r="Z18" s="212">
        <f t="shared" si="4"/>
        <v>25440</v>
      </c>
      <c r="AA18" s="212">
        <f t="shared" si="4"/>
        <v>25440</v>
      </c>
      <c r="AB18" s="212">
        <f t="shared" si="4"/>
        <v>25440</v>
      </c>
      <c r="AC18" s="212">
        <f t="shared" si="4"/>
        <v>25440</v>
      </c>
      <c r="AD18" s="212">
        <f t="shared" si="4"/>
        <v>25440</v>
      </c>
      <c r="AE18" s="213">
        <f t="shared" si="4"/>
        <v>25440</v>
      </c>
      <c r="AF18" s="214">
        <f t="shared" si="4"/>
        <v>25440</v>
      </c>
      <c r="AG18" s="212">
        <f t="shared" si="4"/>
        <v>25440</v>
      </c>
      <c r="AH18" s="212">
        <f t="shared" si="4"/>
        <v>25440</v>
      </c>
      <c r="AI18" s="212">
        <f t="shared" si="4"/>
        <v>25440</v>
      </c>
      <c r="AJ18" s="212">
        <f t="shared" si="4"/>
        <v>25440</v>
      </c>
      <c r="AK18" s="255"/>
      <c r="AL18" s="213">
        <f>($M$27*$D$3/3)*2</f>
        <v>25440</v>
      </c>
      <c r="AM18" s="214">
        <f>($M$27*$D$3/3)*2</f>
        <v>25440</v>
      </c>
      <c r="AN18" s="256">
        <f>SUM(I18:AM18)</f>
        <v>763200</v>
      </c>
      <c r="AO18" s="112"/>
      <c r="AP18" s="122"/>
      <c r="AQ18" s="122"/>
      <c r="AR18" s="121"/>
      <c r="AS18" s="108"/>
      <c r="AT18" s="108"/>
      <c r="AU18" s="428"/>
      <c r="AV18" s="121"/>
      <c r="AW18" s="121"/>
      <c r="AX18" s="428"/>
    </row>
    <row r="19" spans="1:50" hidden="1">
      <c r="A19" s="482"/>
      <c r="B19" s="497"/>
      <c r="C19" s="509"/>
      <c r="D19" s="465"/>
      <c r="E19" s="441"/>
      <c r="F19" s="452"/>
      <c r="G19" s="190"/>
      <c r="H19" s="187" t="s">
        <v>27</v>
      </c>
      <c r="I19" s="212">
        <v>1</v>
      </c>
      <c r="J19" s="213">
        <v>1</v>
      </c>
      <c r="K19" s="214">
        <v>1</v>
      </c>
      <c r="L19" s="212">
        <v>1</v>
      </c>
      <c r="M19" s="212">
        <v>1</v>
      </c>
      <c r="N19" s="212">
        <v>1</v>
      </c>
      <c r="O19" s="212">
        <v>1</v>
      </c>
      <c r="P19" s="212">
        <v>1</v>
      </c>
      <c r="Q19" s="213">
        <v>1</v>
      </c>
      <c r="R19" s="214">
        <v>1</v>
      </c>
      <c r="S19" s="242">
        <v>1</v>
      </c>
      <c r="T19" s="212">
        <v>1</v>
      </c>
      <c r="U19" s="212">
        <v>1</v>
      </c>
      <c r="V19" s="212">
        <v>1</v>
      </c>
      <c r="W19" s="212">
        <v>1</v>
      </c>
      <c r="X19" s="213">
        <v>1</v>
      </c>
      <c r="Y19" s="214">
        <v>1</v>
      </c>
      <c r="Z19" s="212">
        <v>1</v>
      </c>
      <c r="AA19" s="212">
        <v>1</v>
      </c>
      <c r="AB19" s="212">
        <v>1</v>
      </c>
      <c r="AC19" s="212">
        <v>1</v>
      </c>
      <c r="AD19" s="212">
        <v>1</v>
      </c>
      <c r="AE19" s="213">
        <v>1</v>
      </c>
      <c r="AF19" s="214">
        <v>1</v>
      </c>
      <c r="AG19" s="212">
        <v>1</v>
      </c>
      <c r="AH19" s="212">
        <v>1</v>
      </c>
      <c r="AI19" s="212">
        <v>1</v>
      </c>
      <c r="AJ19" s="212">
        <v>1</v>
      </c>
      <c r="AK19" s="255"/>
      <c r="AL19" s="213">
        <v>1</v>
      </c>
      <c r="AM19" s="214">
        <v>1</v>
      </c>
      <c r="AN19" s="256"/>
      <c r="AO19" s="112"/>
      <c r="AP19" s="122"/>
      <c r="AQ19" s="122"/>
      <c r="AR19" s="121"/>
      <c r="AS19" s="108"/>
      <c r="AT19" s="108"/>
      <c r="AU19" s="428"/>
      <c r="AV19" s="121"/>
      <c r="AW19" s="121"/>
      <c r="AX19" s="428"/>
    </row>
    <row r="20" spans="1:50" hidden="1">
      <c r="A20" s="482"/>
      <c r="B20" s="497"/>
      <c r="C20" s="509"/>
      <c r="D20" s="465"/>
      <c r="E20" s="441"/>
      <c r="F20" s="452"/>
      <c r="G20" s="134"/>
      <c r="H20" s="188" t="s">
        <v>15</v>
      </c>
      <c r="I20" s="134"/>
      <c r="J20" s="213"/>
      <c r="K20" s="217"/>
      <c r="L20" s="215">
        <f>73834</f>
        <v>73834</v>
      </c>
      <c r="M20" s="215">
        <f>73834</f>
        <v>73834</v>
      </c>
      <c r="N20" s="134"/>
      <c r="O20" s="215"/>
      <c r="P20" s="215"/>
      <c r="Q20" s="213"/>
      <c r="R20" s="217"/>
      <c r="S20" s="242"/>
      <c r="T20" s="215"/>
      <c r="U20" s="134"/>
      <c r="V20" s="134"/>
      <c r="W20" s="215">
        <f>24221+30054</f>
        <v>54275</v>
      </c>
      <c r="X20" s="213"/>
      <c r="Y20" s="217"/>
      <c r="Z20" s="215"/>
      <c r="AA20" s="134"/>
      <c r="AB20" s="215"/>
      <c r="AC20" s="134"/>
      <c r="AD20" s="215"/>
      <c r="AE20" s="213"/>
      <c r="AF20" s="217"/>
      <c r="AG20" s="215"/>
      <c r="AH20" s="134"/>
      <c r="AI20" s="215"/>
      <c r="AJ20" s="134"/>
      <c r="AK20" s="257"/>
      <c r="AL20" s="213"/>
      <c r="AM20" s="217"/>
      <c r="AN20" s="253">
        <f>SUM(I20:AM20)</f>
        <v>201943</v>
      </c>
      <c r="AO20" s="112"/>
      <c r="AP20" s="122"/>
      <c r="AQ20" s="122"/>
      <c r="AR20" s="121"/>
      <c r="AS20" s="108"/>
      <c r="AT20" s="108"/>
      <c r="AU20" s="428"/>
      <c r="AV20" s="121"/>
      <c r="AW20" s="121"/>
      <c r="AX20" s="428"/>
    </row>
    <row r="21" spans="1:50" hidden="1">
      <c r="A21" s="482"/>
      <c r="B21" s="497"/>
      <c r="C21" s="509"/>
      <c r="D21" s="465"/>
      <c r="E21" s="441"/>
      <c r="F21" s="452"/>
      <c r="G21" s="190" t="s">
        <v>28</v>
      </c>
      <c r="H21" s="187" t="s">
        <v>29</v>
      </c>
      <c r="I21" s="212">
        <f t="shared" ref="I21:AJ21" si="5">$M$27*$D$3/3</f>
        <v>12720</v>
      </c>
      <c r="J21" s="213">
        <f t="shared" si="5"/>
        <v>12720</v>
      </c>
      <c r="K21" s="214">
        <f t="shared" si="5"/>
        <v>12720</v>
      </c>
      <c r="L21" s="212">
        <f t="shared" si="5"/>
        <v>12720</v>
      </c>
      <c r="M21" s="212">
        <f t="shared" si="5"/>
        <v>12720</v>
      </c>
      <c r="N21" s="212">
        <f t="shared" si="5"/>
        <v>12720</v>
      </c>
      <c r="O21" s="212">
        <f t="shared" si="5"/>
        <v>12720</v>
      </c>
      <c r="P21" s="212">
        <f t="shared" si="5"/>
        <v>12720</v>
      </c>
      <c r="Q21" s="213">
        <f t="shared" si="5"/>
        <v>12720</v>
      </c>
      <c r="R21" s="214">
        <f t="shared" si="5"/>
        <v>12720</v>
      </c>
      <c r="S21" s="242">
        <f t="shared" si="5"/>
        <v>12720</v>
      </c>
      <c r="T21" s="212">
        <f t="shared" si="5"/>
        <v>12720</v>
      </c>
      <c r="U21" s="212">
        <f t="shared" si="5"/>
        <v>12720</v>
      </c>
      <c r="V21" s="212">
        <f t="shared" si="5"/>
        <v>12720</v>
      </c>
      <c r="W21" s="212">
        <f t="shared" si="5"/>
        <v>12720</v>
      </c>
      <c r="X21" s="213">
        <f t="shared" si="5"/>
        <v>12720</v>
      </c>
      <c r="Y21" s="214">
        <f t="shared" si="5"/>
        <v>12720</v>
      </c>
      <c r="Z21" s="212">
        <f t="shared" si="5"/>
        <v>12720</v>
      </c>
      <c r="AA21" s="212">
        <f t="shared" si="5"/>
        <v>12720</v>
      </c>
      <c r="AB21" s="212">
        <f t="shared" si="5"/>
        <v>12720</v>
      </c>
      <c r="AC21" s="212">
        <f t="shared" si="5"/>
        <v>12720</v>
      </c>
      <c r="AD21" s="212">
        <f t="shared" si="5"/>
        <v>12720</v>
      </c>
      <c r="AE21" s="213">
        <f t="shared" si="5"/>
        <v>12720</v>
      </c>
      <c r="AF21" s="214">
        <f t="shared" si="5"/>
        <v>12720</v>
      </c>
      <c r="AG21" s="212">
        <f t="shared" si="5"/>
        <v>12720</v>
      </c>
      <c r="AH21" s="212">
        <f t="shared" si="5"/>
        <v>12720</v>
      </c>
      <c r="AI21" s="212">
        <f t="shared" si="5"/>
        <v>12720</v>
      </c>
      <c r="AJ21" s="212">
        <f t="shared" si="5"/>
        <v>12720</v>
      </c>
      <c r="AK21" s="255"/>
      <c r="AL21" s="213">
        <f>$M$27*$D$3/3</f>
        <v>12720</v>
      </c>
      <c r="AM21" s="214">
        <f>$M$27*$D$3/3</f>
        <v>12720</v>
      </c>
      <c r="AN21" s="256">
        <f>SUM(I21:AM21)</f>
        <v>381600</v>
      </c>
      <c r="AO21" s="112"/>
      <c r="AP21" s="122"/>
      <c r="AQ21" s="122"/>
      <c r="AR21" s="121"/>
      <c r="AS21" s="108"/>
      <c r="AT21" s="108"/>
      <c r="AU21" s="428"/>
      <c r="AV21" s="121"/>
      <c r="AW21" s="121"/>
      <c r="AX21" s="428"/>
    </row>
    <row r="22" spans="1:50" hidden="1">
      <c r="A22" s="482"/>
      <c r="B22" s="497"/>
      <c r="C22" s="509"/>
      <c r="D22" s="465"/>
      <c r="E22" s="441"/>
      <c r="F22" s="452"/>
      <c r="G22" s="190"/>
      <c r="H22" s="187" t="s">
        <v>27</v>
      </c>
      <c r="I22" s="212">
        <v>1</v>
      </c>
      <c r="J22" s="213">
        <v>1</v>
      </c>
      <c r="K22" s="214">
        <v>1</v>
      </c>
      <c r="L22" s="212">
        <v>1</v>
      </c>
      <c r="M22" s="212">
        <v>1</v>
      </c>
      <c r="N22" s="212">
        <v>1</v>
      </c>
      <c r="O22" s="212">
        <v>1</v>
      </c>
      <c r="P22" s="212">
        <v>1</v>
      </c>
      <c r="Q22" s="213">
        <v>1</v>
      </c>
      <c r="R22" s="214">
        <v>1</v>
      </c>
      <c r="S22" s="242">
        <v>1</v>
      </c>
      <c r="T22" s="212">
        <v>1</v>
      </c>
      <c r="U22" s="212">
        <v>1</v>
      </c>
      <c r="V22" s="212">
        <v>1</v>
      </c>
      <c r="W22" s="212">
        <v>1</v>
      </c>
      <c r="X22" s="213">
        <v>1</v>
      </c>
      <c r="Y22" s="214">
        <v>1</v>
      </c>
      <c r="Z22" s="212">
        <v>1</v>
      </c>
      <c r="AA22" s="212">
        <v>1</v>
      </c>
      <c r="AB22" s="212">
        <v>1</v>
      </c>
      <c r="AC22" s="212">
        <v>1</v>
      </c>
      <c r="AD22" s="212">
        <v>1</v>
      </c>
      <c r="AE22" s="213">
        <v>1</v>
      </c>
      <c r="AF22" s="214">
        <v>1</v>
      </c>
      <c r="AG22" s="212">
        <v>1</v>
      </c>
      <c r="AH22" s="212">
        <v>1</v>
      </c>
      <c r="AI22" s="212">
        <v>1</v>
      </c>
      <c r="AJ22" s="212">
        <v>1</v>
      </c>
      <c r="AK22" s="255"/>
      <c r="AL22" s="213">
        <v>1</v>
      </c>
      <c r="AM22" s="214">
        <v>1</v>
      </c>
      <c r="AN22" s="256"/>
      <c r="AO22" s="112"/>
      <c r="AP22" s="122"/>
      <c r="AQ22" s="122"/>
      <c r="AR22" s="121"/>
      <c r="AS22" s="108"/>
      <c r="AT22" s="108"/>
      <c r="AU22" s="428"/>
      <c r="AV22" s="121"/>
      <c r="AW22" s="121"/>
      <c r="AX22" s="428"/>
    </row>
    <row r="23" spans="1:50" hidden="1">
      <c r="A23" s="482"/>
      <c r="B23" s="497"/>
      <c r="C23" s="509"/>
      <c r="D23" s="465"/>
      <c r="E23" s="441"/>
      <c r="F23" s="452"/>
      <c r="G23" s="134"/>
      <c r="H23" s="188" t="s">
        <v>15</v>
      </c>
      <c r="I23" s="218">
        <f>39236</f>
        <v>39236</v>
      </c>
      <c r="J23" s="213"/>
      <c r="K23" s="217"/>
      <c r="L23" s="215">
        <f>27053+7020</f>
        <v>34073</v>
      </c>
      <c r="M23" s="215">
        <f>27053+7020</f>
        <v>34073</v>
      </c>
      <c r="N23" s="197"/>
      <c r="O23" s="215"/>
      <c r="P23" s="215"/>
      <c r="Q23" s="213"/>
      <c r="R23" s="217"/>
      <c r="S23" s="242"/>
      <c r="T23" s="215"/>
      <c r="U23" s="215">
        <f>27392+17240</f>
        <v>44632</v>
      </c>
      <c r="V23" s="215">
        <f>27392+17240</f>
        <v>44632</v>
      </c>
      <c r="W23" s="215"/>
      <c r="X23" s="213"/>
      <c r="Y23" s="217"/>
      <c r="Z23" s="215"/>
      <c r="AA23" s="134"/>
      <c r="AB23" s="215"/>
      <c r="AC23" s="134"/>
      <c r="AD23" s="215"/>
      <c r="AE23" s="213"/>
      <c r="AF23" s="217"/>
      <c r="AG23" s="215"/>
      <c r="AH23" s="134"/>
      <c r="AI23" s="215"/>
      <c r="AJ23" s="134"/>
      <c r="AK23" s="257"/>
      <c r="AL23" s="213"/>
      <c r="AM23" s="217"/>
      <c r="AN23" s="253">
        <f>SUM(I23:AM23)</f>
        <v>196646</v>
      </c>
      <c r="AO23" s="112"/>
      <c r="AP23" s="122"/>
      <c r="AQ23" s="122"/>
      <c r="AR23" s="121"/>
      <c r="AS23" s="108"/>
      <c r="AT23" s="108"/>
      <c r="AU23" s="428"/>
      <c r="AV23" s="121"/>
      <c r="AW23" s="121"/>
      <c r="AX23" s="428"/>
    </row>
    <row r="24" spans="1:50" hidden="1">
      <c r="A24" s="482"/>
      <c r="B24" s="497"/>
      <c r="C24" s="509"/>
      <c r="D24" s="465"/>
      <c r="E24" s="441"/>
      <c r="F24" s="452"/>
      <c r="G24" s="190"/>
      <c r="H24" s="187" t="s">
        <v>30</v>
      </c>
      <c r="I24" s="212">
        <f t="shared" ref="I24:AJ24" si="6">$M$27*$D$3/3</f>
        <v>12720</v>
      </c>
      <c r="J24" s="213">
        <f t="shared" si="6"/>
        <v>12720</v>
      </c>
      <c r="K24" s="214">
        <f t="shared" si="6"/>
        <v>12720</v>
      </c>
      <c r="L24" s="212">
        <f t="shared" si="6"/>
        <v>12720</v>
      </c>
      <c r="M24" s="212">
        <f t="shared" si="6"/>
        <v>12720</v>
      </c>
      <c r="N24" s="212">
        <f t="shared" si="6"/>
        <v>12720</v>
      </c>
      <c r="O24" s="212">
        <f t="shared" si="6"/>
        <v>12720</v>
      </c>
      <c r="P24" s="212">
        <f t="shared" si="6"/>
        <v>12720</v>
      </c>
      <c r="Q24" s="213">
        <f t="shared" si="6"/>
        <v>12720</v>
      </c>
      <c r="R24" s="214">
        <f t="shared" si="6"/>
        <v>12720</v>
      </c>
      <c r="S24" s="242">
        <f t="shared" si="6"/>
        <v>12720</v>
      </c>
      <c r="T24" s="212">
        <f t="shared" si="6"/>
        <v>12720</v>
      </c>
      <c r="U24" s="212">
        <f t="shared" si="6"/>
        <v>12720</v>
      </c>
      <c r="V24" s="212">
        <f t="shared" si="6"/>
        <v>12720</v>
      </c>
      <c r="W24" s="212">
        <f t="shared" si="6"/>
        <v>12720</v>
      </c>
      <c r="X24" s="213">
        <f t="shared" si="6"/>
        <v>12720</v>
      </c>
      <c r="Y24" s="214">
        <f t="shared" si="6"/>
        <v>12720</v>
      </c>
      <c r="Z24" s="212">
        <f t="shared" si="6"/>
        <v>12720</v>
      </c>
      <c r="AA24" s="212">
        <f t="shared" si="6"/>
        <v>12720</v>
      </c>
      <c r="AB24" s="212">
        <f t="shared" si="6"/>
        <v>12720</v>
      </c>
      <c r="AC24" s="212">
        <f t="shared" si="6"/>
        <v>12720</v>
      </c>
      <c r="AD24" s="212">
        <f t="shared" si="6"/>
        <v>12720</v>
      </c>
      <c r="AE24" s="213">
        <f t="shared" si="6"/>
        <v>12720</v>
      </c>
      <c r="AF24" s="214">
        <f t="shared" si="6"/>
        <v>12720</v>
      </c>
      <c r="AG24" s="212">
        <f t="shared" si="6"/>
        <v>12720</v>
      </c>
      <c r="AH24" s="212">
        <f t="shared" si="6"/>
        <v>12720</v>
      </c>
      <c r="AI24" s="212">
        <f t="shared" si="6"/>
        <v>12720</v>
      </c>
      <c r="AJ24" s="212">
        <f t="shared" si="6"/>
        <v>12720</v>
      </c>
      <c r="AK24" s="255"/>
      <c r="AL24" s="213">
        <f>$M$27*$D$3/3</f>
        <v>12720</v>
      </c>
      <c r="AM24" s="214">
        <f>$M$27*$D$3/3</f>
        <v>12720</v>
      </c>
      <c r="AN24" s="256">
        <f>SUM(I24:AM24)</f>
        <v>381600</v>
      </c>
      <c r="AO24" s="112"/>
      <c r="AP24" s="122"/>
      <c r="AQ24" s="122"/>
      <c r="AR24" s="121"/>
      <c r="AS24" s="108"/>
      <c r="AT24" s="108"/>
      <c r="AU24" s="428"/>
      <c r="AV24" s="121"/>
      <c r="AW24" s="121"/>
      <c r="AX24" s="428"/>
    </row>
    <row r="25" spans="1:50" hidden="1">
      <c r="A25" s="482"/>
      <c r="B25" s="497"/>
      <c r="C25" s="509"/>
      <c r="D25" s="465"/>
      <c r="E25" s="441"/>
      <c r="F25" s="452"/>
      <c r="G25" s="190"/>
      <c r="H25" s="187" t="s">
        <v>31</v>
      </c>
      <c r="I25" s="212">
        <v>1</v>
      </c>
      <c r="J25" s="213">
        <v>1</v>
      </c>
      <c r="K25" s="214">
        <v>1</v>
      </c>
      <c r="L25" s="212">
        <v>1</v>
      </c>
      <c r="M25" s="212">
        <v>1</v>
      </c>
      <c r="N25" s="212">
        <v>1</v>
      </c>
      <c r="O25" s="212">
        <v>1</v>
      </c>
      <c r="P25" s="212">
        <v>1</v>
      </c>
      <c r="Q25" s="213">
        <v>1</v>
      </c>
      <c r="R25" s="214">
        <v>1</v>
      </c>
      <c r="S25" s="242">
        <v>1</v>
      </c>
      <c r="T25" s="212">
        <v>1</v>
      </c>
      <c r="U25" s="212">
        <v>1</v>
      </c>
      <c r="V25" s="212">
        <v>1</v>
      </c>
      <c r="W25" s="212">
        <v>1</v>
      </c>
      <c r="X25" s="213">
        <v>1</v>
      </c>
      <c r="Y25" s="214">
        <v>1</v>
      </c>
      <c r="Z25" s="212">
        <v>1</v>
      </c>
      <c r="AA25" s="212">
        <v>1</v>
      </c>
      <c r="AB25" s="212">
        <v>1</v>
      </c>
      <c r="AC25" s="212">
        <v>1</v>
      </c>
      <c r="AD25" s="212">
        <v>1</v>
      </c>
      <c r="AE25" s="213">
        <v>1</v>
      </c>
      <c r="AF25" s="214">
        <v>1</v>
      </c>
      <c r="AG25" s="212">
        <v>1</v>
      </c>
      <c r="AH25" s="212">
        <v>1</v>
      </c>
      <c r="AI25" s="212">
        <v>1</v>
      </c>
      <c r="AJ25" s="212">
        <v>1</v>
      </c>
      <c r="AK25" s="255"/>
      <c r="AL25" s="213">
        <v>1</v>
      </c>
      <c r="AM25" s="214">
        <v>1</v>
      </c>
      <c r="AN25" s="256"/>
      <c r="AO25" s="112"/>
      <c r="AP25" s="122"/>
      <c r="AQ25" s="122"/>
      <c r="AR25" s="121"/>
      <c r="AS25" s="108"/>
      <c r="AT25" s="108"/>
      <c r="AU25" s="428"/>
      <c r="AV25" s="121"/>
      <c r="AW25" s="121"/>
      <c r="AX25" s="428"/>
    </row>
    <row r="26" spans="1:50" hidden="1">
      <c r="A26" s="482"/>
      <c r="B26" s="497"/>
      <c r="C26" s="509"/>
      <c r="D26" s="465"/>
      <c r="E26" s="441"/>
      <c r="F26" s="452"/>
      <c r="G26" s="134"/>
      <c r="H26" s="188" t="s">
        <v>15</v>
      </c>
      <c r="I26" s="215">
        <f>3090+1670</f>
        <v>4760</v>
      </c>
      <c r="J26" s="213">
        <f>2525+1786+4125</f>
        <v>8436</v>
      </c>
      <c r="K26" s="214">
        <f>400+2100+2278+514</f>
        <v>5292</v>
      </c>
      <c r="L26" s="215">
        <f>3311+3864</f>
        <v>7175</v>
      </c>
      <c r="M26" s="215">
        <f>3311+3864</f>
        <v>7175</v>
      </c>
      <c r="N26" s="215">
        <f>1635+1119+2771+2009</f>
        <v>7534</v>
      </c>
      <c r="O26" s="215">
        <f>4095+1523</f>
        <v>5618</v>
      </c>
      <c r="P26" s="215">
        <f>4095+1523</f>
        <v>5618</v>
      </c>
      <c r="Q26" s="213">
        <f>2525+1786+4125</f>
        <v>8436</v>
      </c>
      <c r="R26" s="214">
        <f>400+2100+2278+514</f>
        <v>5292</v>
      </c>
      <c r="S26" s="242">
        <f>550+4498+500+3570+1212</f>
        <v>10330</v>
      </c>
      <c r="T26" s="215">
        <f>550+4498+500+3570+1212</f>
        <v>10330</v>
      </c>
      <c r="U26" s="134"/>
      <c r="V26" s="134"/>
      <c r="W26" s="215">
        <f>4501+2428+4096</f>
        <v>11025</v>
      </c>
      <c r="X26" s="213">
        <f>2525+1786+4125</f>
        <v>8436</v>
      </c>
      <c r="Y26" s="214">
        <f>400+2100+2278+514</f>
        <v>5292</v>
      </c>
      <c r="Z26" s="134"/>
      <c r="AA26" s="134"/>
      <c r="AB26" s="134"/>
      <c r="AC26" s="134"/>
      <c r="AD26" s="134"/>
      <c r="AE26" s="213">
        <f>2525+1786+4125</f>
        <v>8436</v>
      </c>
      <c r="AF26" s="214">
        <f>400+2100+2278+514</f>
        <v>5292</v>
      </c>
      <c r="AG26" s="134"/>
      <c r="AH26" s="134"/>
      <c r="AI26" s="134"/>
      <c r="AJ26" s="134"/>
      <c r="AK26" s="257"/>
      <c r="AL26" s="213">
        <f>2525+1786+4125</f>
        <v>8436</v>
      </c>
      <c r="AM26" s="214">
        <f>400+2100+2278+514</f>
        <v>5292</v>
      </c>
      <c r="AN26" s="258">
        <v>1</v>
      </c>
      <c r="AO26" s="112"/>
      <c r="AP26" s="122"/>
      <c r="AQ26" s="122"/>
      <c r="AR26" s="121"/>
      <c r="AS26" s="108"/>
      <c r="AT26" s="108"/>
      <c r="AU26" s="428"/>
      <c r="AV26" s="121"/>
      <c r="AW26" s="121"/>
      <c r="AX26" s="428"/>
    </row>
    <row r="27" spans="1:50" hidden="1">
      <c r="A27" s="482"/>
      <c r="B27" s="497"/>
      <c r="C27" s="509"/>
      <c r="D27" s="465"/>
      <c r="E27" s="441"/>
      <c r="F27" s="452"/>
      <c r="G27" s="190"/>
      <c r="H27" s="187" t="s">
        <v>32</v>
      </c>
      <c r="I27" s="190"/>
      <c r="J27" s="219"/>
      <c r="K27" s="217"/>
      <c r="L27" s="212">
        <f>$C$3*3</f>
        <v>24000</v>
      </c>
      <c r="M27" s="212">
        <f>$C$3*3</f>
        <v>24000</v>
      </c>
      <c r="N27" s="190"/>
      <c r="O27" s="190"/>
      <c r="P27" s="190"/>
      <c r="Q27" s="219"/>
      <c r="R27" s="217"/>
      <c r="S27" s="242">
        <f>$C$3*3</f>
        <v>24000</v>
      </c>
      <c r="T27" s="212">
        <f>$C$3*3</f>
        <v>24000</v>
      </c>
      <c r="U27" s="190"/>
      <c r="V27" s="190"/>
      <c r="W27" s="190"/>
      <c r="X27" s="219"/>
      <c r="Y27" s="217"/>
      <c r="Z27" s="190"/>
      <c r="AA27" s="190"/>
      <c r="AB27" s="212">
        <f>$C$3*3</f>
        <v>24000</v>
      </c>
      <c r="AC27" s="190"/>
      <c r="AD27" s="190"/>
      <c r="AE27" s="219"/>
      <c r="AF27" s="217"/>
      <c r="AG27" s="190"/>
      <c r="AH27" s="190"/>
      <c r="AI27" s="212">
        <f>$C$3*3</f>
        <v>24000</v>
      </c>
      <c r="AJ27" s="190"/>
      <c r="AK27" s="257"/>
      <c r="AL27" s="219"/>
      <c r="AM27" s="217"/>
      <c r="AN27" s="256">
        <f>SUM(I27:AM27)</f>
        <v>144000</v>
      </c>
      <c r="AO27" s="112"/>
      <c r="AP27" s="122"/>
      <c r="AQ27" s="122"/>
      <c r="AR27" s="121"/>
      <c r="AS27" s="108"/>
      <c r="AT27" s="108"/>
      <c r="AU27" s="428"/>
      <c r="AV27" s="121"/>
      <c r="AW27" s="121"/>
      <c r="AX27" s="428"/>
    </row>
    <row r="28" spans="1:50" hidden="1">
      <c r="A28" s="482"/>
      <c r="B28" s="497"/>
      <c r="C28" s="509"/>
      <c r="D28" s="465"/>
      <c r="E28" s="441"/>
      <c r="F28" s="452"/>
      <c r="G28" s="190"/>
      <c r="H28" s="187" t="s">
        <v>33</v>
      </c>
      <c r="I28" s="190"/>
      <c r="J28" s="219"/>
      <c r="K28" s="217"/>
      <c r="L28" s="190">
        <v>1</v>
      </c>
      <c r="M28" s="190">
        <v>1</v>
      </c>
      <c r="N28" s="190"/>
      <c r="O28" s="190"/>
      <c r="P28" s="190"/>
      <c r="Q28" s="219"/>
      <c r="R28" s="217"/>
      <c r="S28" s="243">
        <v>1</v>
      </c>
      <c r="T28" s="190">
        <v>1</v>
      </c>
      <c r="U28" s="190"/>
      <c r="V28" s="190"/>
      <c r="W28" s="190"/>
      <c r="X28" s="219"/>
      <c r="Y28" s="217"/>
      <c r="Z28" s="190"/>
      <c r="AA28" s="190"/>
      <c r="AB28" s="190">
        <v>1</v>
      </c>
      <c r="AC28" s="190"/>
      <c r="AD28" s="190"/>
      <c r="AE28" s="219"/>
      <c r="AF28" s="217"/>
      <c r="AG28" s="190"/>
      <c r="AH28" s="190"/>
      <c r="AI28" s="190">
        <v>1</v>
      </c>
      <c r="AJ28" s="190"/>
      <c r="AK28" s="257"/>
      <c r="AL28" s="219"/>
      <c r="AM28" s="217"/>
      <c r="AN28" s="256"/>
      <c r="AO28" s="112"/>
      <c r="AP28" s="122"/>
      <c r="AQ28" s="122"/>
      <c r="AR28" s="121"/>
      <c r="AS28" s="108"/>
      <c r="AT28" s="108"/>
      <c r="AU28" s="428"/>
      <c r="AV28" s="121"/>
      <c r="AW28" s="121"/>
      <c r="AX28" s="428"/>
    </row>
    <row r="29" spans="1:50" hidden="1">
      <c r="A29" s="191"/>
      <c r="B29" s="498"/>
      <c r="C29" s="510"/>
      <c r="D29" s="466"/>
      <c r="E29" s="442"/>
      <c r="F29" s="453"/>
      <c r="G29" s="135"/>
      <c r="H29" s="192" t="s">
        <v>15</v>
      </c>
      <c r="I29" s="220">
        <v>12750</v>
      </c>
      <c r="J29" s="221"/>
      <c r="K29" s="222"/>
      <c r="L29" s="220"/>
      <c r="M29" s="220"/>
      <c r="N29" s="135"/>
      <c r="O29" s="220">
        <f>13221+3000</f>
        <v>16221</v>
      </c>
      <c r="P29" s="220">
        <f>13221+3000</f>
        <v>16221</v>
      </c>
      <c r="Q29" s="221"/>
      <c r="R29" s="222"/>
      <c r="S29" s="244"/>
      <c r="T29" s="135"/>
      <c r="U29" s="220">
        <v>10684</v>
      </c>
      <c r="V29" s="220">
        <v>10684</v>
      </c>
      <c r="W29" s="135"/>
      <c r="X29" s="221"/>
      <c r="Y29" s="222"/>
      <c r="Z29" s="135"/>
      <c r="AA29" s="135"/>
      <c r="AB29" s="135"/>
      <c r="AC29" s="135"/>
      <c r="AD29" s="135"/>
      <c r="AE29" s="221"/>
      <c r="AF29" s="222"/>
      <c r="AG29" s="135"/>
      <c r="AH29" s="135"/>
      <c r="AI29" s="135"/>
      <c r="AJ29" s="135"/>
      <c r="AK29" s="259"/>
      <c r="AL29" s="221"/>
      <c r="AM29" s="222"/>
      <c r="AN29" s="253">
        <f>SUM(I29:AM29)</f>
        <v>66560</v>
      </c>
      <c r="AO29" s="112"/>
      <c r="AP29" s="122"/>
      <c r="AQ29" s="122"/>
      <c r="AR29" s="121"/>
      <c r="AS29" s="108"/>
      <c r="AT29" s="108"/>
      <c r="AU29" s="428"/>
      <c r="AV29" s="121"/>
      <c r="AW29" s="121"/>
      <c r="AX29" s="428"/>
    </row>
    <row r="30" spans="1:50" hidden="1">
      <c r="A30" s="483" t="s">
        <v>34</v>
      </c>
      <c r="B30" s="499" t="s">
        <v>35</v>
      </c>
      <c r="C30" s="461">
        <v>12000</v>
      </c>
      <c r="D30" s="467">
        <v>1.2749999999999999</v>
      </c>
      <c r="E30" s="193"/>
      <c r="F30" s="454" t="s">
        <v>11</v>
      </c>
      <c r="G30" s="184">
        <v>0.08</v>
      </c>
      <c r="H30" s="185" t="s">
        <v>12</v>
      </c>
      <c r="I30" s="223">
        <v>128.16999999999999</v>
      </c>
      <c r="J30" s="224">
        <v>128.16999999999999</v>
      </c>
      <c r="K30" s="225">
        <v>128.16999999999999</v>
      </c>
      <c r="L30" s="223">
        <v>128.16999999999999</v>
      </c>
      <c r="M30" s="223">
        <v>128.16999999999999</v>
      </c>
      <c r="N30" s="223">
        <v>128.16999999999999</v>
      </c>
      <c r="O30" s="223">
        <v>128.16999999999999</v>
      </c>
      <c r="P30" s="223">
        <v>128.16999999999999</v>
      </c>
      <c r="Q30" s="224">
        <v>128.16999999999999</v>
      </c>
      <c r="R30" s="225">
        <v>128.16999999999999</v>
      </c>
      <c r="S30" s="245">
        <v>128.16999999999999</v>
      </c>
      <c r="T30" s="223">
        <v>128.16999999999999</v>
      </c>
      <c r="U30" s="223">
        <v>128.16999999999999</v>
      </c>
      <c r="V30" s="223">
        <v>128.16999999999999</v>
      </c>
      <c r="W30" s="223">
        <v>128.16999999999999</v>
      </c>
      <c r="X30" s="224">
        <v>128.16999999999999</v>
      </c>
      <c r="Y30" s="225">
        <v>128.16999999999999</v>
      </c>
      <c r="Z30" s="223">
        <v>128.16999999999999</v>
      </c>
      <c r="AA30" s="223">
        <v>128.16999999999999</v>
      </c>
      <c r="AB30" s="223">
        <v>128.16999999999999</v>
      </c>
      <c r="AC30" s="223">
        <v>128.16999999999999</v>
      </c>
      <c r="AD30" s="223">
        <v>128.16999999999999</v>
      </c>
      <c r="AE30" s="224">
        <v>128.16999999999999</v>
      </c>
      <c r="AF30" s="225">
        <v>128.16999999999999</v>
      </c>
      <c r="AG30" s="223">
        <v>128.16999999999999</v>
      </c>
      <c r="AH30" s="223">
        <v>128.16999999999999</v>
      </c>
      <c r="AI30" s="223">
        <v>128.16999999999999</v>
      </c>
      <c r="AJ30" s="223">
        <v>128.16999999999999</v>
      </c>
      <c r="AK30" s="260"/>
      <c r="AL30" s="224">
        <v>128.16999999999999</v>
      </c>
      <c r="AM30" s="225">
        <v>128.16999999999999</v>
      </c>
      <c r="AN30" s="253"/>
      <c r="AO30" s="428"/>
      <c r="AP30" s="428"/>
      <c r="AQ30" s="108"/>
      <c r="AR30" s="108"/>
      <c r="AS30" s="108"/>
      <c r="AT30" s="108"/>
      <c r="AU30" s="428"/>
      <c r="AV30" s="121"/>
      <c r="AW30" s="121"/>
      <c r="AX30" s="428"/>
    </row>
    <row r="31" spans="1:50" hidden="1">
      <c r="A31" s="484"/>
      <c r="B31" s="500"/>
      <c r="C31" s="455"/>
      <c r="D31" s="468"/>
      <c r="E31" s="194"/>
      <c r="F31" s="433"/>
      <c r="G31" s="186"/>
      <c r="H31" s="187" t="s">
        <v>14</v>
      </c>
      <c r="I31" s="212">
        <v>1.5</v>
      </c>
      <c r="J31" s="213">
        <v>1.5</v>
      </c>
      <c r="K31" s="214">
        <v>1.5</v>
      </c>
      <c r="L31" s="212">
        <v>1.5</v>
      </c>
      <c r="M31" s="212">
        <v>1.5</v>
      </c>
      <c r="N31" s="212">
        <v>1.5</v>
      </c>
      <c r="O31" s="212">
        <v>1.5</v>
      </c>
      <c r="P31" s="212">
        <v>1.5</v>
      </c>
      <c r="Q31" s="213">
        <v>1.5</v>
      </c>
      <c r="R31" s="214">
        <v>1.5</v>
      </c>
      <c r="S31" s="242">
        <v>1.5</v>
      </c>
      <c r="T31" s="212">
        <v>1.5</v>
      </c>
      <c r="U31" s="212">
        <v>1.5</v>
      </c>
      <c r="V31" s="212">
        <v>1.5</v>
      </c>
      <c r="W31" s="212">
        <v>1.5</v>
      </c>
      <c r="X31" s="213">
        <v>1.5</v>
      </c>
      <c r="Y31" s="214">
        <v>1.5</v>
      </c>
      <c r="Z31" s="212">
        <v>1.5</v>
      </c>
      <c r="AA31" s="212">
        <v>1.5</v>
      </c>
      <c r="AB31" s="212">
        <v>1.5</v>
      </c>
      <c r="AC31" s="212">
        <v>1.5</v>
      </c>
      <c r="AD31" s="212">
        <v>1.5</v>
      </c>
      <c r="AE31" s="213">
        <v>1.5</v>
      </c>
      <c r="AF31" s="214">
        <v>1.5</v>
      </c>
      <c r="AG31" s="212">
        <v>1.5</v>
      </c>
      <c r="AH31" s="212">
        <v>1.5</v>
      </c>
      <c r="AI31" s="212">
        <v>1.5</v>
      </c>
      <c r="AJ31" s="212">
        <v>1.5</v>
      </c>
      <c r="AK31" s="255"/>
      <c r="AL31" s="213">
        <v>1.5</v>
      </c>
      <c r="AM31" s="214">
        <v>1.5</v>
      </c>
      <c r="AN31" s="253"/>
      <c r="AO31" s="428"/>
      <c r="AP31" s="428"/>
      <c r="AQ31" s="108"/>
      <c r="AR31" s="108"/>
      <c r="AS31" s="108"/>
      <c r="AT31" s="108"/>
      <c r="AU31" s="428"/>
      <c r="AV31" s="121"/>
      <c r="AW31" s="121"/>
      <c r="AX31" s="428"/>
    </row>
    <row r="32" spans="1:50" hidden="1">
      <c r="A32" s="484"/>
      <c r="B32" s="500"/>
      <c r="C32" s="455"/>
      <c r="D32" s="468"/>
      <c r="E32" s="194"/>
      <c r="F32" s="433"/>
      <c r="G32" s="195"/>
      <c r="H32" s="196" t="s">
        <v>15</v>
      </c>
      <c r="I32" s="226"/>
      <c r="J32" s="227"/>
      <c r="K32" s="228"/>
      <c r="L32" s="215"/>
      <c r="M32" s="215"/>
      <c r="N32" s="215"/>
      <c r="O32" s="215"/>
      <c r="P32" s="215"/>
      <c r="Q32" s="227"/>
      <c r="R32" s="228"/>
      <c r="S32" s="242"/>
      <c r="T32" s="215"/>
      <c r="U32" s="215"/>
      <c r="V32" s="215"/>
      <c r="W32" s="215"/>
      <c r="X32" s="227"/>
      <c r="Y32" s="228"/>
      <c r="Z32" s="215"/>
      <c r="AA32" s="215"/>
      <c r="AB32" s="215"/>
      <c r="AC32" s="215"/>
      <c r="AD32" s="215"/>
      <c r="AE32" s="227"/>
      <c r="AF32" s="228"/>
      <c r="AG32" s="215"/>
      <c r="AH32" s="215"/>
      <c r="AI32" s="215"/>
      <c r="AJ32" s="215"/>
      <c r="AK32" s="255"/>
      <c r="AL32" s="227"/>
      <c r="AM32" s="228"/>
      <c r="AN32" s="253"/>
      <c r="AO32" s="108"/>
      <c r="AP32" s="108"/>
      <c r="AQ32" s="108"/>
      <c r="AR32" s="108"/>
      <c r="AS32" s="108"/>
      <c r="AT32" s="108"/>
      <c r="AU32" s="428"/>
      <c r="AV32" s="121"/>
      <c r="AW32" s="121"/>
      <c r="AX32" s="428"/>
    </row>
    <row r="33" spans="1:50" hidden="1">
      <c r="A33" s="484"/>
      <c r="B33" s="500"/>
      <c r="C33" s="455"/>
      <c r="D33" s="468"/>
      <c r="E33" s="194"/>
      <c r="F33" s="433"/>
      <c r="G33" s="190" t="s">
        <v>16</v>
      </c>
      <c r="H33" s="187" t="s">
        <v>17</v>
      </c>
      <c r="I33" s="229">
        <v>128.16999999999999</v>
      </c>
      <c r="J33" s="230">
        <v>128.16999999999999</v>
      </c>
      <c r="K33" s="231">
        <v>128.16999999999999</v>
      </c>
      <c r="L33" s="229">
        <v>128.16999999999999</v>
      </c>
      <c r="M33" s="229">
        <v>128.16999999999999</v>
      </c>
      <c r="N33" s="229">
        <v>128.16999999999999</v>
      </c>
      <c r="O33" s="229">
        <v>128.16999999999999</v>
      </c>
      <c r="P33" s="229">
        <v>128.16999999999999</v>
      </c>
      <c r="Q33" s="230">
        <v>128.16999999999999</v>
      </c>
      <c r="R33" s="231">
        <v>128.16999999999999</v>
      </c>
      <c r="S33" s="246">
        <v>128.16999999999999</v>
      </c>
      <c r="T33" s="229">
        <v>128.16999999999999</v>
      </c>
      <c r="U33" s="229">
        <v>128.16999999999999</v>
      </c>
      <c r="V33" s="229">
        <v>128.16999999999999</v>
      </c>
      <c r="W33" s="229">
        <v>128.16999999999999</v>
      </c>
      <c r="X33" s="230">
        <v>128.16999999999999</v>
      </c>
      <c r="Y33" s="231">
        <v>128.16999999999999</v>
      </c>
      <c r="Z33" s="229">
        <v>128.16999999999999</v>
      </c>
      <c r="AA33" s="229">
        <v>128.16999999999999</v>
      </c>
      <c r="AB33" s="229">
        <v>128.16999999999999</v>
      </c>
      <c r="AC33" s="229">
        <v>128.16999999999999</v>
      </c>
      <c r="AD33" s="229">
        <v>128.16999999999999</v>
      </c>
      <c r="AE33" s="230">
        <v>128.16999999999999</v>
      </c>
      <c r="AF33" s="231">
        <v>128.16999999999999</v>
      </c>
      <c r="AG33" s="229">
        <v>128.16999999999999</v>
      </c>
      <c r="AH33" s="229">
        <v>128.16999999999999</v>
      </c>
      <c r="AI33" s="229">
        <v>128.16999999999999</v>
      </c>
      <c r="AJ33" s="229">
        <v>128.16999999999999</v>
      </c>
      <c r="AK33" s="261"/>
      <c r="AL33" s="230">
        <v>128.16999999999999</v>
      </c>
      <c r="AM33" s="231">
        <v>128.16999999999999</v>
      </c>
      <c r="AN33" s="253"/>
      <c r="AO33" s="108"/>
      <c r="AP33" s="108"/>
      <c r="AQ33" s="108"/>
      <c r="AR33" s="108"/>
      <c r="AS33" s="108"/>
      <c r="AT33" s="108"/>
      <c r="AU33" s="428"/>
      <c r="AV33" s="121"/>
      <c r="AW33" s="121"/>
      <c r="AX33" s="428"/>
    </row>
    <row r="34" spans="1:50" hidden="1">
      <c r="A34" s="484"/>
      <c r="B34" s="500"/>
      <c r="C34" s="455"/>
      <c r="D34" s="468"/>
      <c r="E34" s="194"/>
      <c r="F34" s="433"/>
      <c r="G34" s="186"/>
      <c r="H34" s="187" t="s">
        <v>14</v>
      </c>
      <c r="I34" s="212">
        <v>0.5</v>
      </c>
      <c r="J34" s="213">
        <v>0.5</v>
      </c>
      <c r="K34" s="214">
        <v>0.5</v>
      </c>
      <c r="L34" s="212">
        <v>0.5</v>
      </c>
      <c r="M34" s="212">
        <v>0.5</v>
      </c>
      <c r="N34" s="212">
        <v>0.5</v>
      </c>
      <c r="O34" s="212">
        <v>0.5</v>
      </c>
      <c r="P34" s="212">
        <v>0.5</v>
      </c>
      <c r="Q34" s="213">
        <v>0.5</v>
      </c>
      <c r="R34" s="214">
        <v>0.5</v>
      </c>
      <c r="S34" s="242">
        <v>0.5</v>
      </c>
      <c r="T34" s="212">
        <v>0.5</v>
      </c>
      <c r="U34" s="212">
        <v>0.5</v>
      </c>
      <c r="V34" s="212">
        <v>0.5</v>
      </c>
      <c r="W34" s="212">
        <v>0.5</v>
      </c>
      <c r="X34" s="213">
        <v>0.5</v>
      </c>
      <c r="Y34" s="214">
        <v>0.5</v>
      </c>
      <c r="Z34" s="212">
        <v>0.5</v>
      </c>
      <c r="AA34" s="212">
        <v>0.5</v>
      </c>
      <c r="AB34" s="212">
        <v>0.5</v>
      </c>
      <c r="AC34" s="212">
        <v>0.5</v>
      </c>
      <c r="AD34" s="212">
        <v>0.5</v>
      </c>
      <c r="AE34" s="213">
        <v>0.5</v>
      </c>
      <c r="AF34" s="214">
        <v>0.5</v>
      </c>
      <c r="AG34" s="212">
        <v>0.5</v>
      </c>
      <c r="AH34" s="212">
        <v>0.5</v>
      </c>
      <c r="AI34" s="212">
        <v>0.5</v>
      </c>
      <c r="AJ34" s="212">
        <v>0.5</v>
      </c>
      <c r="AK34" s="255"/>
      <c r="AL34" s="213">
        <v>0.5</v>
      </c>
      <c r="AM34" s="214">
        <v>0.5</v>
      </c>
      <c r="AN34" s="253"/>
      <c r="AO34" s="108"/>
      <c r="AP34" s="108"/>
      <c r="AQ34" s="108"/>
      <c r="AR34" s="108"/>
      <c r="AS34" s="108"/>
      <c r="AT34" s="108"/>
      <c r="AU34" s="428"/>
      <c r="AV34" s="121"/>
      <c r="AW34" s="121"/>
      <c r="AX34" s="428"/>
    </row>
    <row r="35" spans="1:50" hidden="1">
      <c r="A35" s="484"/>
      <c r="B35" s="500"/>
      <c r="C35" s="455"/>
      <c r="D35" s="468"/>
      <c r="E35" s="194"/>
      <c r="F35" s="433"/>
      <c r="G35" s="134"/>
      <c r="H35" s="188" t="s">
        <v>15</v>
      </c>
      <c r="I35" s="215"/>
      <c r="J35" s="213"/>
      <c r="K35" s="214"/>
      <c r="L35" s="215"/>
      <c r="M35" s="215"/>
      <c r="N35" s="215"/>
      <c r="O35" s="215"/>
      <c r="P35" s="215"/>
      <c r="Q35" s="213"/>
      <c r="R35" s="214"/>
      <c r="S35" s="242"/>
      <c r="T35" s="215"/>
      <c r="U35" s="215"/>
      <c r="V35" s="215"/>
      <c r="W35" s="215"/>
      <c r="X35" s="213"/>
      <c r="Y35" s="214"/>
      <c r="Z35" s="215"/>
      <c r="AA35" s="215"/>
      <c r="AB35" s="215"/>
      <c r="AC35" s="215"/>
      <c r="AD35" s="215"/>
      <c r="AE35" s="213"/>
      <c r="AF35" s="214"/>
      <c r="AG35" s="215"/>
      <c r="AH35" s="215"/>
      <c r="AI35" s="215"/>
      <c r="AJ35" s="215"/>
      <c r="AK35" s="255"/>
      <c r="AL35" s="213"/>
      <c r="AM35" s="214"/>
      <c r="AN35" s="253"/>
      <c r="AO35" s="108"/>
      <c r="AP35" s="108"/>
      <c r="AQ35" s="108"/>
      <c r="AR35" s="108"/>
      <c r="AS35" s="108"/>
      <c r="AT35" s="108"/>
      <c r="AU35" s="428"/>
      <c r="AV35" s="121"/>
      <c r="AW35" s="121"/>
      <c r="AX35" s="428"/>
    </row>
    <row r="36" spans="1:50" hidden="1">
      <c r="A36" s="484"/>
      <c r="B36" s="500"/>
      <c r="C36" s="455"/>
      <c r="D36" s="468"/>
      <c r="E36" s="194"/>
      <c r="F36" s="433"/>
      <c r="G36" s="186" t="s">
        <v>36</v>
      </c>
      <c r="H36" s="187" t="s">
        <v>19</v>
      </c>
      <c r="I36" s="212">
        <f t="shared" ref="I36:L36" si="7">$I$42*2</f>
        <v>30600</v>
      </c>
      <c r="J36" s="213">
        <f t="shared" si="7"/>
        <v>30600</v>
      </c>
      <c r="K36" s="214">
        <f t="shared" si="7"/>
        <v>30600</v>
      </c>
      <c r="L36" s="212">
        <f t="shared" si="7"/>
        <v>30600</v>
      </c>
      <c r="M36" s="212">
        <f t="shared" ref="M36:S36" si="8">$I$42*2</f>
        <v>30600</v>
      </c>
      <c r="N36" s="212">
        <f t="shared" si="8"/>
        <v>30600</v>
      </c>
      <c r="O36" s="212">
        <f t="shared" si="8"/>
        <v>30600</v>
      </c>
      <c r="P36" s="212">
        <f t="shared" si="8"/>
        <v>30600</v>
      </c>
      <c r="Q36" s="213">
        <f t="shared" si="8"/>
        <v>30600</v>
      </c>
      <c r="R36" s="214">
        <f t="shared" si="8"/>
        <v>30600</v>
      </c>
      <c r="S36" s="242">
        <f t="shared" si="8"/>
        <v>30600</v>
      </c>
      <c r="T36" s="212">
        <f t="shared" ref="T36:Z36" si="9">$I$42*2</f>
        <v>30600</v>
      </c>
      <c r="U36" s="212">
        <f t="shared" si="9"/>
        <v>30600</v>
      </c>
      <c r="V36" s="212">
        <f t="shared" si="9"/>
        <v>30600</v>
      </c>
      <c r="W36" s="212">
        <f t="shared" si="9"/>
        <v>30600</v>
      </c>
      <c r="X36" s="213">
        <f t="shared" si="9"/>
        <v>30600</v>
      </c>
      <c r="Y36" s="214">
        <f t="shared" si="9"/>
        <v>30600</v>
      </c>
      <c r="Z36" s="212">
        <f t="shared" si="9"/>
        <v>30600</v>
      </c>
      <c r="AA36" s="212">
        <f t="shared" ref="AA36:AG36" si="10">$I$42*2</f>
        <v>30600</v>
      </c>
      <c r="AB36" s="212">
        <f t="shared" si="10"/>
        <v>30600</v>
      </c>
      <c r="AC36" s="212">
        <f t="shared" si="10"/>
        <v>30600</v>
      </c>
      <c r="AD36" s="212">
        <f t="shared" si="10"/>
        <v>30600</v>
      </c>
      <c r="AE36" s="213">
        <f t="shared" si="10"/>
        <v>30600</v>
      </c>
      <c r="AF36" s="214">
        <f t="shared" si="10"/>
        <v>30600</v>
      </c>
      <c r="AG36" s="212">
        <f t="shared" si="10"/>
        <v>30600</v>
      </c>
      <c r="AH36" s="212">
        <f t="shared" ref="AH36:AM36" si="11">$I$42*2</f>
        <v>30600</v>
      </c>
      <c r="AI36" s="212">
        <f t="shared" si="11"/>
        <v>30600</v>
      </c>
      <c r="AJ36" s="212">
        <f t="shared" si="11"/>
        <v>30600</v>
      </c>
      <c r="AK36" s="255"/>
      <c r="AL36" s="213">
        <f t="shared" si="11"/>
        <v>30600</v>
      </c>
      <c r="AM36" s="214">
        <f t="shared" si="11"/>
        <v>30600</v>
      </c>
      <c r="AN36" s="256">
        <f>SUM(I36:AM36)</f>
        <v>918000</v>
      </c>
      <c r="AO36" s="108"/>
      <c r="AP36" s="108"/>
      <c r="AQ36" s="108"/>
      <c r="AR36" s="108"/>
      <c r="AS36" s="108"/>
      <c r="AT36" s="108"/>
      <c r="AU36" s="428"/>
      <c r="AV36" s="121"/>
      <c r="AW36" s="121"/>
      <c r="AX36" s="428"/>
    </row>
    <row r="37" spans="1:50" hidden="1">
      <c r="A37" s="484"/>
      <c r="B37" s="500"/>
      <c r="C37" s="455"/>
      <c r="D37" s="468"/>
      <c r="E37" s="194"/>
      <c r="F37" s="433"/>
      <c r="G37" s="190"/>
      <c r="H37" s="187" t="s">
        <v>20</v>
      </c>
      <c r="I37" s="212">
        <v>1</v>
      </c>
      <c r="J37" s="213">
        <v>1</v>
      </c>
      <c r="K37" s="214">
        <v>1</v>
      </c>
      <c r="L37" s="212">
        <v>1</v>
      </c>
      <c r="M37" s="212">
        <v>1</v>
      </c>
      <c r="N37" s="212">
        <v>1</v>
      </c>
      <c r="O37" s="212">
        <v>1</v>
      </c>
      <c r="P37" s="212">
        <v>1</v>
      </c>
      <c r="Q37" s="213">
        <v>1</v>
      </c>
      <c r="R37" s="214">
        <v>1</v>
      </c>
      <c r="S37" s="242">
        <v>1</v>
      </c>
      <c r="T37" s="212">
        <v>1</v>
      </c>
      <c r="U37" s="212">
        <v>1</v>
      </c>
      <c r="V37" s="212">
        <v>1</v>
      </c>
      <c r="W37" s="212">
        <v>1</v>
      </c>
      <c r="X37" s="213">
        <v>1</v>
      </c>
      <c r="Y37" s="214">
        <v>1</v>
      </c>
      <c r="Z37" s="212">
        <v>1</v>
      </c>
      <c r="AA37" s="212">
        <v>1</v>
      </c>
      <c r="AB37" s="212">
        <v>1</v>
      </c>
      <c r="AC37" s="212">
        <v>1</v>
      </c>
      <c r="AD37" s="212">
        <v>1</v>
      </c>
      <c r="AE37" s="213">
        <v>1</v>
      </c>
      <c r="AF37" s="214">
        <v>1</v>
      </c>
      <c r="AG37" s="212">
        <v>1</v>
      </c>
      <c r="AH37" s="212">
        <v>1</v>
      </c>
      <c r="AI37" s="212">
        <v>1</v>
      </c>
      <c r="AJ37" s="212">
        <v>1</v>
      </c>
      <c r="AK37" s="255"/>
      <c r="AL37" s="213">
        <v>1</v>
      </c>
      <c r="AM37" s="214">
        <v>1</v>
      </c>
      <c r="AN37" s="256"/>
      <c r="AO37" s="108"/>
      <c r="AP37" s="108"/>
      <c r="AQ37" s="108"/>
      <c r="AR37" s="108"/>
      <c r="AS37" s="108"/>
      <c r="AT37" s="108"/>
      <c r="AU37" s="428"/>
      <c r="AV37" s="121"/>
      <c r="AW37" s="121"/>
      <c r="AX37" s="428"/>
    </row>
    <row r="38" spans="1:50" hidden="1">
      <c r="A38" s="484"/>
      <c r="B38" s="500"/>
      <c r="C38" s="455"/>
      <c r="D38" s="468"/>
      <c r="E38" s="194"/>
      <c r="F38" s="433"/>
      <c r="G38" s="134"/>
      <c r="H38" s="188" t="s">
        <v>15</v>
      </c>
      <c r="I38" s="215">
        <f>10722+10053</f>
        <v>20775</v>
      </c>
      <c r="J38" s="213">
        <f>7594+10955</f>
        <v>18549</v>
      </c>
      <c r="K38" s="214">
        <f>6795+5480+2412</f>
        <v>14687</v>
      </c>
      <c r="L38" s="215">
        <f>9845+9744</f>
        <v>19589</v>
      </c>
      <c r="M38" s="215">
        <f>9845+9744</f>
        <v>19589</v>
      </c>
      <c r="N38" s="215">
        <f>11826+8169</f>
        <v>19995</v>
      </c>
      <c r="O38" s="215">
        <f>11818+8132</f>
        <v>19950</v>
      </c>
      <c r="P38" s="215">
        <f>11818+8132</f>
        <v>19950</v>
      </c>
      <c r="Q38" s="213">
        <f>7594+10955</f>
        <v>18549</v>
      </c>
      <c r="R38" s="214">
        <f>6795+5480+2412</f>
        <v>14687</v>
      </c>
      <c r="S38" s="242">
        <f>10193+11275</f>
        <v>21468</v>
      </c>
      <c r="T38" s="215">
        <f>10193+11275</f>
        <v>21468</v>
      </c>
      <c r="U38" s="215">
        <f>10824+8177</f>
        <v>19001</v>
      </c>
      <c r="V38" s="215">
        <f>10824+8177</f>
        <v>19001</v>
      </c>
      <c r="W38" s="215">
        <f>6371+5506</f>
        <v>11877</v>
      </c>
      <c r="X38" s="213">
        <f>7594+10955</f>
        <v>18549</v>
      </c>
      <c r="Y38" s="214">
        <f>6795+5480+2412</f>
        <v>14687</v>
      </c>
      <c r="Z38" s="215"/>
      <c r="AA38" s="215"/>
      <c r="AB38" s="215"/>
      <c r="AC38" s="215"/>
      <c r="AD38" s="215"/>
      <c r="AE38" s="213">
        <f>7594+10955</f>
        <v>18549</v>
      </c>
      <c r="AF38" s="214">
        <f>6795+5480+2412</f>
        <v>14687</v>
      </c>
      <c r="AG38" s="215"/>
      <c r="AH38" s="215"/>
      <c r="AI38" s="215"/>
      <c r="AJ38" s="215"/>
      <c r="AK38" s="255"/>
      <c r="AL38" s="213">
        <f>7594+10955</f>
        <v>18549</v>
      </c>
      <c r="AM38" s="214">
        <f>6795+5480+2412</f>
        <v>14687</v>
      </c>
      <c r="AN38" s="253">
        <f>SUM(I38:AM38)</f>
        <v>378843</v>
      </c>
      <c r="AO38" s="108"/>
      <c r="AP38" s="108"/>
      <c r="AQ38" s="108"/>
      <c r="AR38" s="108"/>
      <c r="AS38" s="108"/>
      <c r="AT38" s="108"/>
      <c r="AU38" s="428"/>
      <c r="AV38" s="121"/>
      <c r="AW38" s="121"/>
      <c r="AX38" s="428"/>
    </row>
    <row r="39" spans="1:50" hidden="1">
      <c r="A39" s="484"/>
      <c r="B39" s="500"/>
      <c r="C39" s="455"/>
      <c r="D39" s="468"/>
      <c r="E39" s="194"/>
      <c r="F39" s="433"/>
      <c r="G39" s="190" t="s">
        <v>37</v>
      </c>
      <c r="H39" s="187" t="s">
        <v>38</v>
      </c>
      <c r="I39" s="212">
        <f t="shared" ref="I39:L39" si="12">$I$47*2</f>
        <v>30600</v>
      </c>
      <c r="J39" s="213">
        <f t="shared" si="12"/>
        <v>30600</v>
      </c>
      <c r="K39" s="214">
        <f t="shared" si="12"/>
        <v>30600</v>
      </c>
      <c r="L39" s="212">
        <f t="shared" si="12"/>
        <v>30600</v>
      </c>
      <c r="M39" s="212">
        <f t="shared" ref="M39:S39" si="13">$I$47*2</f>
        <v>30600</v>
      </c>
      <c r="N39" s="212">
        <f t="shared" si="13"/>
        <v>30600</v>
      </c>
      <c r="O39" s="212">
        <f t="shared" si="13"/>
        <v>30600</v>
      </c>
      <c r="P39" s="212">
        <f t="shared" si="13"/>
        <v>30600</v>
      </c>
      <c r="Q39" s="213">
        <f t="shared" si="13"/>
        <v>30600</v>
      </c>
      <c r="R39" s="214">
        <f t="shared" si="13"/>
        <v>30600</v>
      </c>
      <c r="S39" s="242">
        <f t="shared" si="13"/>
        <v>30600</v>
      </c>
      <c r="T39" s="212">
        <f t="shared" ref="T39:Z39" si="14">$I$47*2</f>
        <v>30600</v>
      </c>
      <c r="U39" s="212">
        <f t="shared" si="14"/>
        <v>30600</v>
      </c>
      <c r="V39" s="212">
        <f t="shared" si="14"/>
        <v>30600</v>
      </c>
      <c r="W39" s="212">
        <f t="shared" si="14"/>
        <v>30600</v>
      </c>
      <c r="X39" s="213">
        <f t="shared" si="14"/>
        <v>30600</v>
      </c>
      <c r="Y39" s="214">
        <f t="shared" si="14"/>
        <v>30600</v>
      </c>
      <c r="Z39" s="212">
        <f t="shared" si="14"/>
        <v>30600</v>
      </c>
      <c r="AA39" s="212">
        <f t="shared" ref="AA39:AG39" si="15">$I$47*2</f>
        <v>30600</v>
      </c>
      <c r="AB39" s="212">
        <f t="shared" si="15"/>
        <v>30600</v>
      </c>
      <c r="AC39" s="212">
        <f t="shared" si="15"/>
        <v>30600</v>
      </c>
      <c r="AD39" s="212">
        <f t="shared" si="15"/>
        <v>30600</v>
      </c>
      <c r="AE39" s="213">
        <f t="shared" si="15"/>
        <v>30600</v>
      </c>
      <c r="AF39" s="214">
        <f t="shared" si="15"/>
        <v>30600</v>
      </c>
      <c r="AG39" s="212">
        <f t="shared" si="15"/>
        <v>30600</v>
      </c>
      <c r="AH39" s="212">
        <f t="shared" ref="AH39:AM39" si="16">$I$47*2</f>
        <v>30600</v>
      </c>
      <c r="AI39" s="212">
        <f t="shared" si="16"/>
        <v>30600</v>
      </c>
      <c r="AJ39" s="212">
        <f t="shared" si="16"/>
        <v>30600</v>
      </c>
      <c r="AK39" s="255"/>
      <c r="AL39" s="213">
        <f t="shared" si="16"/>
        <v>30600</v>
      </c>
      <c r="AM39" s="214">
        <f t="shared" si="16"/>
        <v>30600</v>
      </c>
      <c r="AN39" s="256">
        <f>SUM(I39:AM39)</f>
        <v>918000</v>
      </c>
      <c r="AO39" s="108"/>
      <c r="AP39" s="108"/>
      <c r="AQ39" s="108"/>
      <c r="AR39" s="108"/>
      <c r="AS39" s="108"/>
      <c r="AT39" s="108"/>
      <c r="AU39" s="428"/>
      <c r="AV39" s="121"/>
      <c r="AW39" s="121"/>
      <c r="AX39" s="428"/>
    </row>
    <row r="40" spans="1:50" hidden="1">
      <c r="A40" s="484"/>
      <c r="B40" s="500"/>
      <c r="C40" s="455"/>
      <c r="D40" s="468"/>
      <c r="E40" s="194"/>
      <c r="F40" s="433"/>
      <c r="G40" s="190"/>
      <c r="H40" s="187" t="s">
        <v>20</v>
      </c>
      <c r="I40" s="212">
        <v>4</v>
      </c>
      <c r="J40" s="213">
        <v>4</v>
      </c>
      <c r="K40" s="214">
        <v>4</v>
      </c>
      <c r="L40" s="212">
        <v>4</v>
      </c>
      <c r="M40" s="212">
        <v>4</v>
      </c>
      <c r="N40" s="212">
        <v>4</v>
      </c>
      <c r="O40" s="212">
        <v>4</v>
      </c>
      <c r="P40" s="212">
        <v>4</v>
      </c>
      <c r="Q40" s="213">
        <v>4</v>
      </c>
      <c r="R40" s="214">
        <v>4</v>
      </c>
      <c r="S40" s="242">
        <v>4</v>
      </c>
      <c r="T40" s="212">
        <v>4</v>
      </c>
      <c r="U40" s="212">
        <v>4</v>
      </c>
      <c r="V40" s="212">
        <v>4</v>
      </c>
      <c r="W40" s="212">
        <v>4</v>
      </c>
      <c r="X40" s="213">
        <v>4</v>
      </c>
      <c r="Y40" s="214">
        <v>4</v>
      </c>
      <c r="Z40" s="212">
        <v>4</v>
      </c>
      <c r="AA40" s="212">
        <v>4</v>
      </c>
      <c r="AB40" s="212">
        <v>4</v>
      </c>
      <c r="AC40" s="212">
        <v>4</v>
      </c>
      <c r="AD40" s="212">
        <v>4</v>
      </c>
      <c r="AE40" s="213">
        <v>4</v>
      </c>
      <c r="AF40" s="214">
        <v>4</v>
      </c>
      <c r="AG40" s="212">
        <v>4</v>
      </c>
      <c r="AH40" s="212">
        <v>4</v>
      </c>
      <c r="AI40" s="212">
        <v>4</v>
      </c>
      <c r="AJ40" s="212">
        <v>4</v>
      </c>
      <c r="AK40" s="255"/>
      <c r="AL40" s="213">
        <v>4</v>
      </c>
      <c r="AM40" s="214">
        <v>4</v>
      </c>
      <c r="AN40" s="256"/>
      <c r="AO40" s="108"/>
      <c r="AP40" s="108"/>
      <c r="AQ40" s="108"/>
      <c r="AR40" s="108"/>
      <c r="AS40" s="108"/>
      <c r="AT40" s="108"/>
      <c r="AU40" s="428"/>
      <c r="AV40" s="121"/>
      <c r="AW40" s="121"/>
      <c r="AX40" s="428"/>
    </row>
    <row r="41" spans="1:50" hidden="1">
      <c r="A41" s="484"/>
      <c r="B41" s="500"/>
      <c r="C41" s="455"/>
      <c r="D41" s="468"/>
      <c r="E41" s="194"/>
      <c r="F41" s="433"/>
      <c r="G41" s="134"/>
      <c r="H41" s="188" t="s">
        <v>15</v>
      </c>
      <c r="I41" s="215">
        <f>5888+6598+6952+6165</f>
        <v>25603</v>
      </c>
      <c r="J41" s="213">
        <v>27203</v>
      </c>
      <c r="K41" s="214">
        <v>21342</v>
      </c>
      <c r="L41" s="215">
        <v>19919</v>
      </c>
      <c r="M41" s="215">
        <v>19919</v>
      </c>
      <c r="N41" s="215">
        <f>4161</f>
        <v>4161</v>
      </c>
      <c r="O41" s="215"/>
      <c r="P41" s="215"/>
      <c r="Q41" s="213">
        <v>27203</v>
      </c>
      <c r="R41" s="214">
        <v>21342</v>
      </c>
      <c r="S41" s="242"/>
      <c r="T41" s="215"/>
      <c r="U41" s="215">
        <v>7779</v>
      </c>
      <c r="V41" s="215">
        <v>7779</v>
      </c>
      <c r="W41" s="215">
        <f>6401+6468+6288+6749</f>
        <v>25906</v>
      </c>
      <c r="X41" s="213">
        <v>27203</v>
      </c>
      <c r="Y41" s="214">
        <v>21342</v>
      </c>
      <c r="Z41" s="215"/>
      <c r="AA41" s="215"/>
      <c r="AB41" s="215"/>
      <c r="AC41" s="215"/>
      <c r="AD41" s="215"/>
      <c r="AE41" s="213">
        <v>27203</v>
      </c>
      <c r="AF41" s="214">
        <v>21342</v>
      </c>
      <c r="AG41" s="215"/>
      <c r="AH41" s="215"/>
      <c r="AI41" s="215"/>
      <c r="AJ41" s="215"/>
      <c r="AK41" s="255"/>
      <c r="AL41" s="213">
        <v>27203</v>
      </c>
      <c r="AM41" s="214">
        <v>21342</v>
      </c>
      <c r="AN41" s="253">
        <f>SUM(I41:AM41)</f>
        <v>353791</v>
      </c>
      <c r="AO41" s="108"/>
      <c r="AP41" s="108"/>
      <c r="AQ41" s="108"/>
      <c r="AR41" s="108"/>
      <c r="AS41" s="108"/>
      <c r="AT41" s="108"/>
      <c r="AU41" s="428"/>
      <c r="AV41" s="121"/>
      <c r="AW41" s="121"/>
      <c r="AX41" s="428"/>
    </row>
    <row r="42" spans="1:50" hidden="1">
      <c r="A42" s="484"/>
      <c r="B42" s="500"/>
      <c r="C42" s="455"/>
      <c r="D42" s="468"/>
      <c r="E42" s="194"/>
      <c r="F42" s="433"/>
      <c r="G42" s="190" t="s">
        <v>23</v>
      </c>
      <c r="H42" s="187" t="s">
        <v>24</v>
      </c>
      <c r="I42" s="212">
        <f t="shared" ref="I42:I47" si="17">$K$55*$D$30/2</f>
        <v>15300</v>
      </c>
      <c r="J42" s="213">
        <f t="shared" ref="J42:J47" si="18">$K$55*$D$30/2</f>
        <v>15300</v>
      </c>
      <c r="K42" s="214">
        <f t="shared" ref="K42:K47" si="19">$K$55*$D$30/2</f>
        <v>15300</v>
      </c>
      <c r="L42" s="212">
        <f t="shared" ref="L42:L47" si="20">$K$55*$D$30/2</f>
        <v>15300</v>
      </c>
      <c r="M42" s="212">
        <f t="shared" ref="M42:M47" si="21">$K$55*$D$30/2</f>
        <v>15300</v>
      </c>
      <c r="N42" s="212">
        <f t="shared" ref="N42:N47" si="22">$K$55*$D$30/2</f>
        <v>15300</v>
      </c>
      <c r="O42" s="212">
        <f t="shared" ref="O42:O47" si="23">$K$55*$D$30/2</f>
        <v>15300</v>
      </c>
      <c r="P42" s="212">
        <f t="shared" ref="P42:P47" si="24">$K$55*$D$30/2</f>
        <v>15300</v>
      </c>
      <c r="Q42" s="213">
        <f t="shared" ref="Q42:Q47" si="25">$K$55*$D$30/2</f>
        <v>15300</v>
      </c>
      <c r="R42" s="214">
        <f t="shared" ref="R42:R47" si="26">$K$55*$D$30/2</f>
        <v>15300</v>
      </c>
      <c r="S42" s="242">
        <f t="shared" ref="S42:S47" si="27">$K$55*$D$30/2</f>
        <v>15300</v>
      </c>
      <c r="T42" s="212">
        <f t="shared" ref="T42:T47" si="28">$K$55*$D$30/2</f>
        <v>15300</v>
      </c>
      <c r="U42" s="212">
        <f t="shared" ref="U42:U47" si="29">$K$55*$D$30/2</f>
        <v>15300</v>
      </c>
      <c r="V42" s="212">
        <f t="shared" ref="V42:V47" si="30">$K$55*$D$30/2</f>
        <v>15300</v>
      </c>
      <c r="W42" s="212">
        <f t="shared" ref="W42:W47" si="31">$K$55*$D$30/2</f>
        <v>15300</v>
      </c>
      <c r="X42" s="213">
        <f t="shared" ref="X42:X47" si="32">$K$55*$D$30/2</f>
        <v>15300</v>
      </c>
      <c r="Y42" s="214">
        <f t="shared" ref="Y42:Y47" si="33">$K$55*$D$30/2</f>
        <v>15300</v>
      </c>
      <c r="Z42" s="212">
        <f t="shared" ref="Z42:Z47" si="34">$K$55*$D$30/2</f>
        <v>15300</v>
      </c>
      <c r="AA42" s="212">
        <f t="shared" ref="AA42:AA47" si="35">$K$55*$D$30/2</f>
        <v>15300</v>
      </c>
      <c r="AB42" s="212">
        <f t="shared" ref="AB42:AB47" si="36">$K$55*$D$30/2</f>
        <v>15300</v>
      </c>
      <c r="AC42" s="212">
        <f t="shared" ref="AC42:AC47" si="37">$K$55*$D$30/2</f>
        <v>15300</v>
      </c>
      <c r="AD42" s="212">
        <f t="shared" ref="AD42:AD47" si="38">$K$55*$D$30/2</f>
        <v>15300</v>
      </c>
      <c r="AE42" s="213">
        <f t="shared" ref="AE42:AE47" si="39">$K$55*$D$30/2</f>
        <v>15300</v>
      </c>
      <c r="AF42" s="214">
        <f t="shared" ref="AF42:AF47" si="40">$K$55*$D$30/2</f>
        <v>15300</v>
      </c>
      <c r="AG42" s="212">
        <f t="shared" ref="AG42:AG47" si="41">$K$55*$D$30/2</f>
        <v>15300</v>
      </c>
      <c r="AH42" s="212">
        <f t="shared" ref="AH42:AH47" si="42">$K$55*$D$30/2</f>
        <v>15300</v>
      </c>
      <c r="AI42" s="212">
        <f t="shared" ref="AI42:AI47" si="43">$K$55*$D$30/2</f>
        <v>15300</v>
      </c>
      <c r="AJ42" s="212">
        <f t="shared" ref="AJ42:AJ47" si="44">$K$55*$D$30/2</f>
        <v>15300</v>
      </c>
      <c r="AK42" s="255"/>
      <c r="AL42" s="213">
        <f t="shared" ref="AL42:AL47" si="45">$K$55*$D$30/2</f>
        <v>15300</v>
      </c>
      <c r="AM42" s="214">
        <f t="shared" ref="AM42:AM47" si="46">$K$55*$D$30/2</f>
        <v>15300</v>
      </c>
      <c r="AN42" s="256">
        <f>SUM(I42:AM42)</f>
        <v>459000</v>
      </c>
      <c r="AO42" s="108"/>
      <c r="AP42" s="108"/>
      <c r="AQ42" s="108"/>
      <c r="AR42" s="108"/>
      <c r="AS42" s="108"/>
      <c r="AT42" s="108"/>
      <c r="AU42" s="428"/>
      <c r="AV42" s="121"/>
      <c r="AW42" s="121"/>
      <c r="AX42" s="428"/>
    </row>
    <row r="43" spans="1:50" hidden="1">
      <c r="A43" s="484"/>
      <c r="B43" s="500"/>
      <c r="C43" s="455"/>
      <c r="D43" s="468"/>
      <c r="E43" s="194"/>
      <c r="F43" s="433"/>
      <c r="G43" s="134"/>
      <c r="H43" s="188" t="s">
        <v>15</v>
      </c>
      <c r="I43" s="215">
        <f>16730</f>
        <v>16730</v>
      </c>
      <c r="J43" s="213"/>
      <c r="K43" s="214"/>
      <c r="L43" s="215"/>
      <c r="M43" s="215"/>
      <c r="N43" s="215"/>
      <c r="O43" s="215"/>
      <c r="P43" s="215"/>
      <c r="Q43" s="213"/>
      <c r="R43" s="214"/>
      <c r="S43" s="242"/>
      <c r="T43" s="215"/>
      <c r="U43" s="215">
        <f>11280+23744</f>
        <v>35024</v>
      </c>
      <c r="V43" s="215">
        <f>11280+23744</f>
        <v>35024</v>
      </c>
      <c r="W43" s="215"/>
      <c r="X43" s="213"/>
      <c r="Y43" s="214"/>
      <c r="Z43" s="215"/>
      <c r="AA43" s="215"/>
      <c r="AB43" s="215"/>
      <c r="AC43" s="215"/>
      <c r="AD43" s="215"/>
      <c r="AE43" s="213"/>
      <c r="AF43" s="214"/>
      <c r="AG43" s="215"/>
      <c r="AH43" s="215"/>
      <c r="AI43" s="215"/>
      <c r="AJ43" s="215"/>
      <c r="AK43" s="255"/>
      <c r="AL43" s="213"/>
      <c r="AM43" s="214"/>
      <c r="AN43" s="253">
        <f>SUM(I43:AM43)</f>
        <v>86778</v>
      </c>
      <c r="AO43" s="108"/>
      <c r="AP43" s="108"/>
      <c r="AQ43" s="108"/>
      <c r="AR43" s="108"/>
      <c r="AS43" s="108"/>
      <c r="AT43" s="108"/>
      <c r="AU43" s="428"/>
      <c r="AV43" s="121"/>
      <c r="AW43" s="121"/>
      <c r="AX43" s="428"/>
    </row>
    <row r="44" spans="1:50" hidden="1">
      <c r="A44" s="484"/>
      <c r="B44" s="500"/>
      <c r="C44" s="455"/>
      <c r="D44" s="468"/>
      <c r="E44" s="194"/>
      <c r="F44" s="433"/>
      <c r="G44" s="190" t="s">
        <v>25</v>
      </c>
      <c r="H44" s="187" t="s">
        <v>26</v>
      </c>
      <c r="I44" s="212">
        <f t="shared" si="17"/>
        <v>15300</v>
      </c>
      <c r="J44" s="213">
        <f t="shared" si="18"/>
        <v>15300</v>
      </c>
      <c r="K44" s="214">
        <f t="shared" si="19"/>
        <v>15300</v>
      </c>
      <c r="L44" s="212">
        <f t="shared" si="20"/>
        <v>15300</v>
      </c>
      <c r="M44" s="212">
        <f t="shared" si="21"/>
        <v>15300</v>
      </c>
      <c r="N44" s="212">
        <f t="shared" si="22"/>
        <v>15300</v>
      </c>
      <c r="O44" s="212">
        <f t="shared" si="23"/>
        <v>15300</v>
      </c>
      <c r="P44" s="212">
        <f t="shared" si="24"/>
        <v>15300</v>
      </c>
      <c r="Q44" s="213">
        <f t="shared" si="25"/>
        <v>15300</v>
      </c>
      <c r="R44" s="214">
        <f t="shared" si="26"/>
        <v>15300</v>
      </c>
      <c r="S44" s="242">
        <f t="shared" si="27"/>
        <v>15300</v>
      </c>
      <c r="T44" s="212">
        <f t="shared" si="28"/>
        <v>15300</v>
      </c>
      <c r="U44" s="212">
        <f t="shared" si="29"/>
        <v>15300</v>
      </c>
      <c r="V44" s="212">
        <f t="shared" si="30"/>
        <v>15300</v>
      </c>
      <c r="W44" s="212">
        <f t="shared" si="31"/>
        <v>15300</v>
      </c>
      <c r="X44" s="213">
        <f t="shared" si="32"/>
        <v>15300</v>
      </c>
      <c r="Y44" s="214">
        <f t="shared" si="33"/>
        <v>15300</v>
      </c>
      <c r="Z44" s="212">
        <f t="shared" si="34"/>
        <v>15300</v>
      </c>
      <c r="AA44" s="212">
        <f t="shared" si="35"/>
        <v>15300</v>
      </c>
      <c r="AB44" s="212">
        <f t="shared" si="36"/>
        <v>15300</v>
      </c>
      <c r="AC44" s="212">
        <f t="shared" si="37"/>
        <v>15300</v>
      </c>
      <c r="AD44" s="212">
        <f t="shared" si="38"/>
        <v>15300</v>
      </c>
      <c r="AE44" s="213">
        <f t="shared" si="39"/>
        <v>15300</v>
      </c>
      <c r="AF44" s="214">
        <f t="shared" si="40"/>
        <v>15300</v>
      </c>
      <c r="AG44" s="212">
        <f t="shared" si="41"/>
        <v>15300</v>
      </c>
      <c r="AH44" s="212">
        <f t="shared" si="42"/>
        <v>15300</v>
      </c>
      <c r="AI44" s="212">
        <f t="shared" si="43"/>
        <v>15300</v>
      </c>
      <c r="AJ44" s="212">
        <f t="shared" si="44"/>
        <v>15300</v>
      </c>
      <c r="AK44" s="255"/>
      <c r="AL44" s="213">
        <f t="shared" si="45"/>
        <v>15300</v>
      </c>
      <c r="AM44" s="214">
        <f t="shared" si="46"/>
        <v>15300</v>
      </c>
      <c r="AN44" s="256">
        <f>SUM(I44:AM44)</f>
        <v>459000</v>
      </c>
      <c r="AO44" s="108"/>
      <c r="AP44" s="108"/>
      <c r="AQ44" s="108"/>
      <c r="AR44" s="108"/>
      <c r="AS44" s="108"/>
      <c r="AT44" s="108"/>
      <c r="AU44" s="428"/>
      <c r="AV44" s="121"/>
      <c r="AW44" s="121"/>
      <c r="AX44" s="428"/>
    </row>
    <row r="45" spans="1:50" hidden="1">
      <c r="A45" s="484"/>
      <c r="B45" s="500"/>
      <c r="C45" s="455"/>
      <c r="D45" s="468"/>
      <c r="E45" s="194"/>
      <c r="F45" s="433"/>
      <c r="G45" s="190"/>
      <c r="H45" s="187" t="s">
        <v>27</v>
      </c>
      <c r="I45" s="212">
        <v>1</v>
      </c>
      <c r="J45" s="213">
        <v>1</v>
      </c>
      <c r="K45" s="214">
        <v>1</v>
      </c>
      <c r="L45" s="212">
        <v>1</v>
      </c>
      <c r="M45" s="212">
        <v>1</v>
      </c>
      <c r="N45" s="212">
        <v>1</v>
      </c>
      <c r="O45" s="212">
        <v>1</v>
      </c>
      <c r="P45" s="212">
        <v>1</v>
      </c>
      <c r="Q45" s="213">
        <v>1</v>
      </c>
      <c r="R45" s="214">
        <v>1</v>
      </c>
      <c r="S45" s="242">
        <v>1</v>
      </c>
      <c r="T45" s="212">
        <v>1</v>
      </c>
      <c r="U45" s="212">
        <v>1</v>
      </c>
      <c r="V45" s="212">
        <v>1</v>
      </c>
      <c r="W45" s="212">
        <v>1</v>
      </c>
      <c r="X45" s="213">
        <v>1</v>
      </c>
      <c r="Y45" s="214">
        <v>1</v>
      </c>
      <c r="Z45" s="212">
        <v>1</v>
      </c>
      <c r="AA45" s="212">
        <v>1</v>
      </c>
      <c r="AB45" s="212">
        <v>1</v>
      </c>
      <c r="AC45" s="212">
        <v>1</v>
      </c>
      <c r="AD45" s="212">
        <v>1</v>
      </c>
      <c r="AE45" s="213">
        <v>1</v>
      </c>
      <c r="AF45" s="214">
        <v>1</v>
      </c>
      <c r="AG45" s="212">
        <v>1</v>
      </c>
      <c r="AH45" s="212">
        <v>1</v>
      </c>
      <c r="AI45" s="212">
        <v>1</v>
      </c>
      <c r="AJ45" s="212">
        <v>1</v>
      </c>
      <c r="AK45" s="255"/>
      <c r="AL45" s="213">
        <v>1</v>
      </c>
      <c r="AM45" s="214">
        <v>1</v>
      </c>
      <c r="AN45" s="256"/>
      <c r="AO45" s="108"/>
      <c r="AP45" s="108"/>
      <c r="AQ45" s="108"/>
      <c r="AR45" s="108"/>
      <c r="AS45" s="108"/>
      <c r="AT45" s="108"/>
      <c r="AU45" s="428"/>
      <c r="AV45" s="121"/>
      <c r="AW45" s="121"/>
      <c r="AX45" s="428"/>
    </row>
    <row r="46" spans="1:50" hidden="1">
      <c r="A46" s="484"/>
      <c r="B46" s="500"/>
      <c r="C46" s="455"/>
      <c r="D46" s="468"/>
      <c r="E46" s="194"/>
      <c r="F46" s="433"/>
      <c r="G46" s="197"/>
      <c r="H46" s="188" t="s">
        <v>15</v>
      </c>
      <c r="I46" s="215">
        <f>15130</f>
        <v>15130</v>
      </c>
      <c r="J46" s="213">
        <f>27685</f>
        <v>27685</v>
      </c>
      <c r="K46" s="214">
        <f>25905</f>
        <v>25905</v>
      </c>
      <c r="L46" s="215">
        <f>25905</f>
        <v>25905</v>
      </c>
      <c r="M46" s="215">
        <f>25905</f>
        <v>25905</v>
      </c>
      <c r="N46" s="215"/>
      <c r="O46" s="215">
        <f>26779</f>
        <v>26779</v>
      </c>
      <c r="P46" s="215">
        <f>26779</f>
        <v>26779</v>
      </c>
      <c r="Q46" s="213">
        <f>27685</f>
        <v>27685</v>
      </c>
      <c r="R46" s="214">
        <f>25905</f>
        <v>25905</v>
      </c>
      <c r="S46" s="242"/>
      <c r="T46" s="215"/>
      <c r="U46" s="215">
        <f>19530</f>
        <v>19530</v>
      </c>
      <c r="V46" s="215">
        <f>19530</f>
        <v>19530</v>
      </c>
      <c r="W46" s="215"/>
      <c r="X46" s="213">
        <f>27685</f>
        <v>27685</v>
      </c>
      <c r="Y46" s="214">
        <f>25905</f>
        <v>25905</v>
      </c>
      <c r="Z46" s="215"/>
      <c r="AA46" s="215"/>
      <c r="AB46" s="215"/>
      <c r="AC46" s="215"/>
      <c r="AD46" s="215"/>
      <c r="AE46" s="213">
        <f>27685</f>
        <v>27685</v>
      </c>
      <c r="AF46" s="214">
        <f>25905</f>
        <v>25905</v>
      </c>
      <c r="AG46" s="215"/>
      <c r="AH46" s="215"/>
      <c r="AI46" s="215"/>
      <c r="AJ46" s="215"/>
      <c r="AK46" s="255"/>
      <c r="AL46" s="213">
        <f>27685</f>
        <v>27685</v>
      </c>
      <c r="AM46" s="214">
        <f>25905</f>
        <v>25905</v>
      </c>
      <c r="AN46" s="253">
        <f>SUM(I46:AM46)</f>
        <v>427508</v>
      </c>
      <c r="AO46" s="108"/>
      <c r="AP46" s="108"/>
      <c r="AQ46" s="108"/>
      <c r="AR46" s="108"/>
      <c r="AS46" s="108"/>
      <c r="AT46" s="108"/>
      <c r="AU46" s="428"/>
      <c r="AV46" s="121"/>
      <c r="AW46" s="121"/>
      <c r="AX46" s="428"/>
    </row>
    <row r="47" spans="1:50" hidden="1">
      <c r="A47" s="484"/>
      <c r="B47" s="500"/>
      <c r="C47" s="455"/>
      <c r="D47" s="468"/>
      <c r="E47" s="194"/>
      <c r="F47" s="433"/>
      <c r="G47" s="190" t="s">
        <v>28</v>
      </c>
      <c r="H47" s="187" t="s">
        <v>29</v>
      </c>
      <c r="I47" s="212">
        <f t="shared" si="17"/>
        <v>15300</v>
      </c>
      <c r="J47" s="213">
        <f t="shared" si="18"/>
        <v>15300</v>
      </c>
      <c r="K47" s="214">
        <f t="shared" si="19"/>
        <v>15300</v>
      </c>
      <c r="L47" s="212">
        <f t="shared" si="20"/>
        <v>15300</v>
      </c>
      <c r="M47" s="212">
        <f t="shared" si="21"/>
        <v>15300</v>
      </c>
      <c r="N47" s="212">
        <f t="shared" si="22"/>
        <v>15300</v>
      </c>
      <c r="O47" s="212">
        <f t="shared" si="23"/>
        <v>15300</v>
      </c>
      <c r="P47" s="212">
        <f t="shared" si="24"/>
        <v>15300</v>
      </c>
      <c r="Q47" s="213">
        <f t="shared" si="25"/>
        <v>15300</v>
      </c>
      <c r="R47" s="214">
        <f t="shared" si="26"/>
        <v>15300</v>
      </c>
      <c r="S47" s="242">
        <f t="shared" si="27"/>
        <v>15300</v>
      </c>
      <c r="T47" s="212">
        <f t="shared" si="28"/>
        <v>15300</v>
      </c>
      <c r="U47" s="212">
        <f t="shared" si="29"/>
        <v>15300</v>
      </c>
      <c r="V47" s="212">
        <f t="shared" si="30"/>
        <v>15300</v>
      </c>
      <c r="W47" s="212">
        <f t="shared" si="31"/>
        <v>15300</v>
      </c>
      <c r="X47" s="213">
        <f t="shared" si="32"/>
        <v>15300</v>
      </c>
      <c r="Y47" s="214">
        <f t="shared" si="33"/>
        <v>15300</v>
      </c>
      <c r="Z47" s="212">
        <f t="shared" si="34"/>
        <v>15300</v>
      </c>
      <c r="AA47" s="212">
        <f t="shared" si="35"/>
        <v>15300</v>
      </c>
      <c r="AB47" s="212">
        <f t="shared" si="36"/>
        <v>15300</v>
      </c>
      <c r="AC47" s="212">
        <f t="shared" si="37"/>
        <v>15300</v>
      </c>
      <c r="AD47" s="212">
        <f t="shared" si="38"/>
        <v>15300</v>
      </c>
      <c r="AE47" s="213">
        <f t="shared" si="39"/>
        <v>15300</v>
      </c>
      <c r="AF47" s="214">
        <f t="shared" si="40"/>
        <v>15300</v>
      </c>
      <c r="AG47" s="212">
        <f t="shared" si="41"/>
        <v>15300</v>
      </c>
      <c r="AH47" s="212">
        <f t="shared" si="42"/>
        <v>15300</v>
      </c>
      <c r="AI47" s="212">
        <f t="shared" si="43"/>
        <v>15300</v>
      </c>
      <c r="AJ47" s="212">
        <f t="shared" si="44"/>
        <v>15300</v>
      </c>
      <c r="AK47" s="255"/>
      <c r="AL47" s="213">
        <f t="shared" si="45"/>
        <v>15300</v>
      </c>
      <c r="AM47" s="214">
        <f t="shared" si="46"/>
        <v>15300</v>
      </c>
      <c r="AN47" s="256">
        <f>SUM(I47:AM47)</f>
        <v>459000</v>
      </c>
      <c r="AO47" s="108"/>
      <c r="AP47" s="108"/>
      <c r="AQ47" s="108"/>
      <c r="AR47" s="108"/>
      <c r="AS47" s="108"/>
      <c r="AT47" s="108"/>
      <c r="AU47" s="428"/>
      <c r="AV47" s="121"/>
      <c r="AW47" s="121"/>
      <c r="AX47" s="428"/>
    </row>
    <row r="48" spans="1:50" hidden="1">
      <c r="A48" s="484"/>
      <c r="B48" s="500"/>
      <c r="C48" s="455"/>
      <c r="D48" s="468"/>
      <c r="E48" s="194"/>
      <c r="F48" s="433"/>
      <c r="G48" s="134"/>
      <c r="H48" s="188" t="s">
        <v>15</v>
      </c>
      <c r="I48" s="215">
        <f>41155</f>
        <v>41155</v>
      </c>
      <c r="J48" s="213">
        <f>45917</f>
        <v>45917</v>
      </c>
      <c r="K48" s="214"/>
      <c r="L48" s="215"/>
      <c r="M48" s="215"/>
      <c r="N48" s="215"/>
      <c r="O48" s="215"/>
      <c r="P48" s="215"/>
      <c r="Q48" s="213">
        <f>45917</f>
        <v>45917</v>
      </c>
      <c r="R48" s="214"/>
      <c r="S48" s="242"/>
      <c r="T48" s="215"/>
      <c r="U48" s="215"/>
      <c r="V48" s="215"/>
      <c r="W48" s="215"/>
      <c r="X48" s="213">
        <f>45917</f>
        <v>45917</v>
      </c>
      <c r="Y48" s="214"/>
      <c r="Z48" s="215"/>
      <c r="AA48" s="215"/>
      <c r="AB48" s="215"/>
      <c r="AC48" s="215"/>
      <c r="AD48" s="215"/>
      <c r="AE48" s="213">
        <f>45917</f>
        <v>45917</v>
      </c>
      <c r="AF48" s="214"/>
      <c r="AG48" s="215"/>
      <c r="AH48" s="215"/>
      <c r="AI48" s="215"/>
      <c r="AJ48" s="215"/>
      <c r="AK48" s="255"/>
      <c r="AL48" s="213">
        <f>45917</f>
        <v>45917</v>
      </c>
      <c r="AM48" s="214"/>
      <c r="AN48" s="253">
        <f>SUM(I48:AM48)</f>
        <v>270740</v>
      </c>
      <c r="AO48" s="108"/>
      <c r="AP48" s="108"/>
      <c r="AQ48" s="108"/>
      <c r="AR48" s="108"/>
      <c r="AS48" s="108"/>
      <c r="AT48" s="108"/>
      <c r="AU48" s="428"/>
      <c r="AV48" s="121"/>
      <c r="AW48" s="121"/>
      <c r="AX48" s="428"/>
    </row>
    <row r="49" spans="1:50" hidden="1">
      <c r="A49" s="484"/>
      <c r="B49" s="500"/>
      <c r="C49" s="455"/>
      <c r="D49" s="468"/>
      <c r="E49" s="194"/>
      <c r="F49" s="433"/>
      <c r="G49" s="190" t="s">
        <v>39</v>
      </c>
      <c r="H49" s="187" t="s">
        <v>40</v>
      </c>
      <c r="I49" s="212">
        <f t="shared" ref="I49:AJ49" si="47">$K$55*$D$30/2</f>
        <v>15300</v>
      </c>
      <c r="J49" s="213">
        <f t="shared" si="47"/>
        <v>15300</v>
      </c>
      <c r="K49" s="214">
        <f t="shared" si="47"/>
        <v>15300</v>
      </c>
      <c r="L49" s="212">
        <f t="shared" si="47"/>
        <v>15300</v>
      </c>
      <c r="M49" s="212">
        <f t="shared" si="47"/>
        <v>15300</v>
      </c>
      <c r="N49" s="212">
        <f t="shared" si="47"/>
        <v>15300</v>
      </c>
      <c r="O49" s="212">
        <f t="shared" si="47"/>
        <v>15300</v>
      </c>
      <c r="P49" s="212">
        <f t="shared" si="47"/>
        <v>15300</v>
      </c>
      <c r="Q49" s="213">
        <f t="shared" si="47"/>
        <v>15300</v>
      </c>
      <c r="R49" s="214">
        <f t="shared" si="47"/>
        <v>15300</v>
      </c>
      <c r="S49" s="242">
        <f t="shared" si="47"/>
        <v>15300</v>
      </c>
      <c r="T49" s="212">
        <f t="shared" si="47"/>
        <v>15300</v>
      </c>
      <c r="U49" s="212">
        <f t="shared" si="47"/>
        <v>15300</v>
      </c>
      <c r="V49" s="212">
        <f t="shared" si="47"/>
        <v>15300</v>
      </c>
      <c r="W49" s="212">
        <f t="shared" si="47"/>
        <v>15300</v>
      </c>
      <c r="X49" s="213">
        <f t="shared" si="47"/>
        <v>15300</v>
      </c>
      <c r="Y49" s="214">
        <f t="shared" si="47"/>
        <v>15300</v>
      </c>
      <c r="Z49" s="212">
        <f t="shared" si="47"/>
        <v>15300</v>
      </c>
      <c r="AA49" s="212">
        <f t="shared" si="47"/>
        <v>15300</v>
      </c>
      <c r="AB49" s="212">
        <f t="shared" si="47"/>
        <v>15300</v>
      </c>
      <c r="AC49" s="212">
        <f t="shared" si="47"/>
        <v>15300</v>
      </c>
      <c r="AD49" s="212">
        <f t="shared" si="47"/>
        <v>15300</v>
      </c>
      <c r="AE49" s="213">
        <f t="shared" si="47"/>
        <v>15300</v>
      </c>
      <c r="AF49" s="214">
        <f t="shared" si="47"/>
        <v>15300</v>
      </c>
      <c r="AG49" s="212">
        <f t="shared" si="47"/>
        <v>15300</v>
      </c>
      <c r="AH49" s="212">
        <f t="shared" si="47"/>
        <v>15300</v>
      </c>
      <c r="AI49" s="212">
        <f t="shared" si="47"/>
        <v>15300</v>
      </c>
      <c r="AJ49" s="212">
        <f t="shared" si="47"/>
        <v>15300</v>
      </c>
      <c r="AK49" s="255"/>
      <c r="AL49" s="213">
        <f>$K$55*$D$30/2</f>
        <v>15300</v>
      </c>
      <c r="AM49" s="214">
        <f>$K$55*$D$30/2</f>
        <v>15300</v>
      </c>
      <c r="AN49" s="256">
        <f>SUM(I49:AM49)</f>
        <v>459000</v>
      </c>
      <c r="AO49" s="108"/>
      <c r="AP49" s="108"/>
      <c r="AQ49" s="108"/>
      <c r="AR49" s="108"/>
      <c r="AS49" s="108"/>
      <c r="AT49" s="108"/>
      <c r="AU49" s="428"/>
      <c r="AV49" s="121"/>
      <c r="AW49" s="121"/>
      <c r="AX49" s="428"/>
    </row>
    <row r="50" spans="1:50" hidden="1">
      <c r="A50" s="484"/>
      <c r="B50" s="500"/>
      <c r="C50" s="455"/>
      <c r="D50" s="468"/>
      <c r="E50" s="194"/>
      <c r="F50" s="433"/>
      <c r="G50" s="190"/>
      <c r="H50" s="187" t="s">
        <v>27</v>
      </c>
      <c r="I50" s="212">
        <v>1</v>
      </c>
      <c r="J50" s="213">
        <v>1</v>
      </c>
      <c r="K50" s="214">
        <v>1</v>
      </c>
      <c r="L50" s="212">
        <v>1</v>
      </c>
      <c r="M50" s="212">
        <v>1</v>
      </c>
      <c r="N50" s="212">
        <v>1</v>
      </c>
      <c r="O50" s="212">
        <v>1</v>
      </c>
      <c r="P50" s="212">
        <v>1</v>
      </c>
      <c r="Q50" s="213">
        <v>1</v>
      </c>
      <c r="R50" s="214">
        <v>1</v>
      </c>
      <c r="S50" s="242">
        <v>1</v>
      </c>
      <c r="T50" s="212">
        <v>1</v>
      </c>
      <c r="U50" s="212">
        <v>1</v>
      </c>
      <c r="V50" s="212">
        <v>1</v>
      </c>
      <c r="W50" s="212">
        <v>1</v>
      </c>
      <c r="X50" s="213">
        <v>1</v>
      </c>
      <c r="Y50" s="214">
        <v>1</v>
      </c>
      <c r="Z50" s="212">
        <v>1</v>
      </c>
      <c r="AA50" s="212">
        <v>1</v>
      </c>
      <c r="AB50" s="212">
        <v>1</v>
      </c>
      <c r="AC50" s="212">
        <v>1</v>
      </c>
      <c r="AD50" s="212">
        <v>1</v>
      </c>
      <c r="AE50" s="213">
        <v>1</v>
      </c>
      <c r="AF50" s="214">
        <v>1</v>
      </c>
      <c r="AG50" s="212">
        <v>1</v>
      </c>
      <c r="AH50" s="212">
        <v>1</v>
      </c>
      <c r="AI50" s="212">
        <v>1</v>
      </c>
      <c r="AJ50" s="212">
        <v>1</v>
      </c>
      <c r="AK50" s="255"/>
      <c r="AL50" s="213">
        <v>1</v>
      </c>
      <c r="AM50" s="214">
        <v>1</v>
      </c>
      <c r="AN50" s="256"/>
      <c r="AO50" s="267"/>
      <c r="AP50" s="267"/>
      <c r="AQ50" s="267"/>
      <c r="AR50" s="428"/>
      <c r="AS50" s="108"/>
      <c r="AT50" s="108"/>
      <c r="AU50" s="428"/>
      <c r="AV50" s="121"/>
      <c r="AW50" s="121"/>
      <c r="AX50" s="428"/>
    </row>
    <row r="51" spans="1:50" hidden="1">
      <c r="A51" s="484"/>
      <c r="B51" s="500"/>
      <c r="C51" s="455"/>
      <c r="D51" s="468"/>
      <c r="E51" s="194"/>
      <c r="F51" s="433"/>
      <c r="G51" s="134"/>
      <c r="H51" s="188" t="s">
        <v>15</v>
      </c>
      <c r="I51" s="215"/>
      <c r="J51" s="213"/>
      <c r="K51" s="214"/>
      <c r="L51" s="215"/>
      <c r="M51" s="215"/>
      <c r="N51" s="215">
        <f>23609</f>
        <v>23609</v>
      </c>
      <c r="O51" s="215">
        <f>33783</f>
        <v>33783</v>
      </c>
      <c r="P51" s="215">
        <f>33783</f>
        <v>33783</v>
      </c>
      <c r="Q51" s="213"/>
      <c r="R51" s="214"/>
      <c r="S51" s="242"/>
      <c r="T51" s="215"/>
      <c r="U51" s="215"/>
      <c r="V51" s="215"/>
      <c r="W51" s="215"/>
      <c r="X51" s="213"/>
      <c r="Y51" s="214"/>
      <c r="Z51" s="215"/>
      <c r="AA51" s="215"/>
      <c r="AB51" s="215"/>
      <c r="AC51" s="215"/>
      <c r="AD51" s="215"/>
      <c r="AE51" s="213"/>
      <c r="AF51" s="214"/>
      <c r="AG51" s="215"/>
      <c r="AH51" s="215"/>
      <c r="AI51" s="215"/>
      <c r="AJ51" s="215"/>
      <c r="AK51" s="255"/>
      <c r="AL51" s="213"/>
      <c r="AM51" s="214"/>
      <c r="AN51" s="253">
        <f>SUM(I51:AM51)</f>
        <v>91175</v>
      </c>
      <c r="AO51" s="267"/>
      <c r="AP51" s="267"/>
      <c r="AQ51" s="267"/>
      <c r="AR51" s="428"/>
      <c r="AS51" s="108"/>
      <c r="AT51" s="108"/>
      <c r="AU51" s="428"/>
      <c r="AV51" s="121"/>
      <c r="AW51" s="121"/>
      <c r="AX51" s="428"/>
    </row>
    <row r="52" spans="1:50" hidden="1">
      <c r="A52" s="484"/>
      <c r="B52" s="500"/>
      <c r="C52" s="455"/>
      <c r="D52" s="468"/>
      <c r="E52" s="194"/>
      <c r="F52" s="433"/>
      <c r="G52" s="190"/>
      <c r="H52" s="187" t="s">
        <v>30</v>
      </c>
      <c r="I52" s="212">
        <f t="shared" ref="I52:AJ52" si="48">$K$55*$D$30/2</f>
        <v>15300</v>
      </c>
      <c r="J52" s="213">
        <f t="shared" si="48"/>
        <v>15300</v>
      </c>
      <c r="K52" s="214">
        <f t="shared" si="48"/>
        <v>15300</v>
      </c>
      <c r="L52" s="212">
        <f t="shared" si="48"/>
        <v>15300</v>
      </c>
      <c r="M52" s="212">
        <f t="shared" si="48"/>
        <v>15300</v>
      </c>
      <c r="N52" s="212">
        <f t="shared" si="48"/>
        <v>15300</v>
      </c>
      <c r="O52" s="212">
        <f t="shared" si="48"/>
        <v>15300</v>
      </c>
      <c r="P52" s="212">
        <f t="shared" si="48"/>
        <v>15300</v>
      </c>
      <c r="Q52" s="213">
        <f t="shared" si="48"/>
        <v>15300</v>
      </c>
      <c r="R52" s="214">
        <f t="shared" si="48"/>
        <v>15300</v>
      </c>
      <c r="S52" s="242">
        <f t="shared" si="48"/>
        <v>15300</v>
      </c>
      <c r="T52" s="212">
        <f t="shared" si="48"/>
        <v>15300</v>
      </c>
      <c r="U52" s="212">
        <f t="shared" si="48"/>
        <v>15300</v>
      </c>
      <c r="V52" s="212">
        <f t="shared" si="48"/>
        <v>15300</v>
      </c>
      <c r="W52" s="212">
        <f t="shared" si="48"/>
        <v>15300</v>
      </c>
      <c r="X52" s="213">
        <f t="shared" si="48"/>
        <v>15300</v>
      </c>
      <c r="Y52" s="214">
        <f t="shared" si="48"/>
        <v>15300</v>
      </c>
      <c r="Z52" s="212">
        <f t="shared" si="48"/>
        <v>15300</v>
      </c>
      <c r="AA52" s="212">
        <f t="shared" si="48"/>
        <v>15300</v>
      </c>
      <c r="AB52" s="212">
        <f t="shared" si="48"/>
        <v>15300</v>
      </c>
      <c r="AC52" s="212">
        <f t="shared" si="48"/>
        <v>15300</v>
      </c>
      <c r="AD52" s="212">
        <f t="shared" si="48"/>
        <v>15300</v>
      </c>
      <c r="AE52" s="213">
        <f t="shared" si="48"/>
        <v>15300</v>
      </c>
      <c r="AF52" s="214">
        <f t="shared" si="48"/>
        <v>15300</v>
      </c>
      <c r="AG52" s="212">
        <f t="shared" si="48"/>
        <v>15300</v>
      </c>
      <c r="AH52" s="212">
        <f t="shared" si="48"/>
        <v>15300</v>
      </c>
      <c r="AI52" s="212">
        <f t="shared" si="48"/>
        <v>15300</v>
      </c>
      <c r="AJ52" s="212">
        <f t="shared" si="48"/>
        <v>15300</v>
      </c>
      <c r="AK52" s="255"/>
      <c r="AL52" s="213">
        <f>$K$55*$D$30/2</f>
        <v>15300</v>
      </c>
      <c r="AM52" s="214">
        <f>$K$55*$D$30/2</f>
        <v>15300</v>
      </c>
      <c r="AN52" s="256">
        <f>SUM(I52:AM52)</f>
        <v>459000</v>
      </c>
      <c r="AO52" s="267"/>
      <c r="AP52" s="267"/>
      <c r="AQ52" s="267"/>
      <c r="AR52" s="428"/>
      <c r="AS52" s="108"/>
      <c r="AT52" s="108"/>
      <c r="AU52" s="428"/>
      <c r="AV52" s="121"/>
      <c r="AW52" s="121"/>
      <c r="AX52" s="428"/>
    </row>
    <row r="53" spans="1:50" hidden="1">
      <c r="A53" s="484"/>
      <c r="B53" s="500"/>
      <c r="C53" s="455"/>
      <c r="D53" s="468"/>
      <c r="E53" s="194"/>
      <c r="F53" s="433"/>
      <c r="G53" s="190"/>
      <c r="H53" s="187" t="s">
        <v>31</v>
      </c>
      <c r="I53" s="212">
        <v>1</v>
      </c>
      <c r="J53" s="213">
        <v>1</v>
      </c>
      <c r="K53" s="214">
        <v>1</v>
      </c>
      <c r="L53" s="212">
        <v>1</v>
      </c>
      <c r="M53" s="212">
        <v>1</v>
      </c>
      <c r="N53" s="212">
        <v>1</v>
      </c>
      <c r="O53" s="212">
        <v>1</v>
      </c>
      <c r="P53" s="212">
        <v>1</v>
      </c>
      <c r="Q53" s="213">
        <v>1</v>
      </c>
      <c r="R53" s="214">
        <v>1</v>
      </c>
      <c r="S53" s="242">
        <v>1</v>
      </c>
      <c r="T53" s="212">
        <v>1</v>
      </c>
      <c r="U53" s="212">
        <v>1</v>
      </c>
      <c r="V53" s="212">
        <v>1</v>
      </c>
      <c r="W53" s="215">
        <v>1</v>
      </c>
      <c r="X53" s="213">
        <v>1</v>
      </c>
      <c r="Y53" s="214">
        <v>1</v>
      </c>
      <c r="Z53" s="215">
        <v>1</v>
      </c>
      <c r="AA53" s="212">
        <v>1</v>
      </c>
      <c r="AB53" s="212">
        <v>1</v>
      </c>
      <c r="AC53" s="212">
        <v>1</v>
      </c>
      <c r="AD53" s="212">
        <v>1</v>
      </c>
      <c r="AE53" s="213">
        <v>1</v>
      </c>
      <c r="AF53" s="214">
        <v>1</v>
      </c>
      <c r="AG53" s="215">
        <v>1</v>
      </c>
      <c r="AH53" s="212">
        <v>1</v>
      </c>
      <c r="AI53" s="212">
        <v>1</v>
      </c>
      <c r="AJ53" s="212">
        <v>1</v>
      </c>
      <c r="AK53" s="255"/>
      <c r="AL53" s="213">
        <v>1</v>
      </c>
      <c r="AM53" s="214">
        <v>1</v>
      </c>
      <c r="AN53" s="256"/>
      <c r="AO53" s="267"/>
      <c r="AP53" s="267"/>
      <c r="AQ53" s="267"/>
      <c r="AR53" s="428"/>
      <c r="AS53" s="108"/>
      <c r="AT53" s="108"/>
      <c r="AU53" s="428"/>
      <c r="AV53" s="121"/>
      <c r="AW53" s="121"/>
      <c r="AX53" s="428"/>
    </row>
    <row r="54" spans="1:50" hidden="1">
      <c r="A54" s="484"/>
      <c r="B54" s="500"/>
      <c r="C54" s="455"/>
      <c r="D54" s="468"/>
      <c r="E54" s="194"/>
      <c r="F54" s="433"/>
      <c r="G54" s="134"/>
      <c r="H54" s="188" t="s">
        <v>15</v>
      </c>
      <c r="I54" s="215">
        <f>2180+4000+510+3646</f>
        <v>10336</v>
      </c>
      <c r="J54" s="213">
        <f>864+3537+4510+1309</f>
        <v>10220</v>
      </c>
      <c r="K54" s="214">
        <f>3200+3203+2056</f>
        <v>8459</v>
      </c>
      <c r="L54" s="215">
        <f>2735+3624+4463+1775</f>
        <v>12597</v>
      </c>
      <c r="M54" s="215">
        <f>2735+3624+4463+1775</f>
        <v>12597</v>
      </c>
      <c r="N54" s="215">
        <f>895+3143+1365+4480</f>
        <v>9883</v>
      </c>
      <c r="O54" s="215">
        <f>750+1746+30+3832</f>
        <v>6358</v>
      </c>
      <c r="P54" s="215">
        <f>750+1746+30+3832</f>
        <v>6358</v>
      </c>
      <c r="Q54" s="213">
        <f>864+3537+4510+1309</f>
        <v>10220</v>
      </c>
      <c r="R54" s="214">
        <f>3200+3203+2056</f>
        <v>8459</v>
      </c>
      <c r="S54" s="242">
        <f>2768+2062+1197+2933</f>
        <v>8960</v>
      </c>
      <c r="T54" s="215">
        <f>2768+2062+1197+2933</f>
        <v>8960</v>
      </c>
      <c r="U54" s="215">
        <f>2909+1004+3664+1599</f>
        <v>9176</v>
      </c>
      <c r="V54" s="215">
        <f>2909+1004+3664+1599</f>
        <v>9176</v>
      </c>
      <c r="W54" s="215">
        <f>2503+2004+3107+2009</f>
        <v>9623</v>
      </c>
      <c r="X54" s="213">
        <f>864+3537+4510+1309</f>
        <v>10220</v>
      </c>
      <c r="Y54" s="214">
        <f>3200+3203+2056</f>
        <v>8459</v>
      </c>
      <c r="Z54" s="215"/>
      <c r="AA54" s="215"/>
      <c r="AB54" s="215"/>
      <c r="AC54" s="215"/>
      <c r="AD54" s="215"/>
      <c r="AE54" s="213">
        <f>864+3537+4510+1309</f>
        <v>10220</v>
      </c>
      <c r="AF54" s="214">
        <f>3200+3203+2056</f>
        <v>8459</v>
      </c>
      <c r="AG54" s="215"/>
      <c r="AH54" s="215"/>
      <c r="AI54" s="215"/>
      <c r="AJ54" s="215"/>
      <c r="AK54" s="255"/>
      <c r="AL54" s="213">
        <f>864+3537+4510+1309</f>
        <v>10220</v>
      </c>
      <c r="AM54" s="214">
        <f>3200+3203+2056</f>
        <v>8459</v>
      </c>
      <c r="AN54" s="253">
        <f>SUM(I54:AM54)</f>
        <v>197419</v>
      </c>
      <c r="AO54" s="267"/>
      <c r="AP54" s="267"/>
      <c r="AQ54" s="267"/>
      <c r="AR54" s="428"/>
      <c r="AS54" s="108"/>
      <c r="AT54" s="108"/>
      <c r="AU54" s="428"/>
      <c r="AV54" s="121"/>
      <c r="AW54" s="121"/>
      <c r="AX54" s="428"/>
    </row>
    <row r="55" spans="1:50" hidden="1">
      <c r="A55" s="484"/>
      <c r="B55" s="500"/>
      <c r="C55" s="455"/>
      <c r="D55" s="468"/>
      <c r="E55" s="194"/>
      <c r="F55" s="433"/>
      <c r="G55" s="190"/>
      <c r="H55" s="187" t="s">
        <v>32</v>
      </c>
      <c r="I55" s="212"/>
      <c r="J55" s="213"/>
      <c r="K55" s="214">
        <f>($C$30*2)</f>
        <v>24000</v>
      </c>
      <c r="L55" s="212"/>
      <c r="M55" s="212"/>
      <c r="N55" s="212">
        <f>($C$30*2)</f>
        <v>24000</v>
      </c>
      <c r="O55" s="212"/>
      <c r="P55" s="212"/>
      <c r="Q55" s="213"/>
      <c r="R55" s="214">
        <f>($C$30*2)</f>
        <v>24000</v>
      </c>
      <c r="S55" s="242">
        <f>($C$30*2)</f>
        <v>24000</v>
      </c>
      <c r="T55" s="212">
        <f>($C$30*2)</f>
        <v>24000</v>
      </c>
      <c r="U55" s="212"/>
      <c r="V55" s="212"/>
      <c r="W55" s="212">
        <f>($C$30*2)</f>
        <v>24000</v>
      </c>
      <c r="X55" s="213"/>
      <c r="Y55" s="214">
        <f>($C$30*2)</f>
        <v>24000</v>
      </c>
      <c r="Z55" s="212">
        <f>($C$30*2)</f>
        <v>24000</v>
      </c>
      <c r="AA55" s="212"/>
      <c r="AB55" s="212">
        <f>($C$30*2)</f>
        <v>24000</v>
      </c>
      <c r="AC55" s="212"/>
      <c r="AD55" s="212">
        <f>($C$30*2)</f>
        <v>24000</v>
      </c>
      <c r="AE55" s="213"/>
      <c r="AF55" s="214">
        <f>($C$30*2)</f>
        <v>24000</v>
      </c>
      <c r="AG55" s="212">
        <f>($C$30*2)</f>
        <v>24000</v>
      </c>
      <c r="AH55" s="212"/>
      <c r="AI55" s="212">
        <f>($C$30*2)</f>
        <v>24000</v>
      </c>
      <c r="AJ55" s="212"/>
      <c r="AK55" s="255"/>
      <c r="AL55" s="213"/>
      <c r="AM55" s="214">
        <f>($C$30*2)</f>
        <v>24000</v>
      </c>
      <c r="AN55" s="256">
        <f>SUM(I55:AM55)</f>
        <v>336000</v>
      </c>
      <c r="AO55" s="267"/>
      <c r="AP55" s="267"/>
      <c r="AQ55" s="267"/>
      <c r="AR55" s="428"/>
      <c r="AS55" s="108"/>
      <c r="AT55" s="108"/>
      <c r="AU55" s="428"/>
      <c r="AV55" s="121"/>
      <c r="AW55" s="121"/>
      <c r="AX55" s="428"/>
    </row>
    <row r="56" spans="1:50" hidden="1">
      <c r="A56" s="484"/>
      <c r="B56" s="500"/>
      <c r="C56" s="455"/>
      <c r="D56" s="468"/>
      <c r="E56" s="194"/>
      <c r="F56" s="433"/>
      <c r="G56" s="190"/>
      <c r="H56" s="187" t="s">
        <v>33</v>
      </c>
      <c r="I56" s="212"/>
      <c r="J56" s="213"/>
      <c r="K56" s="232">
        <v>1</v>
      </c>
      <c r="L56" s="212"/>
      <c r="M56" s="212"/>
      <c r="N56" s="233">
        <v>1</v>
      </c>
      <c r="O56" s="212"/>
      <c r="P56" s="212"/>
      <c r="Q56" s="213"/>
      <c r="R56" s="232">
        <v>1</v>
      </c>
      <c r="S56" s="247">
        <v>1</v>
      </c>
      <c r="T56" s="233">
        <v>1</v>
      </c>
      <c r="U56" s="212"/>
      <c r="V56" s="212"/>
      <c r="W56" s="233">
        <v>1</v>
      </c>
      <c r="X56" s="213"/>
      <c r="Y56" s="232">
        <v>1</v>
      </c>
      <c r="Z56" s="233">
        <v>1</v>
      </c>
      <c r="AA56" s="212"/>
      <c r="AB56" s="233">
        <v>1</v>
      </c>
      <c r="AC56" s="212"/>
      <c r="AD56" s="233">
        <v>1</v>
      </c>
      <c r="AE56" s="213"/>
      <c r="AF56" s="232">
        <v>1</v>
      </c>
      <c r="AG56" s="233">
        <v>1</v>
      </c>
      <c r="AH56" s="212"/>
      <c r="AI56" s="233">
        <v>1</v>
      </c>
      <c r="AJ56" s="212"/>
      <c r="AK56" s="262"/>
      <c r="AL56" s="213"/>
      <c r="AM56" s="232">
        <v>1</v>
      </c>
      <c r="AN56" s="256"/>
      <c r="AO56" s="267"/>
      <c r="AP56" s="267"/>
      <c r="AQ56" s="267"/>
      <c r="AR56" s="428"/>
      <c r="AS56" s="108"/>
      <c r="AT56" s="108"/>
      <c r="AU56" s="428"/>
      <c r="AV56" s="121"/>
      <c r="AW56" s="121"/>
      <c r="AX56" s="428"/>
    </row>
    <row r="57" spans="1:50" hidden="1">
      <c r="A57" s="485"/>
      <c r="B57" s="500"/>
      <c r="C57" s="462"/>
      <c r="D57" s="468"/>
      <c r="E57" s="194"/>
      <c r="F57" s="433"/>
      <c r="G57" s="195"/>
      <c r="H57" s="196" t="s">
        <v>15</v>
      </c>
      <c r="I57" s="226"/>
      <c r="J57" s="227">
        <f>5800+6000+9632+5646</f>
        <v>27078</v>
      </c>
      <c r="K57" s="234"/>
      <c r="L57" s="226"/>
      <c r="M57" s="226"/>
      <c r="N57" s="226">
        <f>15783+4500</f>
        <v>20283</v>
      </c>
      <c r="O57" s="226"/>
      <c r="P57" s="226"/>
      <c r="Q57" s="227">
        <f>5800+6000+9632+5646</f>
        <v>27078</v>
      </c>
      <c r="R57" s="234"/>
      <c r="S57" s="248">
        <f>7500+5899</f>
        <v>13399</v>
      </c>
      <c r="T57" s="226">
        <f>7500+5899</f>
        <v>13399</v>
      </c>
      <c r="U57" s="226"/>
      <c r="V57" s="226"/>
      <c r="W57" s="226"/>
      <c r="X57" s="227">
        <f>5800+6000+9632+5646</f>
        <v>27078</v>
      </c>
      <c r="Y57" s="234"/>
      <c r="Z57" s="226">
        <v>12527</v>
      </c>
      <c r="AA57" s="226"/>
      <c r="AB57" s="226"/>
      <c r="AC57" s="226"/>
      <c r="AD57" s="226"/>
      <c r="AE57" s="227">
        <f>5800+6000+9632+5646</f>
        <v>27078</v>
      </c>
      <c r="AF57" s="234"/>
      <c r="AG57" s="226">
        <v>12527</v>
      </c>
      <c r="AH57" s="226"/>
      <c r="AI57" s="226"/>
      <c r="AJ57" s="226"/>
      <c r="AK57" s="263"/>
      <c r="AL57" s="227">
        <f>5800+6000+9632+5646</f>
        <v>27078</v>
      </c>
      <c r="AM57" s="234"/>
      <c r="AN57" s="264">
        <f>SUM(I57:AM57)</f>
        <v>207525</v>
      </c>
      <c r="AO57" s="267"/>
      <c r="AP57" s="267"/>
      <c r="AQ57" s="267"/>
      <c r="AR57" s="428"/>
      <c r="AS57" s="108"/>
      <c r="AT57" s="108"/>
      <c r="AU57" s="428"/>
      <c r="AV57" s="121"/>
      <c r="AW57" s="121"/>
      <c r="AX57" s="428"/>
    </row>
    <row r="58" spans="1:50" ht="15" hidden="1" customHeight="1">
      <c r="A58" s="486" t="s">
        <v>41</v>
      </c>
      <c r="B58" s="486" t="s">
        <v>42</v>
      </c>
      <c r="C58" s="455">
        <v>2500</v>
      </c>
      <c r="D58" s="469">
        <v>1.59</v>
      </c>
      <c r="E58" s="443"/>
      <c r="F58" s="455" t="s">
        <v>43</v>
      </c>
      <c r="G58" s="134">
        <v>0.08</v>
      </c>
      <c r="H58" s="187" t="s">
        <v>12</v>
      </c>
      <c r="I58" s="229">
        <v>43.82</v>
      </c>
      <c r="J58" s="230">
        <v>43.82</v>
      </c>
      <c r="K58" s="231">
        <v>43.82</v>
      </c>
      <c r="L58" s="229">
        <v>43.82</v>
      </c>
      <c r="M58" s="229">
        <v>43.82</v>
      </c>
      <c r="N58" s="229">
        <v>43.82</v>
      </c>
      <c r="O58" s="229">
        <v>43.82</v>
      </c>
      <c r="P58" s="229">
        <v>43.82</v>
      </c>
      <c r="Q58" s="230">
        <v>43.82</v>
      </c>
      <c r="R58" s="231">
        <v>43.82</v>
      </c>
      <c r="S58" s="246">
        <v>43.82</v>
      </c>
      <c r="T58" s="229">
        <v>43.82</v>
      </c>
      <c r="U58" s="229">
        <v>43.82</v>
      </c>
      <c r="V58" s="229">
        <v>43.82</v>
      </c>
      <c r="W58" s="229">
        <v>43.82</v>
      </c>
      <c r="X58" s="230">
        <v>43.82</v>
      </c>
      <c r="Y58" s="231">
        <v>43.82</v>
      </c>
      <c r="Z58" s="229">
        <v>43.82</v>
      </c>
      <c r="AA58" s="229">
        <v>43.82</v>
      </c>
      <c r="AB58" s="229">
        <v>43.82</v>
      </c>
      <c r="AC58" s="229">
        <v>43.82</v>
      </c>
      <c r="AD58" s="229">
        <v>43.82</v>
      </c>
      <c r="AE58" s="230">
        <v>43.82</v>
      </c>
      <c r="AF58" s="231">
        <v>43.82</v>
      </c>
      <c r="AG58" s="229">
        <v>43.82</v>
      </c>
      <c r="AH58" s="229">
        <v>43.82</v>
      </c>
      <c r="AI58" s="229">
        <v>43.82</v>
      </c>
      <c r="AJ58" s="229">
        <v>43.82</v>
      </c>
      <c r="AK58" s="246"/>
      <c r="AL58" s="230">
        <v>43.82</v>
      </c>
      <c r="AM58" s="231">
        <v>43.82</v>
      </c>
      <c r="AN58" s="265"/>
      <c r="AO58" s="428"/>
      <c r="AP58" s="428"/>
      <c r="AQ58" s="108"/>
      <c r="AR58" s="108"/>
      <c r="AS58" s="108"/>
      <c r="AT58" s="108"/>
      <c r="AU58" s="428"/>
      <c r="AV58" s="121"/>
      <c r="AW58" s="428"/>
      <c r="AX58" s="428"/>
    </row>
    <row r="59" spans="1:50" hidden="1">
      <c r="A59" s="486"/>
      <c r="B59" s="486"/>
      <c r="C59" s="455"/>
      <c r="D59" s="469"/>
      <c r="E59" s="443"/>
      <c r="F59" s="455"/>
      <c r="G59" s="134"/>
      <c r="H59" s="187" t="s">
        <v>14</v>
      </c>
      <c r="I59" s="212">
        <v>0.5</v>
      </c>
      <c r="J59" s="213">
        <v>0.5</v>
      </c>
      <c r="K59" s="214">
        <v>0.5</v>
      </c>
      <c r="L59" s="212">
        <v>0.5</v>
      </c>
      <c r="M59" s="212">
        <v>0.5</v>
      </c>
      <c r="N59" s="212">
        <v>0.5</v>
      </c>
      <c r="O59" s="212">
        <v>0.5</v>
      </c>
      <c r="P59" s="212">
        <v>0.5</v>
      </c>
      <c r="Q59" s="213">
        <v>0.5</v>
      </c>
      <c r="R59" s="214">
        <v>0.5</v>
      </c>
      <c r="S59" s="242">
        <v>0.5</v>
      </c>
      <c r="T59" s="212">
        <v>0.5</v>
      </c>
      <c r="U59" s="212">
        <v>0.5</v>
      </c>
      <c r="V59" s="212">
        <v>0.5</v>
      </c>
      <c r="W59" s="212">
        <v>0.5</v>
      </c>
      <c r="X59" s="213">
        <v>0.5</v>
      </c>
      <c r="Y59" s="214">
        <v>0.5</v>
      </c>
      <c r="Z59" s="212">
        <v>0.5</v>
      </c>
      <c r="AA59" s="212">
        <v>0.5</v>
      </c>
      <c r="AB59" s="212">
        <v>0.5</v>
      </c>
      <c r="AC59" s="212">
        <v>0.5</v>
      </c>
      <c r="AD59" s="212">
        <v>0.5</v>
      </c>
      <c r="AE59" s="213">
        <v>0.5</v>
      </c>
      <c r="AF59" s="214">
        <v>0.5</v>
      </c>
      <c r="AG59" s="212">
        <v>0.5</v>
      </c>
      <c r="AH59" s="212">
        <v>0.5</v>
      </c>
      <c r="AI59" s="212">
        <v>0.5</v>
      </c>
      <c r="AJ59" s="212">
        <v>0.5</v>
      </c>
      <c r="AK59" s="242"/>
      <c r="AL59" s="213">
        <v>0.5</v>
      </c>
      <c r="AM59" s="214">
        <v>0.5</v>
      </c>
      <c r="AN59" s="265"/>
      <c r="AO59" s="428"/>
      <c r="AP59" s="428"/>
      <c r="AQ59" s="108"/>
      <c r="AR59" s="108"/>
      <c r="AS59" s="108"/>
      <c r="AT59" s="108"/>
      <c r="AU59" s="428"/>
      <c r="AV59" s="121"/>
      <c r="AW59" s="428"/>
      <c r="AX59" s="428"/>
    </row>
    <row r="60" spans="1:50" hidden="1">
      <c r="A60" s="486"/>
      <c r="B60" s="486"/>
      <c r="C60" s="455"/>
      <c r="D60" s="469"/>
      <c r="E60" s="443"/>
      <c r="F60" s="455"/>
      <c r="G60" s="134"/>
      <c r="H60" s="188" t="s">
        <v>15</v>
      </c>
      <c r="I60" s="215"/>
      <c r="J60" s="213"/>
      <c r="K60" s="214"/>
      <c r="L60" s="215"/>
      <c r="M60" s="215"/>
      <c r="N60" s="215"/>
      <c r="O60" s="215"/>
      <c r="P60" s="215"/>
      <c r="Q60" s="213"/>
      <c r="R60" s="214"/>
      <c r="S60" s="242"/>
      <c r="T60" s="215"/>
      <c r="U60" s="215"/>
      <c r="V60" s="215"/>
      <c r="W60" s="215"/>
      <c r="X60" s="213"/>
      <c r="Y60" s="214"/>
      <c r="Z60" s="215"/>
      <c r="AA60" s="215"/>
      <c r="AB60" s="215"/>
      <c r="AC60" s="215"/>
      <c r="AD60" s="215"/>
      <c r="AE60" s="213"/>
      <c r="AF60" s="214"/>
      <c r="AG60" s="215"/>
      <c r="AH60" s="215"/>
      <c r="AI60" s="215"/>
      <c r="AJ60" s="215"/>
      <c r="AK60" s="242"/>
      <c r="AL60" s="213"/>
      <c r="AM60" s="214"/>
      <c r="AN60" s="265"/>
      <c r="AO60" s="267"/>
      <c r="AP60" s="267"/>
      <c r="AQ60" s="267"/>
      <c r="AR60" s="428"/>
      <c r="AS60" s="108"/>
      <c r="AT60" s="108"/>
      <c r="AU60" s="428"/>
      <c r="AV60" s="121"/>
      <c r="AW60" s="428"/>
      <c r="AX60" s="428"/>
    </row>
    <row r="61" spans="1:50" hidden="1">
      <c r="A61" s="486"/>
      <c r="B61" s="486"/>
      <c r="C61" s="455"/>
      <c r="D61" s="469"/>
      <c r="E61" s="443"/>
      <c r="F61" s="455"/>
      <c r="G61" s="134" t="s">
        <v>16</v>
      </c>
      <c r="H61" s="187" t="s">
        <v>17</v>
      </c>
      <c r="I61" s="229">
        <v>43.82</v>
      </c>
      <c r="J61" s="230">
        <v>43.82</v>
      </c>
      <c r="K61" s="231">
        <v>43.82</v>
      </c>
      <c r="L61" s="229">
        <v>43.82</v>
      </c>
      <c r="M61" s="229">
        <v>43.82</v>
      </c>
      <c r="N61" s="229">
        <v>43.82</v>
      </c>
      <c r="O61" s="229">
        <v>43.82</v>
      </c>
      <c r="P61" s="229">
        <v>43.82</v>
      </c>
      <c r="Q61" s="230">
        <v>43.82</v>
      </c>
      <c r="R61" s="231">
        <v>43.82</v>
      </c>
      <c r="S61" s="246">
        <v>43.82</v>
      </c>
      <c r="T61" s="229">
        <v>43.82</v>
      </c>
      <c r="U61" s="229">
        <v>43.82</v>
      </c>
      <c r="V61" s="229">
        <v>43.82</v>
      </c>
      <c r="W61" s="229">
        <v>43.82</v>
      </c>
      <c r="X61" s="230">
        <v>43.82</v>
      </c>
      <c r="Y61" s="231">
        <v>43.82</v>
      </c>
      <c r="Z61" s="229">
        <v>43.82</v>
      </c>
      <c r="AA61" s="229">
        <v>43.82</v>
      </c>
      <c r="AB61" s="229">
        <v>43.82</v>
      </c>
      <c r="AC61" s="229">
        <v>43.82</v>
      </c>
      <c r="AD61" s="229">
        <v>43.82</v>
      </c>
      <c r="AE61" s="230">
        <v>43.82</v>
      </c>
      <c r="AF61" s="231">
        <v>43.82</v>
      </c>
      <c r="AG61" s="229">
        <v>43.82</v>
      </c>
      <c r="AH61" s="229">
        <v>43.82</v>
      </c>
      <c r="AI61" s="229">
        <v>43.82</v>
      </c>
      <c r="AJ61" s="229">
        <v>43.82</v>
      </c>
      <c r="AK61" s="246"/>
      <c r="AL61" s="230">
        <v>43.82</v>
      </c>
      <c r="AM61" s="231">
        <v>43.82</v>
      </c>
      <c r="AN61" s="265"/>
      <c r="AO61" s="267"/>
      <c r="AP61" s="267"/>
      <c r="AQ61" s="267"/>
      <c r="AR61" s="428"/>
      <c r="AS61" s="108"/>
      <c r="AT61" s="108"/>
      <c r="AU61" s="428"/>
      <c r="AV61" s="121"/>
      <c r="AW61" s="428"/>
      <c r="AX61" s="428"/>
    </row>
    <row r="62" spans="1:50" hidden="1">
      <c r="A62" s="486"/>
      <c r="B62" s="486"/>
      <c r="C62" s="455"/>
      <c r="D62" s="469"/>
      <c r="E62" s="443"/>
      <c r="F62" s="455"/>
      <c r="G62" s="134"/>
      <c r="H62" s="187" t="s">
        <v>14</v>
      </c>
      <c r="I62" s="212">
        <v>0.2</v>
      </c>
      <c r="J62" s="213">
        <v>0.2</v>
      </c>
      <c r="K62" s="214">
        <v>0.2</v>
      </c>
      <c r="L62" s="212">
        <v>0.2</v>
      </c>
      <c r="M62" s="212">
        <v>0.2</v>
      </c>
      <c r="N62" s="212">
        <v>0.2</v>
      </c>
      <c r="O62" s="212">
        <v>0.2</v>
      </c>
      <c r="P62" s="212">
        <v>0.2</v>
      </c>
      <c r="Q62" s="213">
        <v>0.2</v>
      </c>
      <c r="R62" s="214">
        <v>0.2</v>
      </c>
      <c r="S62" s="242">
        <v>0.2</v>
      </c>
      <c r="T62" s="212">
        <v>0.2</v>
      </c>
      <c r="U62" s="212">
        <v>0.2</v>
      </c>
      <c r="V62" s="212">
        <v>0.2</v>
      </c>
      <c r="W62" s="212">
        <v>0.2</v>
      </c>
      <c r="X62" s="213">
        <v>0.2</v>
      </c>
      <c r="Y62" s="214">
        <v>0.2</v>
      </c>
      <c r="Z62" s="212">
        <v>0.2</v>
      </c>
      <c r="AA62" s="212">
        <v>0.2</v>
      </c>
      <c r="AB62" s="212">
        <v>0.2</v>
      </c>
      <c r="AC62" s="212">
        <v>0.2</v>
      </c>
      <c r="AD62" s="212">
        <v>0.2</v>
      </c>
      <c r="AE62" s="213">
        <v>0.2</v>
      </c>
      <c r="AF62" s="214">
        <v>0.2</v>
      </c>
      <c r="AG62" s="212">
        <v>0.2</v>
      </c>
      <c r="AH62" s="212">
        <v>0.2</v>
      </c>
      <c r="AI62" s="212">
        <v>0.2</v>
      </c>
      <c r="AJ62" s="212">
        <v>0.2</v>
      </c>
      <c r="AK62" s="242"/>
      <c r="AL62" s="213">
        <v>0.2</v>
      </c>
      <c r="AM62" s="214">
        <v>0.2</v>
      </c>
      <c r="AN62" s="265"/>
      <c r="AO62" s="267"/>
      <c r="AP62" s="267"/>
      <c r="AQ62" s="267"/>
      <c r="AR62" s="428"/>
      <c r="AS62" s="108"/>
      <c r="AT62" s="108"/>
      <c r="AU62" s="428"/>
      <c r="AV62" s="121"/>
      <c r="AW62" s="428"/>
      <c r="AX62" s="428"/>
    </row>
    <row r="63" spans="1:50" hidden="1">
      <c r="A63" s="486"/>
      <c r="B63" s="486"/>
      <c r="C63" s="455"/>
      <c r="D63" s="469"/>
      <c r="E63" s="443"/>
      <c r="F63" s="455"/>
      <c r="G63" s="134"/>
      <c r="H63" s="188" t="s">
        <v>15</v>
      </c>
      <c r="I63" s="215"/>
      <c r="J63" s="213"/>
      <c r="K63" s="214"/>
      <c r="L63" s="215"/>
      <c r="M63" s="215"/>
      <c r="N63" s="215"/>
      <c r="O63" s="215"/>
      <c r="P63" s="215"/>
      <c r="Q63" s="213"/>
      <c r="R63" s="214"/>
      <c r="S63" s="242"/>
      <c r="T63" s="215"/>
      <c r="U63" s="215"/>
      <c r="V63" s="215"/>
      <c r="W63" s="215"/>
      <c r="X63" s="213"/>
      <c r="Y63" s="214"/>
      <c r="Z63" s="215"/>
      <c r="AA63" s="215"/>
      <c r="AB63" s="215"/>
      <c r="AC63" s="215"/>
      <c r="AD63" s="215"/>
      <c r="AE63" s="213"/>
      <c r="AF63" s="214"/>
      <c r="AG63" s="215"/>
      <c r="AH63" s="215"/>
      <c r="AI63" s="215"/>
      <c r="AJ63" s="215"/>
      <c r="AK63" s="242"/>
      <c r="AL63" s="213"/>
      <c r="AM63" s="214"/>
      <c r="AN63" s="265"/>
      <c r="AO63" s="267"/>
      <c r="AP63" s="267"/>
      <c r="AQ63" s="267"/>
      <c r="AR63" s="428"/>
      <c r="AS63" s="108"/>
      <c r="AT63" s="108"/>
      <c r="AU63" s="428"/>
      <c r="AV63" s="121"/>
      <c r="AW63" s="428"/>
      <c r="AX63" s="428"/>
    </row>
    <row r="64" spans="1:50" hidden="1">
      <c r="A64" s="486"/>
      <c r="B64" s="486"/>
      <c r="C64" s="455"/>
      <c r="D64" s="469"/>
      <c r="E64" s="443"/>
      <c r="F64" s="455"/>
      <c r="G64" s="134" t="s">
        <v>44</v>
      </c>
      <c r="H64" s="187" t="s">
        <v>45</v>
      </c>
      <c r="I64" s="235">
        <f t="shared" ref="I64:AJ64" si="49">$O$84*$D$58/5</f>
        <v>4372.5</v>
      </c>
      <c r="J64" s="236">
        <f t="shared" si="49"/>
        <v>4372.5</v>
      </c>
      <c r="K64" s="237">
        <f t="shared" si="49"/>
        <v>4372.5</v>
      </c>
      <c r="L64" s="235">
        <f t="shared" si="49"/>
        <v>4372.5</v>
      </c>
      <c r="M64" s="235">
        <f t="shared" si="49"/>
        <v>4372.5</v>
      </c>
      <c r="N64" s="235">
        <f t="shared" si="49"/>
        <v>4372.5</v>
      </c>
      <c r="O64" s="235">
        <f t="shared" si="49"/>
        <v>4372.5</v>
      </c>
      <c r="P64" s="235">
        <f t="shared" si="49"/>
        <v>4372.5</v>
      </c>
      <c r="Q64" s="236">
        <f t="shared" si="49"/>
        <v>4372.5</v>
      </c>
      <c r="R64" s="237">
        <f t="shared" si="49"/>
        <v>4372.5</v>
      </c>
      <c r="S64" s="249">
        <f t="shared" si="49"/>
        <v>4372.5</v>
      </c>
      <c r="T64" s="235">
        <f t="shared" si="49"/>
        <v>4372.5</v>
      </c>
      <c r="U64" s="235">
        <f t="shared" si="49"/>
        <v>4372.5</v>
      </c>
      <c r="V64" s="235">
        <f t="shared" si="49"/>
        <v>4372.5</v>
      </c>
      <c r="W64" s="235">
        <f t="shared" si="49"/>
        <v>4372.5</v>
      </c>
      <c r="X64" s="236">
        <f t="shared" si="49"/>
        <v>4372.5</v>
      </c>
      <c r="Y64" s="237">
        <f t="shared" si="49"/>
        <v>4372.5</v>
      </c>
      <c r="Z64" s="235">
        <f t="shared" si="49"/>
        <v>4372.5</v>
      </c>
      <c r="AA64" s="235">
        <f t="shared" si="49"/>
        <v>4372.5</v>
      </c>
      <c r="AB64" s="235">
        <f t="shared" si="49"/>
        <v>4372.5</v>
      </c>
      <c r="AC64" s="235">
        <f t="shared" si="49"/>
        <v>4372.5</v>
      </c>
      <c r="AD64" s="235">
        <f t="shared" si="49"/>
        <v>4372.5</v>
      </c>
      <c r="AE64" s="236">
        <f t="shared" si="49"/>
        <v>4372.5</v>
      </c>
      <c r="AF64" s="237">
        <f t="shared" si="49"/>
        <v>4372.5</v>
      </c>
      <c r="AG64" s="235">
        <f t="shared" si="49"/>
        <v>4372.5</v>
      </c>
      <c r="AH64" s="235">
        <f t="shared" si="49"/>
        <v>4372.5</v>
      </c>
      <c r="AI64" s="235">
        <f t="shared" si="49"/>
        <v>4372.5</v>
      </c>
      <c r="AJ64" s="235">
        <f t="shared" si="49"/>
        <v>4372.5</v>
      </c>
      <c r="AK64" s="249"/>
      <c r="AL64" s="236">
        <f>$O$84*$D$58/5</f>
        <v>4372.5</v>
      </c>
      <c r="AM64" s="237">
        <f>$O$84*$D$58/5</f>
        <v>4372.5</v>
      </c>
      <c r="AN64" s="266">
        <f>SUM(I64:AM64)</f>
        <v>131175</v>
      </c>
      <c r="AO64" s="267"/>
      <c r="AP64" s="267"/>
      <c r="AQ64" s="267"/>
      <c r="AR64" s="428"/>
      <c r="AS64" s="108"/>
      <c r="AT64" s="108"/>
      <c r="AU64" s="428"/>
      <c r="AV64" s="121"/>
      <c r="AW64" s="428"/>
      <c r="AX64" s="428"/>
    </row>
    <row r="65" spans="1:50" hidden="1">
      <c r="A65" s="486"/>
      <c r="B65" s="486"/>
      <c r="C65" s="455"/>
      <c r="D65" s="469"/>
      <c r="E65" s="443"/>
      <c r="F65" s="455"/>
      <c r="G65" s="134"/>
      <c r="H65" s="187" t="s">
        <v>20</v>
      </c>
      <c r="I65" s="212">
        <v>1</v>
      </c>
      <c r="J65" s="213"/>
      <c r="K65" s="214">
        <v>1</v>
      </c>
      <c r="L65" s="212"/>
      <c r="M65" s="212"/>
      <c r="N65" s="212"/>
      <c r="O65" s="212">
        <v>1</v>
      </c>
      <c r="P65" s="212">
        <v>1</v>
      </c>
      <c r="Q65" s="213"/>
      <c r="R65" s="214">
        <v>1</v>
      </c>
      <c r="S65" s="242"/>
      <c r="T65" s="212"/>
      <c r="U65" s="212">
        <v>1</v>
      </c>
      <c r="V65" s="212">
        <v>1</v>
      </c>
      <c r="W65" s="212"/>
      <c r="X65" s="213"/>
      <c r="Y65" s="214">
        <v>1</v>
      </c>
      <c r="Z65" s="212">
        <v>1</v>
      </c>
      <c r="AA65" s="212"/>
      <c r="AB65" s="212">
        <v>1</v>
      </c>
      <c r="AC65" s="212"/>
      <c r="AD65" s="212"/>
      <c r="AE65" s="213"/>
      <c r="AF65" s="214">
        <v>1</v>
      </c>
      <c r="AG65" s="212">
        <v>1</v>
      </c>
      <c r="AH65" s="212">
        <v>1</v>
      </c>
      <c r="AI65" s="212"/>
      <c r="AJ65" s="212"/>
      <c r="AK65" s="242"/>
      <c r="AL65" s="213"/>
      <c r="AM65" s="214">
        <v>1</v>
      </c>
      <c r="AN65" s="266"/>
      <c r="AO65" s="267"/>
      <c r="AP65" s="267"/>
      <c r="AQ65" s="267"/>
      <c r="AR65" s="428"/>
      <c r="AS65" s="108"/>
      <c r="AT65" s="108"/>
      <c r="AU65" s="428"/>
      <c r="AV65" s="121"/>
      <c r="AW65" s="428"/>
      <c r="AX65" s="428"/>
    </row>
    <row r="66" spans="1:50" hidden="1">
      <c r="A66" s="486"/>
      <c r="B66" s="486"/>
      <c r="C66" s="455"/>
      <c r="D66" s="469"/>
      <c r="E66" s="443"/>
      <c r="F66" s="455"/>
      <c r="G66" s="134"/>
      <c r="H66" s="188" t="s">
        <v>15</v>
      </c>
      <c r="I66" s="215"/>
      <c r="J66" s="213">
        <v>15075</v>
      </c>
      <c r="K66" s="214"/>
      <c r="L66" s="215"/>
      <c r="M66" s="215"/>
      <c r="N66" s="215"/>
      <c r="O66" s="215"/>
      <c r="P66" s="215"/>
      <c r="Q66" s="213">
        <v>15075</v>
      </c>
      <c r="R66" s="214"/>
      <c r="S66" s="242"/>
      <c r="T66" s="215"/>
      <c r="U66" s="215"/>
      <c r="V66" s="215"/>
      <c r="W66" s="215"/>
      <c r="X66" s="213">
        <v>15075</v>
      </c>
      <c r="Y66" s="214"/>
      <c r="Z66" s="215"/>
      <c r="AA66" s="215"/>
      <c r="AB66" s="215"/>
      <c r="AC66" s="215"/>
      <c r="AD66" s="215"/>
      <c r="AE66" s="213">
        <v>15075</v>
      </c>
      <c r="AF66" s="214"/>
      <c r="AG66" s="215"/>
      <c r="AH66" s="215"/>
      <c r="AI66" s="215"/>
      <c r="AJ66" s="215"/>
      <c r="AK66" s="242"/>
      <c r="AL66" s="213">
        <v>15075</v>
      </c>
      <c r="AM66" s="214"/>
      <c r="AN66" s="265">
        <f>SUM(I66:AM66)</f>
        <v>75375</v>
      </c>
      <c r="AO66" s="267"/>
      <c r="AP66" s="267"/>
      <c r="AQ66" s="267"/>
      <c r="AR66" s="428"/>
      <c r="AS66" s="108"/>
      <c r="AT66" s="108"/>
      <c r="AU66" s="428"/>
      <c r="AV66" s="121"/>
      <c r="AW66" s="428"/>
      <c r="AX66" s="428"/>
    </row>
    <row r="67" spans="1:50" hidden="1">
      <c r="A67" s="486"/>
      <c r="B67" s="486"/>
      <c r="C67" s="455"/>
      <c r="D67" s="469"/>
      <c r="E67" s="443"/>
      <c r="F67" s="455"/>
      <c r="G67" s="134" t="s">
        <v>37</v>
      </c>
      <c r="H67" s="187" t="s">
        <v>46</v>
      </c>
      <c r="I67" s="212">
        <f t="shared" ref="I67:AJ67" si="50">($O$84*$D$58/5)*2</f>
        <v>8745</v>
      </c>
      <c r="J67" s="213">
        <f t="shared" si="50"/>
        <v>8745</v>
      </c>
      <c r="K67" s="214">
        <f t="shared" si="50"/>
        <v>8745</v>
      </c>
      <c r="L67" s="212">
        <f t="shared" si="50"/>
        <v>8745</v>
      </c>
      <c r="M67" s="212">
        <f t="shared" si="50"/>
        <v>8745</v>
      </c>
      <c r="N67" s="212">
        <f t="shared" si="50"/>
        <v>8745</v>
      </c>
      <c r="O67" s="212">
        <f t="shared" si="50"/>
        <v>8745</v>
      </c>
      <c r="P67" s="212">
        <f t="shared" si="50"/>
        <v>8745</v>
      </c>
      <c r="Q67" s="213">
        <f t="shared" si="50"/>
        <v>8745</v>
      </c>
      <c r="R67" s="214">
        <f t="shared" si="50"/>
        <v>8745</v>
      </c>
      <c r="S67" s="242">
        <f t="shared" si="50"/>
        <v>8745</v>
      </c>
      <c r="T67" s="212">
        <f t="shared" si="50"/>
        <v>8745</v>
      </c>
      <c r="U67" s="212">
        <f t="shared" si="50"/>
        <v>8745</v>
      </c>
      <c r="V67" s="212">
        <f t="shared" si="50"/>
        <v>8745</v>
      </c>
      <c r="W67" s="212">
        <f t="shared" si="50"/>
        <v>8745</v>
      </c>
      <c r="X67" s="213">
        <f t="shared" si="50"/>
        <v>8745</v>
      </c>
      <c r="Y67" s="214">
        <f t="shared" si="50"/>
        <v>8745</v>
      </c>
      <c r="Z67" s="212">
        <f t="shared" si="50"/>
        <v>8745</v>
      </c>
      <c r="AA67" s="212">
        <f t="shared" si="50"/>
        <v>8745</v>
      </c>
      <c r="AB67" s="212">
        <f t="shared" si="50"/>
        <v>8745</v>
      </c>
      <c r="AC67" s="212">
        <f t="shared" si="50"/>
        <v>8745</v>
      </c>
      <c r="AD67" s="212">
        <f t="shared" si="50"/>
        <v>8745</v>
      </c>
      <c r="AE67" s="213">
        <f t="shared" si="50"/>
        <v>8745</v>
      </c>
      <c r="AF67" s="214">
        <f t="shared" si="50"/>
        <v>8745</v>
      </c>
      <c r="AG67" s="212">
        <f t="shared" si="50"/>
        <v>8745</v>
      </c>
      <c r="AH67" s="212">
        <f t="shared" si="50"/>
        <v>8745</v>
      </c>
      <c r="AI67" s="212">
        <f t="shared" si="50"/>
        <v>8745</v>
      </c>
      <c r="AJ67" s="212">
        <f t="shared" si="50"/>
        <v>8745</v>
      </c>
      <c r="AK67" s="242"/>
      <c r="AL67" s="213">
        <f>($O$84*$D$58/5)*2</f>
        <v>8745</v>
      </c>
      <c r="AM67" s="214">
        <f>($O$84*$D$58/5)*2</f>
        <v>8745</v>
      </c>
      <c r="AN67" s="266">
        <f>SUM(I67:AM67)</f>
        <v>262350</v>
      </c>
      <c r="AO67" s="267"/>
      <c r="AP67" s="267"/>
      <c r="AQ67" s="267"/>
      <c r="AR67" s="428"/>
      <c r="AS67" s="108"/>
      <c r="AT67" s="108"/>
      <c r="AU67" s="428"/>
      <c r="AV67" s="121"/>
      <c r="AW67" s="428"/>
      <c r="AX67" s="428"/>
    </row>
    <row r="68" spans="1:50" hidden="1">
      <c r="A68" s="486"/>
      <c r="B68" s="486"/>
      <c r="C68" s="455"/>
      <c r="D68" s="469"/>
      <c r="E68" s="443"/>
      <c r="F68" s="455"/>
      <c r="G68" s="134"/>
      <c r="H68" s="187" t="s">
        <v>20</v>
      </c>
      <c r="I68" s="212">
        <v>1</v>
      </c>
      <c r="J68" s="213">
        <v>1</v>
      </c>
      <c r="K68" s="214">
        <v>1</v>
      </c>
      <c r="L68" s="212">
        <v>1</v>
      </c>
      <c r="M68" s="212">
        <v>1</v>
      </c>
      <c r="N68" s="212">
        <v>1</v>
      </c>
      <c r="O68" s="212">
        <v>1</v>
      </c>
      <c r="P68" s="212">
        <v>1</v>
      </c>
      <c r="Q68" s="213">
        <v>1</v>
      </c>
      <c r="R68" s="214">
        <v>1</v>
      </c>
      <c r="S68" s="242">
        <v>1</v>
      </c>
      <c r="T68" s="212">
        <v>1</v>
      </c>
      <c r="U68" s="212">
        <v>1</v>
      </c>
      <c r="V68" s="212">
        <v>1</v>
      </c>
      <c r="W68" s="212">
        <v>1</v>
      </c>
      <c r="X68" s="213">
        <v>1</v>
      </c>
      <c r="Y68" s="214">
        <v>1</v>
      </c>
      <c r="Z68" s="212">
        <v>1</v>
      </c>
      <c r="AA68" s="212">
        <v>1</v>
      </c>
      <c r="AB68" s="212">
        <v>1</v>
      </c>
      <c r="AC68" s="212">
        <v>1</v>
      </c>
      <c r="AD68" s="212">
        <v>1</v>
      </c>
      <c r="AE68" s="213">
        <v>1</v>
      </c>
      <c r="AF68" s="214">
        <v>1</v>
      </c>
      <c r="AG68" s="212">
        <v>1</v>
      </c>
      <c r="AH68" s="212">
        <v>1</v>
      </c>
      <c r="AI68" s="212">
        <v>1</v>
      </c>
      <c r="AJ68" s="212">
        <v>1</v>
      </c>
      <c r="AK68" s="242"/>
      <c r="AL68" s="213">
        <v>1</v>
      </c>
      <c r="AM68" s="214">
        <v>1</v>
      </c>
      <c r="AN68" s="266"/>
      <c r="AO68" s="267"/>
      <c r="AP68" s="267"/>
      <c r="AQ68" s="267"/>
      <c r="AR68" s="428"/>
      <c r="AS68" s="108"/>
      <c r="AT68" s="108"/>
      <c r="AU68" s="428"/>
      <c r="AV68" s="121"/>
      <c r="AW68" s="428"/>
      <c r="AX68" s="428"/>
    </row>
    <row r="69" spans="1:50" hidden="1">
      <c r="A69" s="486"/>
      <c r="B69" s="486"/>
      <c r="C69" s="455"/>
      <c r="D69" s="469"/>
      <c r="E69" s="443"/>
      <c r="F69" s="455"/>
      <c r="G69" s="134"/>
      <c r="H69" s="188" t="s">
        <v>15</v>
      </c>
      <c r="I69" s="215">
        <v>22974</v>
      </c>
      <c r="J69" s="213">
        <v>23635</v>
      </c>
      <c r="K69" s="214">
        <v>16288</v>
      </c>
      <c r="L69" s="215">
        <v>23435</v>
      </c>
      <c r="M69" s="215">
        <v>23435</v>
      </c>
      <c r="N69" s="215">
        <v>16631</v>
      </c>
      <c r="O69" s="215">
        <f>2300+6337</f>
        <v>8637</v>
      </c>
      <c r="P69" s="215">
        <f>2300+6337</f>
        <v>8637</v>
      </c>
      <c r="Q69" s="213">
        <v>23635</v>
      </c>
      <c r="R69" s="214">
        <v>16288</v>
      </c>
      <c r="S69" s="242">
        <f>3860+6259</f>
        <v>10119</v>
      </c>
      <c r="T69" s="215">
        <f>3860+6259</f>
        <v>10119</v>
      </c>
      <c r="U69" s="215">
        <v>17041</v>
      </c>
      <c r="V69" s="215">
        <v>17041</v>
      </c>
      <c r="W69" s="215">
        <f>6474+6207+6986+6168</f>
        <v>25835</v>
      </c>
      <c r="X69" s="213">
        <v>23635</v>
      </c>
      <c r="Y69" s="214">
        <v>16288</v>
      </c>
      <c r="Z69" s="215"/>
      <c r="AA69" s="215"/>
      <c r="AB69" s="215"/>
      <c r="AC69" s="215"/>
      <c r="AD69" s="215"/>
      <c r="AE69" s="213">
        <v>23635</v>
      </c>
      <c r="AF69" s="214">
        <v>16288</v>
      </c>
      <c r="AG69" s="215"/>
      <c r="AH69" s="215"/>
      <c r="AI69" s="215"/>
      <c r="AJ69" s="215"/>
      <c r="AK69" s="242"/>
      <c r="AL69" s="213">
        <v>23635</v>
      </c>
      <c r="AM69" s="214">
        <v>16288</v>
      </c>
      <c r="AN69" s="265">
        <f t="shared" ref="AN69:AN75" si="51">SUM(I69:AM69)</f>
        <v>383519</v>
      </c>
      <c r="AO69" s="267"/>
      <c r="AP69" s="267"/>
      <c r="AQ69" s="267"/>
      <c r="AR69" s="428"/>
      <c r="AS69" s="108"/>
      <c r="AT69" s="108"/>
      <c r="AU69" s="428"/>
      <c r="AV69" s="121"/>
      <c r="AW69" s="428"/>
      <c r="AX69" s="428"/>
    </row>
    <row r="70" spans="1:50" hidden="1">
      <c r="A70" s="486"/>
      <c r="B70" s="486"/>
      <c r="C70" s="455"/>
      <c r="D70" s="469"/>
      <c r="E70" s="443"/>
      <c r="F70" s="455"/>
      <c r="G70" s="134" t="s">
        <v>23</v>
      </c>
      <c r="H70" s="187" t="s">
        <v>24</v>
      </c>
      <c r="I70" s="235">
        <f t="shared" ref="I70:I75" si="52">$O$84*$D$58/5</f>
        <v>4372.5</v>
      </c>
      <c r="J70" s="236">
        <f t="shared" ref="J70:J75" si="53">$O$84*$D$58/5</f>
        <v>4372.5</v>
      </c>
      <c r="K70" s="237">
        <f t="shared" ref="K70:K75" si="54">$O$84*$D$58/5</f>
        <v>4372.5</v>
      </c>
      <c r="L70" s="235">
        <f t="shared" ref="L70:L75" si="55">$O$84*$D$58/5</f>
        <v>4372.5</v>
      </c>
      <c r="M70" s="235">
        <f t="shared" ref="M70:M75" si="56">$O$84*$D$58/5</f>
        <v>4372.5</v>
      </c>
      <c r="N70" s="235">
        <f t="shared" ref="N70:N75" si="57">$O$84*$D$58/5</f>
        <v>4372.5</v>
      </c>
      <c r="O70" s="235">
        <f t="shared" ref="O70:O75" si="58">$O$84*$D$58/5</f>
        <v>4372.5</v>
      </c>
      <c r="P70" s="235">
        <f t="shared" ref="P70:P75" si="59">$O$84*$D$58/5</f>
        <v>4372.5</v>
      </c>
      <c r="Q70" s="236">
        <f t="shared" ref="Q70:Q75" si="60">$O$84*$D$58/5</f>
        <v>4372.5</v>
      </c>
      <c r="R70" s="237">
        <f t="shared" ref="R70:R75" si="61">$O$84*$D$58/5</f>
        <v>4372.5</v>
      </c>
      <c r="S70" s="249">
        <f t="shared" ref="S70:S75" si="62">$O$84*$D$58/5</f>
        <v>4372.5</v>
      </c>
      <c r="T70" s="235">
        <f t="shared" ref="T70:T75" si="63">$O$84*$D$58/5</f>
        <v>4372.5</v>
      </c>
      <c r="U70" s="235">
        <f t="shared" ref="U70:U75" si="64">$O$84*$D$58/5</f>
        <v>4372.5</v>
      </c>
      <c r="V70" s="235">
        <f t="shared" ref="V70:V75" si="65">$O$84*$D$58/5</f>
        <v>4372.5</v>
      </c>
      <c r="W70" s="235">
        <f t="shared" ref="W70:W75" si="66">$O$84*$D$58/5</f>
        <v>4372.5</v>
      </c>
      <c r="X70" s="236">
        <f t="shared" ref="X70:X75" si="67">$O$84*$D$58/5</f>
        <v>4372.5</v>
      </c>
      <c r="Y70" s="237">
        <f t="shared" ref="Y70:Y75" si="68">$O$84*$D$58/5</f>
        <v>4372.5</v>
      </c>
      <c r="Z70" s="235">
        <f t="shared" ref="Z70:Z75" si="69">$O$84*$D$58/5</f>
        <v>4372.5</v>
      </c>
      <c r="AA70" s="235">
        <f t="shared" ref="AA70:AA75" si="70">$O$84*$D$58/5</f>
        <v>4372.5</v>
      </c>
      <c r="AB70" s="235">
        <f t="shared" ref="AB70:AB75" si="71">$O$84*$D$58/5</f>
        <v>4372.5</v>
      </c>
      <c r="AC70" s="235">
        <f t="shared" ref="AC70:AC75" si="72">$O$84*$D$58/5</f>
        <v>4372.5</v>
      </c>
      <c r="AD70" s="235">
        <f t="shared" ref="AD70:AD75" si="73">$O$84*$D$58/5</f>
        <v>4372.5</v>
      </c>
      <c r="AE70" s="236">
        <f t="shared" ref="AE70:AE75" si="74">$O$84*$D$58/5</f>
        <v>4372.5</v>
      </c>
      <c r="AF70" s="237">
        <f t="shared" ref="AF70:AF75" si="75">$O$84*$D$58/5</f>
        <v>4372.5</v>
      </c>
      <c r="AG70" s="235">
        <f t="shared" ref="AG70:AG75" si="76">$O$84*$D$58/5</f>
        <v>4372.5</v>
      </c>
      <c r="AH70" s="235">
        <f t="shared" ref="AH70:AH75" si="77">$O$84*$D$58/5</f>
        <v>4372.5</v>
      </c>
      <c r="AI70" s="235">
        <f t="shared" ref="AI70:AI75" si="78">$O$84*$D$58/5</f>
        <v>4372.5</v>
      </c>
      <c r="AJ70" s="235">
        <f t="shared" ref="AJ70:AJ75" si="79">$O$84*$D$58/5</f>
        <v>4372.5</v>
      </c>
      <c r="AK70" s="249"/>
      <c r="AL70" s="236">
        <f t="shared" ref="AL70:AL75" si="80">$O$84*$D$58/5</f>
        <v>4372.5</v>
      </c>
      <c r="AM70" s="237">
        <f t="shared" ref="AM70:AM75" si="81">$O$84*$D$58/5</f>
        <v>4372.5</v>
      </c>
      <c r="AN70" s="266">
        <f t="shared" si="51"/>
        <v>131175</v>
      </c>
      <c r="AO70" s="267"/>
      <c r="AP70" s="267"/>
      <c r="AQ70" s="267"/>
      <c r="AR70" s="428"/>
      <c r="AS70" s="108"/>
      <c r="AT70" s="108"/>
      <c r="AU70" s="428"/>
      <c r="AV70" s="121"/>
      <c r="AW70" s="428"/>
      <c r="AX70" s="428"/>
    </row>
    <row r="71" spans="1:50" hidden="1">
      <c r="A71" s="486"/>
      <c r="B71" s="486"/>
      <c r="C71" s="455"/>
      <c r="D71" s="469"/>
      <c r="E71" s="443"/>
      <c r="F71" s="455"/>
      <c r="G71" s="134"/>
      <c r="H71" s="187" t="s">
        <v>27</v>
      </c>
      <c r="I71" s="212"/>
      <c r="J71" s="213">
        <v>1</v>
      </c>
      <c r="K71" s="214"/>
      <c r="L71" s="212">
        <v>1</v>
      </c>
      <c r="M71" s="212">
        <v>1</v>
      </c>
      <c r="N71" s="212"/>
      <c r="O71" s="212"/>
      <c r="P71" s="212"/>
      <c r="Q71" s="213">
        <v>1</v>
      </c>
      <c r="R71" s="214"/>
      <c r="S71" s="242">
        <v>1</v>
      </c>
      <c r="T71" s="212">
        <v>1</v>
      </c>
      <c r="U71" s="212"/>
      <c r="V71" s="212"/>
      <c r="W71" s="212">
        <v>1</v>
      </c>
      <c r="X71" s="213">
        <v>1</v>
      </c>
      <c r="Y71" s="214"/>
      <c r="Z71" s="212"/>
      <c r="AA71" s="212">
        <v>1</v>
      </c>
      <c r="AB71" s="212"/>
      <c r="AC71" s="212">
        <v>1</v>
      </c>
      <c r="AD71" s="212"/>
      <c r="AE71" s="213">
        <v>1</v>
      </c>
      <c r="AF71" s="214"/>
      <c r="AG71" s="212"/>
      <c r="AH71" s="212"/>
      <c r="AI71" s="212">
        <v>1</v>
      </c>
      <c r="AJ71" s="212"/>
      <c r="AK71" s="242"/>
      <c r="AL71" s="213">
        <v>1</v>
      </c>
      <c r="AM71" s="214"/>
      <c r="AN71" s="266"/>
      <c r="AO71" s="267"/>
      <c r="AP71" s="267"/>
      <c r="AQ71" s="267"/>
      <c r="AR71" s="428"/>
      <c r="AS71" s="108"/>
      <c r="AT71" s="108"/>
      <c r="AU71" s="428"/>
      <c r="AV71" s="121"/>
      <c r="AW71" s="428"/>
      <c r="AX71" s="428"/>
    </row>
    <row r="72" spans="1:50" hidden="1">
      <c r="A72" s="486"/>
      <c r="B72" s="486"/>
      <c r="C72" s="455"/>
      <c r="D72" s="469"/>
      <c r="E72" s="443"/>
      <c r="F72" s="455"/>
      <c r="G72" s="134"/>
      <c r="H72" s="188" t="s">
        <v>15</v>
      </c>
      <c r="I72" s="215"/>
      <c r="J72" s="213"/>
      <c r="K72" s="214"/>
      <c r="L72" s="215">
        <f>26696</f>
        <v>26696</v>
      </c>
      <c r="M72" s="215">
        <f>26696</f>
        <v>26696</v>
      </c>
      <c r="N72" s="215"/>
      <c r="O72" s="215"/>
      <c r="P72" s="215"/>
      <c r="Q72" s="213"/>
      <c r="R72" s="214"/>
      <c r="S72" s="242"/>
      <c r="T72" s="215"/>
      <c r="U72" s="215"/>
      <c r="V72" s="215"/>
      <c r="W72" s="215"/>
      <c r="X72" s="213"/>
      <c r="Y72" s="214"/>
      <c r="Z72" s="215"/>
      <c r="AA72" s="215"/>
      <c r="AB72" s="215"/>
      <c r="AC72" s="215"/>
      <c r="AD72" s="215"/>
      <c r="AE72" s="213"/>
      <c r="AF72" s="214"/>
      <c r="AG72" s="215"/>
      <c r="AH72" s="215"/>
      <c r="AI72" s="215"/>
      <c r="AJ72" s="215"/>
      <c r="AK72" s="242"/>
      <c r="AL72" s="213"/>
      <c r="AM72" s="214"/>
      <c r="AN72" s="265">
        <f t="shared" si="51"/>
        <v>53392</v>
      </c>
      <c r="AO72" s="267"/>
      <c r="AP72" s="267"/>
      <c r="AQ72" s="267"/>
      <c r="AR72" s="428"/>
      <c r="AS72" s="108"/>
      <c r="AT72" s="108"/>
      <c r="AU72" s="428"/>
      <c r="AV72" s="121"/>
      <c r="AW72" s="428"/>
      <c r="AX72" s="428"/>
    </row>
    <row r="73" spans="1:50" hidden="1">
      <c r="A73" s="486"/>
      <c r="B73" s="486"/>
      <c r="C73" s="455"/>
      <c r="D73" s="469"/>
      <c r="E73" s="443"/>
      <c r="F73" s="455"/>
      <c r="G73" s="134" t="s">
        <v>28</v>
      </c>
      <c r="H73" s="187" t="s">
        <v>29</v>
      </c>
      <c r="I73" s="235">
        <f t="shared" si="52"/>
        <v>4372.5</v>
      </c>
      <c r="J73" s="236">
        <f t="shared" si="53"/>
        <v>4372.5</v>
      </c>
      <c r="K73" s="237">
        <f t="shared" si="54"/>
        <v>4372.5</v>
      </c>
      <c r="L73" s="235">
        <f t="shared" si="55"/>
        <v>4372.5</v>
      </c>
      <c r="M73" s="235">
        <f t="shared" si="56"/>
        <v>4372.5</v>
      </c>
      <c r="N73" s="235">
        <f t="shared" si="57"/>
        <v>4372.5</v>
      </c>
      <c r="O73" s="235">
        <f t="shared" si="58"/>
        <v>4372.5</v>
      </c>
      <c r="P73" s="235">
        <f t="shared" si="59"/>
        <v>4372.5</v>
      </c>
      <c r="Q73" s="236">
        <f t="shared" si="60"/>
        <v>4372.5</v>
      </c>
      <c r="R73" s="237">
        <f t="shared" si="61"/>
        <v>4372.5</v>
      </c>
      <c r="S73" s="249">
        <f t="shared" si="62"/>
        <v>4372.5</v>
      </c>
      <c r="T73" s="235">
        <f t="shared" si="63"/>
        <v>4372.5</v>
      </c>
      <c r="U73" s="235">
        <f t="shared" si="64"/>
        <v>4372.5</v>
      </c>
      <c r="V73" s="235">
        <f t="shared" si="65"/>
        <v>4372.5</v>
      </c>
      <c r="W73" s="235">
        <f t="shared" si="66"/>
        <v>4372.5</v>
      </c>
      <c r="X73" s="236">
        <f t="shared" si="67"/>
        <v>4372.5</v>
      </c>
      <c r="Y73" s="237">
        <f t="shared" si="68"/>
        <v>4372.5</v>
      </c>
      <c r="Z73" s="235">
        <f t="shared" si="69"/>
        <v>4372.5</v>
      </c>
      <c r="AA73" s="235">
        <f t="shared" si="70"/>
        <v>4372.5</v>
      </c>
      <c r="AB73" s="235">
        <f t="shared" si="71"/>
        <v>4372.5</v>
      </c>
      <c r="AC73" s="235">
        <f t="shared" si="72"/>
        <v>4372.5</v>
      </c>
      <c r="AD73" s="235">
        <f t="shared" si="73"/>
        <v>4372.5</v>
      </c>
      <c r="AE73" s="236">
        <f t="shared" si="74"/>
        <v>4372.5</v>
      </c>
      <c r="AF73" s="237">
        <f t="shared" si="75"/>
        <v>4372.5</v>
      </c>
      <c r="AG73" s="235">
        <f t="shared" si="76"/>
        <v>4372.5</v>
      </c>
      <c r="AH73" s="235">
        <f t="shared" si="77"/>
        <v>4372.5</v>
      </c>
      <c r="AI73" s="235">
        <f t="shared" si="78"/>
        <v>4372.5</v>
      </c>
      <c r="AJ73" s="235">
        <f t="shared" si="79"/>
        <v>4372.5</v>
      </c>
      <c r="AK73" s="249"/>
      <c r="AL73" s="236">
        <f t="shared" si="80"/>
        <v>4372.5</v>
      </c>
      <c r="AM73" s="237">
        <f t="shared" si="81"/>
        <v>4372.5</v>
      </c>
      <c r="AN73" s="266">
        <f t="shared" si="51"/>
        <v>131175</v>
      </c>
      <c r="AO73" s="267"/>
      <c r="AP73" s="267"/>
      <c r="AQ73" s="267"/>
      <c r="AR73" s="428"/>
      <c r="AS73" s="108"/>
      <c r="AT73" s="108"/>
      <c r="AU73" s="428"/>
      <c r="AV73" s="121"/>
      <c r="AW73" s="428"/>
      <c r="AX73" s="428"/>
    </row>
    <row r="74" spans="1:50" hidden="1">
      <c r="A74" s="486"/>
      <c r="B74" s="486"/>
      <c r="C74" s="455"/>
      <c r="D74" s="469"/>
      <c r="E74" s="443"/>
      <c r="F74" s="455"/>
      <c r="G74" s="134"/>
      <c r="H74" s="188" t="s">
        <v>15</v>
      </c>
      <c r="I74" s="269"/>
      <c r="J74" s="236"/>
      <c r="K74" s="237"/>
      <c r="L74" s="269">
        <f>30107</f>
        <v>30107</v>
      </c>
      <c r="M74" s="269">
        <f>30107</f>
        <v>30107</v>
      </c>
      <c r="N74" s="269"/>
      <c r="O74" s="269"/>
      <c r="P74" s="269"/>
      <c r="Q74" s="236"/>
      <c r="R74" s="237"/>
      <c r="S74" s="249"/>
      <c r="T74" s="269"/>
      <c r="U74" s="269"/>
      <c r="V74" s="269"/>
      <c r="W74" s="269"/>
      <c r="X74" s="236"/>
      <c r="Y74" s="237"/>
      <c r="Z74" s="269"/>
      <c r="AA74" s="269"/>
      <c r="AB74" s="269"/>
      <c r="AC74" s="269"/>
      <c r="AD74" s="269"/>
      <c r="AE74" s="236"/>
      <c r="AF74" s="237"/>
      <c r="AG74" s="269"/>
      <c r="AH74" s="269"/>
      <c r="AI74" s="269"/>
      <c r="AJ74" s="269"/>
      <c r="AK74" s="249"/>
      <c r="AL74" s="236"/>
      <c r="AM74" s="237"/>
      <c r="AN74" s="265">
        <f t="shared" si="51"/>
        <v>60214</v>
      </c>
      <c r="AO74" s="267"/>
      <c r="AP74" s="267"/>
      <c r="AQ74" s="267"/>
      <c r="AR74" s="428"/>
      <c r="AS74" s="108"/>
      <c r="AT74" s="108"/>
      <c r="AU74" s="428"/>
      <c r="AV74" s="121"/>
      <c r="AW74" s="428"/>
      <c r="AX74" s="428"/>
    </row>
    <row r="75" spans="1:50" hidden="1">
      <c r="A75" s="486"/>
      <c r="B75" s="486"/>
      <c r="C75" s="455"/>
      <c r="D75" s="469"/>
      <c r="E75" s="443"/>
      <c r="F75" s="455"/>
      <c r="G75" s="134" t="s">
        <v>47</v>
      </c>
      <c r="H75" s="187" t="s">
        <v>48</v>
      </c>
      <c r="I75" s="235">
        <f t="shared" si="52"/>
        <v>4372.5</v>
      </c>
      <c r="J75" s="236">
        <f t="shared" si="53"/>
        <v>4372.5</v>
      </c>
      <c r="K75" s="237">
        <f t="shared" si="54"/>
        <v>4372.5</v>
      </c>
      <c r="L75" s="235">
        <f t="shared" si="55"/>
        <v>4372.5</v>
      </c>
      <c r="M75" s="235">
        <f t="shared" si="56"/>
        <v>4372.5</v>
      </c>
      <c r="N75" s="235">
        <f t="shared" si="57"/>
        <v>4372.5</v>
      </c>
      <c r="O75" s="235">
        <f t="shared" si="58"/>
        <v>4372.5</v>
      </c>
      <c r="P75" s="235">
        <f t="shared" si="59"/>
        <v>4372.5</v>
      </c>
      <c r="Q75" s="236">
        <f t="shared" si="60"/>
        <v>4372.5</v>
      </c>
      <c r="R75" s="237">
        <f t="shared" si="61"/>
        <v>4372.5</v>
      </c>
      <c r="S75" s="249">
        <f t="shared" si="62"/>
        <v>4372.5</v>
      </c>
      <c r="T75" s="235">
        <f t="shared" si="63"/>
        <v>4372.5</v>
      </c>
      <c r="U75" s="235">
        <f t="shared" si="64"/>
        <v>4372.5</v>
      </c>
      <c r="V75" s="235">
        <f t="shared" si="65"/>
        <v>4372.5</v>
      </c>
      <c r="W75" s="235">
        <f t="shared" si="66"/>
        <v>4372.5</v>
      </c>
      <c r="X75" s="236">
        <f t="shared" si="67"/>
        <v>4372.5</v>
      </c>
      <c r="Y75" s="237">
        <f t="shared" si="68"/>
        <v>4372.5</v>
      </c>
      <c r="Z75" s="235">
        <f t="shared" si="69"/>
        <v>4372.5</v>
      </c>
      <c r="AA75" s="235">
        <f t="shared" si="70"/>
        <v>4372.5</v>
      </c>
      <c r="AB75" s="235">
        <f t="shared" si="71"/>
        <v>4372.5</v>
      </c>
      <c r="AC75" s="235">
        <f t="shared" si="72"/>
        <v>4372.5</v>
      </c>
      <c r="AD75" s="235">
        <f t="shared" si="73"/>
        <v>4372.5</v>
      </c>
      <c r="AE75" s="236">
        <f t="shared" si="74"/>
        <v>4372.5</v>
      </c>
      <c r="AF75" s="237">
        <f t="shared" si="75"/>
        <v>4372.5</v>
      </c>
      <c r="AG75" s="235">
        <f t="shared" si="76"/>
        <v>4372.5</v>
      </c>
      <c r="AH75" s="235">
        <f t="shared" si="77"/>
        <v>4372.5</v>
      </c>
      <c r="AI75" s="235">
        <f t="shared" si="78"/>
        <v>4372.5</v>
      </c>
      <c r="AJ75" s="235">
        <f t="shared" si="79"/>
        <v>4372.5</v>
      </c>
      <c r="AK75" s="249"/>
      <c r="AL75" s="236">
        <f t="shared" si="80"/>
        <v>4372.5</v>
      </c>
      <c r="AM75" s="237">
        <f t="shared" si="81"/>
        <v>4372.5</v>
      </c>
      <c r="AN75" s="266">
        <f t="shared" si="51"/>
        <v>131175</v>
      </c>
      <c r="AO75" s="267"/>
      <c r="AP75" s="267"/>
      <c r="AQ75" s="267"/>
      <c r="AR75" s="428"/>
      <c r="AS75" s="108"/>
      <c r="AT75" s="108"/>
      <c r="AU75" s="428"/>
      <c r="AV75" s="121"/>
      <c r="AW75" s="428"/>
      <c r="AX75" s="428"/>
    </row>
    <row r="76" spans="1:50" hidden="1">
      <c r="A76" s="486"/>
      <c r="B76" s="486"/>
      <c r="C76" s="455"/>
      <c r="D76" s="469"/>
      <c r="E76" s="443"/>
      <c r="F76" s="455"/>
      <c r="G76" s="134"/>
      <c r="H76" s="187" t="s">
        <v>27</v>
      </c>
      <c r="I76" s="212"/>
      <c r="J76" s="213">
        <v>1</v>
      </c>
      <c r="K76" s="214"/>
      <c r="L76" s="212">
        <v>1</v>
      </c>
      <c r="M76" s="212">
        <v>1</v>
      </c>
      <c r="N76" s="212"/>
      <c r="O76" s="212"/>
      <c r="P76" s="212"/>
      <c r="Q76" s="213">
        <v>1</v>
      </c>
      <c r="R76" s="214"/>
      <c r="S76" s="242">
        <v>1</v>
      </c>
      <c r="T76" s="212">
        <v>1</v>
      </c>
      <c r="U76" s="212"/>
      <c r="V76" s="212"/>
      <c r="W76" s="212">
        <v>1</v>
      </c>
      <c r="X76" s="213">
        <v>1</v>
      </c>
      <c r="Y76" s="214"/>
      <c r="Z76" s="212"/>
      <c r="AA76" s="212">
        <v>1</v>
      </c>
      <c r="AB76" s="212"/>
      <c r="AC76" s="212">
        <v>1</v>
      </c>
      <c r="AD76" s="212"/>
      <c r="AE76" s="213">
        <v>1</v>
      </c>
      <c r="AF76" s="214"/>
      <c r="AG76" s="212"/>
      <c r="AH76" s="212"/>
      <c r="AI76" s="212">
        <v>1</v>
      </c>
      <c r="AJ76" s="212"/>
      <c r="AK76" s="242"/>
      <c r="AL76" s="213">
        <v>1</v>
      </c>
      <c r="AM76" s="214"/>
      <c r="AN76" s="266"/>
      <c r="AO76" s="267"/>
      <c r="AP76" s="267"/>
      <c r="AQ76" s="267"/>
      <c r="AR76" s="428"/>
      <c r="AS76" s="108"/>
      <c r="AT76" s="108"/>
      <c r="AU76" s="428"/>
      <c r="AV76" s="121"/>
      <c r="AW76" s="428"/>
      <c r="AX76" s="428"/>
    </row>
    <row r="77" spans="1:50" hidden="1">
      <c r="A77" s="486"/>
      <c r="B77" s="486"/>
      <c r="C77" s="455"/>
      <c r="D77" s="469"/>
      <c r="E77" s="443"/>
      <c r="F77" s="455"/>
      <c r="G77" s="134"/>
      <c r="H77" s="188" t="s">
        <v>15</v>
      </c>
      <c r="I77" s="215"/>
      <c r="J77" s="213"/>
      <c r="K77" s="214"/>
      <c r="L77" s="215">
        <f>23066</f>
        <v>23066</v>
      </c>
      <c r="M77" s="215">
        <f>23066</f>
        <v>23066</v>
      </c>
      <c r="N77" s="215"/>
      <c r="O77" s="215"/>
      <c r="P77" s="215"/>
      <c r="Q77" s="213"/>
      <c r="R77" s="214"/>
      <c r="S77" s="242"/>
      <c r="T77" s="215"/>
      <c r="U77" s="215"/>
      <c r="V77" s="215"/>
      <c r="W77" s="215"/>
      <c r="X77" s="213"/>
      <c r="Y77" s="214"/>
      <c r="Z77" s="215"/>
      <c r="AA77" s="215"/>
      <c r="AB77" s="215"/>
      <c r="AC77" s="215"/>
      <c r="AD77" s="215"/>
      <c r="AE77" s="213"/>
      <c r="AF77" s="214"/>
      <c r="AG77" s="215"/>
      <c r="AH77" s="215"/>
      <c r="AI77" s="215"/>
      <c r="AJ77" s="215"/>
      <c r="AK77" s="242"/>
      <c r="AL77" s="213"/>
      <c r="AM77" s="214"/>
      <c r="AN77" s="265">
        <f>SUM(I77:AM77)</f>
        <v>46132</v>
      </c>
      <c r="AO77" s="267"/>
      <c r="AP77" s="267"/>
      <c r="AQ77" s="267"/>
      <c r="AR77" s="428"/>
      <c r="AS77" s="108"/>
      <c r="AT77" s="108"/>
      <c r="AU77" s="428"/>
      <c r="AV77" s="121"/>
      <c r="AW77" s="428"/>
      <c r="AX77" s="428"/>
    </row>
    <row r="78" spans="1:50" hidden="1">
      <c r="A78" s="486"/>
      <c r="B78" s="486"/>
      <c r="C78" s="455"/>
      <c r="D78" s="469"/>
      <c r="E78" s="443"/>
      <c r="F78" s="455"/>
      <c r="G78" s="134"/>
      <c r="H78" s="187" t="s">
        <v>30</v>
      </c>
      <c r="I78" s="212">
        <f t="shared" ref="I78:AJ78" si="82">$O$84*$D$58/5</f>
        <v>4372.5</v>
      </c>
      <c r="J78" s="213">
        <f t="shared" si="82"/>
        <v>4372.5</v>
      </c>
      <c r="K78" s="214">
        <f t="shared" si="82"/>
        <v>4372.5</v>
      </c>
      <c r="L78" s="212">
        <f t="shared" si="82"/>
        <v>4372.5</v>
      </c>
      <c r="M78" s="212">
        <f t="shared" si="82"/>
        <v>4372.5</v>
      </c>
      <c r="N78" s="212">
        <f t="shared" si="82"/>
        <v>4372.5</v>
      </c>
      <c r="O78" s="212">
        <f t="shared" si="82"/>
        <v>4372.5</v>
      </c>
      <c r="P78" s="212">
        <f t="shared" si="82"/>
        <v>4372.5</v>
      </c>
      <c r="Q78" s="213">
        <f t="shared" si="82"/>
        <v>4372.5</v>
      </c>
      <c r="R78" s="214">
        <f t="shared" si="82"/>
        <v>4372.5</v>
      </c>
      <c r="S78" s="242">
        <f t="shared" si="82"/>
        <v>4372.5</v>
      </c>
      <c r="T78" s="212">
        <f t="shared" si="82"/>
        <v>4372.5</v>
      </c>
      <c r="U78" s="212">
        <f t="shared" si="82"/>
        <v>4372.5</v>
      </c>
      <c r="V78" s="212">
        <f t="shared" si="82"/>
        <v>4372.5</v>
      </c>
      <c r="W78" s="212">
        <f t="shared" si="82"/>
        <v>4372.5</v>
      </c>
      <c r="X78" s="213">
        <f t="shared" si="82"/>
        <v>4372.5</v>
      </c>
      <c r="Y78" s="214">
        <f t="shared" si="82"/>
        <v>4372.5</v>
      </c>
      <c r="Z78" s="212">
        <f t="shared" si="82"/>
        <v>4372.5</v>
      </c>
      <c r="AA78" s="212">
        <f t="shared" si="82"/>
        <v>4372.5</v>
      </c>
      <c r="AB78" s="212">
        <f t="shared" si="82"/>
        <v>4372.5</v>
      </c>
      <c r="AC78" s="212">
        <f t="shared" si="82"/>
        <v>4372.5</v>
      </c>
      <c r="AD78" s="212">
        <f t="shared" si="82"/>
        <v>4372.5</v>
      </c>
      <c r="AE78" s="213">
        <f t="shared" si="82"/>
        <v>4372.5</v>
      </c>
      <c r="AF78" s="214">
        <f t="shared" si="82"/>
        <v>4372.5</v>
      </c>
      <c r="AG78" s="212">
        <f t="shared" si="82"/>
        <v>4372.5</v>
      </c>
      <c r="AH78" s="212">
        <f t="shared" si="82"/>
        <v>4372.5</v>
      </c>
      <c r="AI78" s="212">
        <f t="shared" si="82"/>
        <v>4372.5</v>
      </c>
      <c r="AJ78" s="212">
        <f t="shared" si="82"/>
        <v>4372.5</v>
      </c>
      <c r="AK78" s="242"/>
      <c r="AL78" s="213">
        <f>$O$84*$D$58/5</f>
        <v>4372.5</v>
      </c>
      <c r="AM78" s="214">
        <f>$O$84*$D$58/5</f>
        <v>4372.5</v>
      </c>
      <c r="AN78" s="266">
        <f>SUM(I78:AM78)</f>
        <v>131175</v>
      </c>
      <c r="AO78" s="267"/>
      <c r="AP78" s="267"/>
      <c r="AQ78" s="267"/>
      <c r="AR78" s="428"/>
      <c r="AS78" s="108"/>
      <c r="AT78" s="108"/>
      <c r="AU78" s="428"/>
      <c r="AV78" s="121"/>
      <c r="AW78" s="428"/>
      <c r="AX78" s="428"/>
    </row>
    <row r="79" spans="1:50" hidden="1">
      <c r="A79" s="486"/>
      <c r="B79" s="486"/>
      <c r="C79" s="455"/>
      <c r="D79" s="469"/>
      <c r="E79" s="443"/>
      <c r="F79" s="455"/>
      <c r="G79" s="134"/>
      <c r="H79" s="187" t="s">
        <v>31</v>
      </c>
      <c r="I79" s="212"/>
      <c r="J79" s="213"/>
      <c r="K79" s="214">
        <v>1</v>
      </c>
      <c r="L79" s="212">
        <v>1</v>
      </c>
      <c r="M79" s="212">
        <v>1</v>
      </c>
      <c r="N79" s="212">
        <v>1</v>
      </c>
      <c r="O79" s="212"/>
      <c r="P79" s="212"/>
      <c r="Q79" s="213"/>
      <c r="R79" s="214">
        <v>1</v>
      </c>
      <c r="S79" s="242"/>
      <c r="T79" s="212"/>
      <c r="U79" s="212">
        <v>1</v>
      </c>
      <c r="V79" s="212">
        <v>1</v>
      </c>
      <c r="W79" s="212">
        <v>1</v>
      </c>
      <c r="X79" s="213"/>
      <c r="Y79" s="214">
        <v>1</v>
      </c>
      <c r="Z79" s="212"/>
      <c r="AA79" s="212"/>
      <c r="AB79" s="212">
        <v>1</v>
      </c>
      <c r="AC79" s="212">
        <v>1</v>
      </c>
      <c r="AD79" s="212">
        <v>1</v>
      </c>
      <c r="AE79" s="213"/>
      <c r="AF79" s="214">
        <v>1</v>
      </c>
      <c r="AG79" s="212"/>
      <c r="AH79" s="212">
        <v>1</v>
      </c>
      <c r="AI79" s="212">
        <v>1</v>
      </c>
      <c r="AJ79" s="212">
        <v>1</v>
      </c>
      <c r="AK79" s="242"/>
      <c r="AL79" s="213"/>
      <c r="AM79" s="214">
        <v>1</v>
      </c>
      <c r="AN79" s="266"/>
      <c r="AO79" s="267"/>
      <c r="AP79" s="267"/>
      <c r="AQ79" s="267"/>
      <c r="AR79" s="428"/>
      <c r="AS79" s="108"/>
      <c r="AT79" s="108"/>
      <c r="AU79" s="428"/>
      <c r="AV79" s="121"/>
      <c r="AW79" s="428"/>
      <c r="AX79" s="428"/>
    </row>
    <row r="80" spans="1:50" hidden="1">
      <c r="A80" s="486"/>
      <c r="B80" s="486"/>
      <c r="C80" s="455"/>
      <c r="D80" s="469"/>
      <c r="E80" s="443"/>
      <c r="F80" s="455"/>
      <c r="G80" s="13"/>
      <c r="H80" s="188" t="s">
        <v>15</v>
      </c>
      <c r="I80" s="215">
        <f>1200+3500+1308+2969</f>
        <v>8977</v>
      </c>
      <c r="J80" s="213"/>
      <c r="K80" s="214"/>
      <c r="L80" s="215"/>
      <c r="M80" s="215"/>
      <c r="N80" s="215"/>
      <c r="O80" s="215"/>
      <c r="P80" s="215"/>
      <c r="Q80" s="213"/>
      <c r="R80" s="214"/>
      <c r="S80" s="242">
        <f>4661+1127</f>
        <v>5788</v>
      </c>
      <c r="T80" s="215">
        <f>4661+1127</f>
        <v>5788</v>
      </c>
      <c r="U80" s="215">
        <f>28+4169</f>
        <v>4197</v>
      </c>
      <c r="V80" s="215">
        <f>28+4169</f>
        <v>4197</v>
      </c>
      <c r="W80" s="215">
        <f>500+4656+77+4659+615</f>
        <v>10507</v>
      </c>
      <c r="X80" s="213"/>
      <c r="Y80" s="214"/>
      <c r="Z80" s="215"/>
      <c r="AA80" s="215"/>
      <c r="AB80" s="215"/>
      <c r="AC80" s="215"/>
      <c r="AD80" s="215"/>
      <c r="AE80" s="213"/>
      <c r="AF80" s="214"/>
      <c r="AG80" s="215"/>
      <c r="AH80" s="215"/>
      <c r="AI80" s="215"/>
      <c r="AJ80" s="215"/>
      <c r="AK80" s="242"/>
      <c r="AL80" s="213"/>
      <c r="AM80" s="214"/>
      <c r="AN80" s="265">
        <f>SUM(I80:AM80)</f>
        <v>39454</v>
      </c>
      <c r="AO80" s="267"/>
      <c r="AP80" s="267"/>
      <c r="AQ80" s="267"/>
      <c r="AR80" s="428"/>
      <c r="AS80" s="108"/>
      <c r="AT80" s="108"/>
      <c r="AU80" s="428"/>
      <c r="AV80" s="121"/>
      <c r="AW80" s="428"/>
      <c r="AX80" s="428"/>
    </row>
    <row r="81" spans="1:50" hidden="1">
      <c r="A81" s="486"/>
      <c r="B81" s="486"/>
      <c r="C81" s="455"/>
      <c r="D81" s="469"/>
      <c r="E81" s="443"/>
      <c r="F81" s="455"/>
      <c r="G81" s="13"/>
      <c r="H81" s="187" t="s">
        <v>49</v>
      </c>
      <c r="I81" s="212">
        <f t="shared" ref="I81:AJ81" si="83">$O$84*$D$58/5</f>
        <v>4372.5</v>
      </c>
      <c r="J81" s="213">
        <f t="shared" si="83"/>
        <v>4372.5</v>
      </c>
      <c r="K81" s="214">
        <f t="shared" si="83"/>
        <v>4372.5</v>
      </c>
      <c r="L81" s="212">
        <f t="shared" si="83"/>
        <v>4372.5</v>
      </c>
      <c r="M81" s="212">
        <f t="shared" si="83"/>
        <v>4372.5</v>
      </c>
      <c r="N81" s="212">
        <f t="shared" si="83"/>
        <v>4372.5</v>
      </c>
      <c r="O81" s="212">
        <f t="shared" si="83"/>
        <v>4372.5</v>
      </c>
      <c r="P81" s="212">
        <f t="shared" si="83"/>
        <v>4372.5</v>
      </c>
      <c r="Q81" s="213">
        <f t="shared" si="83"/>
        <v>4372.5</v>
      </c>
      <c r="R81" s="214">
        <f t="shared" si="83"/>
        <v>4372.5</v>
      </c>
      <c r="S81" s="242">
        <f t="shared" si="83"/>
        <v>4372.5</v>
      </c>
      <c r="T81" s="212">
        <f t="shared" si="83"/>
        <v>4372.5</v>
      </c>
      <c r="U81" s="212">
        <f t="shared" si="83"/>
        <v>4372.5</v>
      </c>
      <c r="V81" s="212">
        <f t="shared" si="83"/>
        <v>4372.5</v>
      </c>
      <c r="W81" s="212">
        <f t="shared" si="83"/>
        <v>4372.5</v>
      </c>
      <c r="X81" s="213">
        <f t="shared" si="83"/>
        <v>4372.5</v>
      </c>
      <c r="Y81" s="214">
        <f t="shared" si="83"/>
        <v>4372.5</v>
      </c>
      <c r="Z81" s="212">
        <f t="shared" si="83"/>
        <v>4372.5</v>
      </c>
      <c r="AA81" s="212">
        <f t="shared" si="83"/>
        <v>4372.5</v>
      </c>
      <c r="AB81" s="212">
        <f t="shared" si="83"/>
        <v>4372.5</v>
      </c>
      <c r="AC81" s="212">
        <f t="shared" si="83"/>
        <v>4372.5</v>
      </c>
      <c r="AD81" s="212">
        <f t="shared" si="83"/>
        <v>4372.5</v>
      </c>
      <c r="AE81" s="213">
        <f t="shared" si="83"/>
        <v>4372.5</v>
      </c>
      <c r="AF81" s="214">
        <f t="shared" si="83"/>
        <v>4372.5</v>
      </c>
      <c r="AG81" s="212">
        <f t="shared" si="83"/>
        <v>4372.5</v>
      </c>
      <c r="AH81" s="212">
        <f t="shared" si="83"/>
        <v>4372.5</v>
      </c>
      <c r="AI81" s="212">
        <f t="shared" si="83"/>
        <v>4372.5</v>
      </c>
      <c r="AJ81" s="212">
        <f t="shared" si="83"/>
        <v>4372.5</v>
      </c>
      <c r="AK81" s="242"/>
      <c r="AL81" s="213">
        <f>$O$84*$D$58/5</f>
        <v>4372.5</v>
      </c>
      <c r="AM81" s="214">
        <f>$O$84*$D$58/5</f>
        <v>4372.5</v>
      </c>
      <c r="AN81" s="266">
        <f>SUM(I81:AM81)</f>
        <v>131175</v>
      </c>
      <c r="AO81" s="267"/>
      <c r="AP81" s="267"/>
      <c r="AQ81" s="267"/>
      <c r="AR81" s="108"/>
      <c r="AS81" s="108"/>
      <c r="AT81" s="108"/>
      <c r="AU81" s="108"/>
      <c r="AV81" s="121"/>
      <c r="AW81" s="108"/>
      <c r="AX81" s="108"/>
    </row>
    <row r="82" spans="1:50" hidden="1">
      <c r="A82" s="486"/>
      <c r="B82" s="486"/>
      <c r="C82" s="455"/>
      <c r="D82" s="469"/>
      <c r="E82" s="443"/>
      <c r="F82" s="455"/>
      <c r="G82" s="13"/>
      <c r="H82" s="187" t="s">
        <v>50</v>
      </c>
      <c r="I82" s="212"/>
      <c r="J82" s="213"/>
      <c r="K82" s="214"/>
      <c r="L82" s="212">
        <v>2</v>
      </c>
      <c r="M82" s="212">
        <v>2</v>
      </c>
      <c r="N82" s="212">
        <v>2</v>
      </c>
      <c r="O82" s="212"/>
      <c r="P82" s="212"/>
      <c r="Q82" s="213"/>
      <c r="R82" s="214"/>
      <c r="S82" s="242"/>
      <c r="T82" s="212"/>
      <c r="U82" s="212"/>
      <c r="V82" s="212"/>
      <c r="W82" s="212">
        <v>2</v>
      </c>
      <c r="X82" s="213"/>
      <c r="Y82" s="214"/>
      <c r="Z82" s="212"/>
      <c r="AA82" s="212"/>
      <c r="AB82" s="212"/>
      <c r="AC82" s="212">
        <v>2</v>
      </c>
      <c r="AD82" s="212">
        <v>2</v>
      </c>
      <c r="AE82" s="213"/>
      <c r="AF82" s="214"/>
      <c r="AG82" s="212"/>
      <c r="AH82" s="212"/>
      <c r="AI82" s="212">
        <v>2</v>
      </c>
      <c r="AJ82" s="212">
        <v>2</v>
      </c>
      <c r="AK82" s="242"/>
      <c r="AL82" s="213"/>
      <c r="AM82" s="214"/>
      <c r="AN82" s="266"/>
      <c r="AO82" s="267"/>
      <c r="AP82" s="267"/>
      <c r="AQ82" s="267"/>
      <c r="AR82" s="108"/>
      <c r="AS82" s="108"/>
      <c r="AT82" s="108"/>
      <c r="AU82" s="108"/>
      <c r="AV82" s="121"/>
      <c r="AW82" s="108"/>
      <c r="AX82" s="108"/>
    </row>
    <row r="83" spans="1:50" hidden="1">
      <c r="A83" s="486"/>
      <c r="B83" s="486"/>
      <c r="C83" s="455"/>
      <c r="D83" s="469"/>
      <c r="E83" s="443"/>
      <c r="F83" s="455"/>
      <c r="G83" s="13"/>
      <c r="H83" s="188" t="s">
        <v>15</v>
      </c>
      <c r="I83" s="215">
        <v>6751</v>
      </c>
      <c r="J83" s="213">
        <v>7303</v>
      </c>
      <c r="K83" s="214">
        <v>1900</v>
      </c>
      <c r="L83" s="215"/>
      <c r="M83" s="215"/>
      <c r="N83" s="215"/>
      <c r="O83" s="215"/>
      <c r="P83" s="215"/>
      <c r="Q83" s="213">
        <v>7303</v>
      </c>
      <c r="R83" s="214">
        <v>1900</v>
      </c>
      <c r="S83" s="242"/>
      <c r="T83" s="215"/>
      <c r="U83" s="215">
        <v>4144</v>
      </c>
      <c r="V83" s="215">
        <v>4144</v>
      </c>
      <c r="W83" s="215">
        <v>1292</v>
      </c>
      <c r="X83" s="213">
        <v>7303</v>
      </c>
      <c r="Y83" s="214">
        <v>1900</v>
      </c>
      <c r="Z83" s="215"/>
      <c r="AA83" s="215"/>
      <c r="AB83" s="215"/>
      <c r="AC83" s="215"/>
      <c r="AD83" s="215"/>
      <c r="AE83" s="213">
        <v>7303</v>
      </c>
      <c r="AF83" s="214">
        <v>1900</v>
      </c>
      <c r="AG83" s="215"/>
      <c r="AH83" s="215"/>
      <c r="AI83" s="215"/>
      <c r="AJ83" s="215"/>
      <c r="AK83" s="242"/>
      <c r="AL83" s="213">
        <v>7303</v>
      </c>
      <c r="AM83" s="214">
        <v>1900</v>
      </c>
      <c r="AN83" s="265">
        <f>SUM(I83:AM83)</f>
        <v>62346</v>
      </c>
      <c r="AO83" s="267"/>
      <c r="AP83" s="267"/>
      <c r="AQ83" s="267"/>
      <c r="AR83" s="108"/>
      <c r="AS83" s="108"/>
      <c r="AT83" s="108"/>
      <c r="AU83" s="108"/>
      <c r="AV83" s="121"/>
      <c r="AW83" s="108"/>
      <c r="AX83" s="108"/>
    </row>
    <row r="84" spans="1:50" hidden="1">
      <c r="A84" s="486"/>
      <c r="B84" s="486"/>
      <c r="C84" s="455"/>
      <c r="D84" s="469"/>
      <c r="E84" s="443"/>
      <c r="F84" s="455"/>
      <c r="G84" s="134"/>
      <c r="H84" s="187" t="s">
        <v>32</v>
      </c>
      <c r="I84" s="212"/>
      <c r="J84" s="213"/>
      <c r="K84" s="214"/>
      <c r="L84" s="212"/>
      <c r="M84" s="212"/>
      <c r="N84" s="212"/>
      <c r="O84" s="212">
        <f>($C$58*5)+($C$58*5*10%)</f>
        <v>13750</v>
      </c>
      <c r="P84" s="212">
        <f>($C$58*5)+($C$58*5*10%)</f>
        <v>13750</v>
      </c>
      <c r="Q84" s="213"/>
      <c r="R84" s="214"/>
      <c r="S84" s="242"/>
      <c r="T84" s="212"/>
      <c r="U84" s="212"/>
      <c r="V84" s="212"/>
      <c r="W84" s="212"/>
      <c r="X84" s="213"/>
      <c r="Y84" s="214"/>
      <c r="Z84" s="212">
        <f>($C$58*5)+($C$58*5*10%)</f>
        <v>13750</v>
      </c>
      <c r="AA84" s="212"/>
      <c r="AB84" s="212"/>
      <c r="AC84" s="212"/>
      <c r="AD84" s="212"/>
      <c r="AE84" s="213"/>
      <c r="AF84" s="214"/>
      <c r="AG84" s="212">
        <f>($C$58*5)+($C$58*5*10%)</f>
        <v>13750</v>
      </c>
      <c r="AH84" s="212"/>
      <c r="AI84" s="212"/>
      <c r="AJ84" s="212"/>
      <c r="AK84" s="242"/>
      <c r="AL84" s="213"/>
      <c r="AM84" s="214"/>
      <c r="AN84" s="266">
        <f>SUM(I84:AM84)</f>
        <v>55000</v>
      </c>
      <c r="AO84" s="267"/>
      <c r="AP84" s="267"/>
      <c r="AQ84" s="267"/>
      <c r="AR84" s="108"/>
      <c r="AS84" s="108"/>
      <c r="AT84" s="108"/>
      <c r="AU84" s="108"/>
      <c r="AV84" s="121"/>
      <c r="AW84" s="108"/>
      <c r="AX84" s="108"/>
    </row>
    <row r="85" spans="1:50" hidden="1">
      <c r="A85" s="486"/>
      <c r="B85" s="486"/>
      <c r="C85" s="455"/>
      <c r="D85" s="469"/>
      <c r="E85" s="443"/>
      <c r="F85" s="455"/>
      <c r="G85" s="134"/>
      <c r="H85" s="187" t="s">
        <v>51</v>
      </c>
      <c r="I85" s="212"/>
      <c r="J85" s="213"/>
      <c r="K85" s="214"/>
      <c r="L85" s="212"/>
      <c r="M85" s="212"/>
      <c r="N85" s="212"/>
      <c r="O85" s="212">
        <v>1</v>
      </c>
      <c r="P85" s="212">
        <v>1</v>
      </c>
      <c r="Q85" s="213"/>
      <c r="R85" s="214"/>
      <c r="S85" s="242"/>
      <c r="T85" s="212"/>
      <c r="U85" s="212"/>
      <c r="V85" s="212"/>
      <c r="W85" s="212"/>
      <c r="X85" s="213"/>
      <c r="Y85" s="214"/>
      <c r="Z85" s="212">
        <v>1</v>
      </c>
      <c r="AA85" s="212"/>
      <c r="AB85" s="212"/>
      <c r="AC85" s="212"/>
      <c r="AD85" s="212"/>
      <c r="AE85" s="213"/>
      <c r="AF85" s="214"/>
      <c r="AG85" s="212">
        <v>1</v>
      </c>
      <c r="AH85" s="212"/>
      <c r="AI85" s="212"/>
      <c r="AJ85" s="212"/>
      <c r="AK85" s="242"/>
      <c r="AL85" s="213"/>
      <c r="AM85" s="214"/>
      <c r="AN85" s="266"/>
      <c r="AO85" s="267"/>
      <c r="AP85" s="267"/>
      <c r="AQ85" s="267"/>
      <c r="AR85" s="108"/>
      <c r="AS85" s="108"/>
      <c r="AT85" s="108"/>
      <c r="AU85" s="108"/>
      <c r="AV85" s="121"/>
      <c r="AW85" s="108"/>
      <c r="AX85" s="108"/>
    </row>
    <row r="86" spans="1:50" hidden="1">
      <c r="A86" s="487"/>
      <c r="B86" s="487"/>
      <c r="C86" s="456"/>
      <c r="D86" s="470"/>
      <c r="E86" s="444"/>
      <c r="F86" s="456"/>
      <c r="G86" s="135"/>
      <c r="H86" s="192" t="s">
        <v>15</v>
      </c>
      <c r="I86" s="220"/>
      <c r="J86" s="270"/>
      <c r="K86" s="271">
        <f>9000+6150</f>
        <v>15150</v>
      </c>
      <c r="L86" s="220"/>
      <c r="M86" s="220"/>
      <c r="N86" s="220">
        <v>6042</v>
      </c>
      <c r="O86" s="220">
        <v>7762</v>
      </c>
      <c r="P86" s="220">
        <v>7762</v>
      </c>
      <c r="Q86" s="270"/>
      <c r="R86" s="271">
        <f>9000+6150</f>
        <v>15150</v>
      </c>
      <c r="S86" s="282"/>
      <c r="T86" s="220"/>
      <c r="U86" s="220"/>
      <c r="V86" s="220"/>
      <c r="W86" s="220"/>
      <c r="X86" s="270"/>
      <c r="Y86" s="271">
        <f>9000+6150</f>
        <v>15150</v>
      </c>
      <c r="Z86" s="220">
        <v>5909</v>
      </c>
      <c r="AA86" s="220"/>
      <c r="AB86" s="220"/>
      <c r="AC86" s="220"/>
      <c r="AD86" s="220"/>
      <c r="AE86" s="270"/>
      <c r="AF86" s="271">
        <f>9000+6150</f>
        <v>15150</v>
      </c>
      <c r="AG86" s="220">
        <v>5909</v>
      </c>
      <c r="AH86" s="220"/>
      <c r="AI86" s="220"/>
      <c r="AJ86" s="220"/>
      <c r="AK86" s="282"/>
      <c r="AL86" s="270"/>
      <c r="AM86" s="271">
        <f>9000+6150</f>
        <v>15150</v>
      </c>
      <c r="AN86" s="285">
        <f>SUM(I86:AM86)</f>
        <v>109134</v>
      </c>
      <c r="AO86" s="267"/>
      <c r="AP86" s="267"/>
      <c r="AQ86" s="267"/>
      <c r="AR86" s="108"/>
      <c r="AS86" s="108"/>
      <c r="AT86" s="108"/>
      <c r="AU86" s="108"/>
      <c r="AV86" s="121"/>
      <c r="AW86" s="108"/>
      <c r="AX86" s="108"/>
    </row>
    <row r="87" spans="1:50" ht="15" hidden="1" customHeight="1">
      <c r="A87" s="488" t="s">
        <v>52</v>
      </c>
      <c r="B87" s="501" t="s">
        <v>53</v>
      </c>
      <c r="C87" s="457">
        <v>2000</v>
      </c>
      <c r="D87" s="471">
        <v>1.56</v>
      </c>
      <c r="E87" s="445"/>
      <c r="F87" s="457" t="s">
        <v>54</v>
      </c>
      <c r="G87" s="133">
        <v>0.16</v>
      </c>
      <c r="H87" s="189" t="s">
        <v>12</v>
      </c>
      <c r="I87" s="272">
        <f>(6.91*20)+(2.41*20)</f>
        <v>186.4</v>
      </c>
      <c r="J87" s="273"/>
      <c r="K87" s="232"/>
      <c r="L87" s="233"/>
      <c r="M87" s="233"/>
      <c r="N87" s="233"/>
      <c r="O87" s="233"/>
      <c r="P87" s="233"/>
      <c r="Q87" s="273"/>
      <c r="R87" s="232"/>
      <c r="S87" s="247"/>
      <c r="T87" s="233"/>
      <c r="U87" s="233"/>
      <c r="V87" s="233"/>
      <c r="W87" s="233"/>
      <c r="X87" s="273"/>
      <c r="Y87" s="232"/>
      <c r="Z87" s="233"/>
      <c r="AA87" s="233"/>
      <c r="AB87" s="233"/>
      <c r="AC87" s="233"/>
      <c r="AD87" s="233"/>
      <c r="AE87" s="273"/>
      <c r="AF87" s="232"/>
      <c r="AG87" s="233"/>
      <c r="AH87" s="233"/>
      <c r="AI87" s="233"/>
      <c r="AJ87" s="233"/>
      <c r="AK87" s="247"/>
      <c r="AL87" s="273"/>
      <c r="AM87" s="232"/>
      <c r="AN87" s="286"/>
      <c r="AO87" s="108"/>
      <c r="AP87" s="108"/>
      <c r="AQ87" s="108"/>
      <c r="AR87" s="108"/>
      <c r="AS87" s="108"/>
      <c r="AT87" s="108"/>
      <c r="AU87" s="108"/>
      <c r="AV87" s="108"/>
      <c r="AW87" s="428"/>
      <c r="AX87" s="428"/>
    </row>
    <row r="88" spans="1:50" ht="15" hidden="1" customHeight="1">
      <c r="A88" s="486"/>
      <c r="B88" s="502"/>
      <c r="C88" s="455"/>
      <c r="D88" s="472"/>
      <c r="E88" s="443"/>
      <c r="F88" s="455"/>
      <c r="G88" s="134"/>
      <c r="H88" s="187" t="s">
        <v>14</v>
      </c>
      <c r="I88" s="212">
        <v>1</v>
      </c>
      <c r="J88" s="213"/>
      <c r="K88" s="214"/>
      <c r="L88" s="212"/>
      <c r="M88" s="212"/>
      <c r="N88" s="212"/>
      <c r="O88" s="212"/>
      <c r="P88" s="212"/>
      <c r="Q88" s="213"/>
      <c r="R88" s="214"/>
      <c r="S88" s="242"/>
      <c r="T88" s="212"/>
      <c r="U88" s="212"/>
      <c r="V88" s="212"/>
      <c r="W88" s="212"/>
      <c r="X88" s="213"/>
      <c r="Y88" s="214"/>
      <c r="Z88" s="212"/>
      <c r="AA88" s="212"/>
      <c r="AB88" s="212"/>
      <c r="AC88" s="212"/>
      <c r="AD88" s="212"/>
      <c r="AE88" s="213"/>
      <c r="AF88" s="214"/>
      <c r="AG88" s="212"/>
      <c r="AH88" s="212"/>
      <c r="AI88" s="212"/>
      <c r="AJ88" s="212"/>
      <c r="AK88" s="242"/>
      <c r="AL88" s="213"/>
      <c r="AM88" s="214"/>
      <c r="AN88" s="265"/>
      <c r="AO88" s="108"/>
      <c r="AP88" s="108"/>
      <c r="AQ88" s="108"/>
      <c r="AR88" s="108"/>
      <c r="AS88" s="108"/>
      <c r="AT88" s="108"/>
      <c r="AU88" s="108"/>
      <c r="AV88" s="108"/>
      <c r="AW88" s="428"/>
      <c r="AX88" s="428"/>
    </row>
    <row r="89" spans="1:50" ht="15" hidden="1" customHeight="1">
      <c r="A89" s="486"/>
      <c r="B89" s="502"/>
      <c r="C89" s="455"/>
      <c r="D89" s="472"/>
      <c r="E89" s="443"/>
      <c r="F89" s="455"/>
      <c r="G89" s="134"/>
      <c r="H89" s="188" t="s">
        <v>15</v>
      </c>
      <c r="I89" s="215"/>
      <c r="J89" s="213"/>
      <c r="K89" s="214"/>
      <c r="L89" s="215"/>
      <c r="M89" s="215"/>
      <c r="N89" s="215"/>
      <c r="O89" s="215"/>
      <c r="P89" s="215"/>
      <c r="Q89" s="213"/>
      <c r="R89" s="214"/>
      <c r="S89" s="242"/>
      <c r="T89" s="215"/>
      <c r="U89" s="215"/>
      <c r="V89" s="215"/>
      <c r="W89" s="215"/>
      <c r="X89" s="213"/>
      <c r="Y89" s="214"/>
      <c r="Z89" s="215"/>
      <c r="AA89" s="215"/>
      <c r="AB89" s="215"/>
      <c r="AC89" s="215"/>
      <c r="AD89" s="215"/>
      <c r="AE89" s="213"/>
      <c r="AF89" s="214"/>
      <c r="AG89" s="215"/>
      <c r="AH89" s="215"/>
      <c r="AI89" s="215"/>
      <c r="AJ89" s="215"/>
      <c r="AK89" s="242"/>
      <c r="AL89" s="213"/>
      <c r="AM89" s="214"/>
      <c r="AN89" s="265"/>
      <c r="AO89" s="108"/>
      <c r="AP89" s="108"/>
      <c r="AQ89" s="108"/>
      <c r="AR89" s="108"/>
      <c r="AS89" s="108"/>
      <c r="AT89" s="108"/>
      <c r="AU89" s="108"/>
      <c r="AV89" s="108"/>
      <c r="AW89" s="428"/>
      <c r="AX89" s="428"/>
    </row>
    <row r="90" spans="1:50" ht="15" hidden="1" customHeight="1">
      <c r="A90" s="486"/>
      <c r="B90" s="502"/>
      <c r="C90" s="455"/>
      <c r="D90" s="472"/>
      <c r="E90" s="443"/>
      <c r="F90" s="455"/>
      <c r="G90" s="134">
        <v>0.12</v>
      </c>
      <c r="H90" s="187" t="s">
        <v>12</v>
      </c>
      <c r="I90" s="229">
        <f>(8.1*20)+(2.81*20)</f>
        <v>218.2</v>
      </c>
      <c r="J90" s="213"/>
      <c r="K90" s="214"/>
      <c r="L90" s="212"/>
      <c r="M90" s="212"/>
      <c r="N90" s="212"/>
      <c r="O90" s="212"/>
      <c r="P90" s="212"/>
      <c r="Q90" s="213"/>
      <c r="R90" s="214"/>
      <c r="S90" s="242"/>
      <c r="T90" s="212"/>
      <c r="U90" s="212"/>
      <c r="V90" s="212"/>
      <c r="W90" s="212"/>
      <c r="X90" s="213"/>
      <c r="Y90" s="214"/>
      <c r="Z90" s="212"/>
      <c r="AA90" s="212"/>
      <c r="AB90" s="212"/>
      <c r="AC90" s="212"/>
      <c r="AD90" s="212"/>
      <c r="AE90" s="213"/>
      <c r="AF90" s="214"/>
      <c r="AG90" s="212"/>
      <c r="AH90" s="212"/>
      <c r="AI90" s="212"/>
      <c r="AJ90" s="212"/>
      <c r="AK90" s="242"/>
      <c r="AL90" s="213"/>
      <c r="AM90" s="214"/>
      <c r="AN90" s="265"/>
      <c r="AO90" s="108"/>
      <c r="AP90" s="108"/>
      <c r="AQ90" s="108"/>
      <c r="AR90" s="108"/>
      <c r="AS90" s="108"/>
      <c r="AT90" s="108"/>
      <c r="AU90" s="108"/>
      <c r="AV90" s="108"/>
      <c r="AW90" s="428"/>
      <c r="AX90" s="428"/>
    </row>
    <row r="91" spans="1:50" hidden="1">
      <c r="A91" s="486"/>
      <c r="B91" s="502"/>
      <c r="C91" s="455"/>
      <c r="D91" s="472"/>
      <c r="E91" s="443"/>
      <c r="F91" s="455"/>
      <c r="G91" s="134"/>
      <c r="H91" s="187" t="s">
        <v>14</v>
      </c>
      <c r="I91" s="212">
        <v>1</v>
      </c>
      <c r="J91" s="213"/>
      <c r="K91" s="214"/>
      <c r="L91" s="212"/>
      <c r="M91" s="212"/>
      <c r="N91" s="212"/>
      <c r="O91" s="212"/>
      <c r="P91" s="212"/>
      <c r="Q91" s="213"/>
      <c r="R91" s="214"/>
      <c r="S91" s="242"/>
      <c r="T91" s="212"/>
      <c r="U91" s="212"/>
      <c r="V91" s="212"/>
      <c r="W91" s="212"/>
      <c r="X91" s="213"/>
      <c r="Y91" s="214"/>
      <c r="Z91" s="212"/>
      <c r="AA91" s="212"/>
      <c r="AB91" s="212"/>
      <c r="AC91" s="212"/>
      <c r="AD91" s="212"/>
      <c r="AE91" s="213"/>
      <c r="AF91" s="214"/>
      <c r="AG91" s="212"/>
      <c r="AH91" s="212"/>
      <c r="AI91" s="212"/>
      <c r="AJ91" s="212"/>
      <c r="AK91" s="242"/>
      <c r="AL91" s="213"/>
      <c r="AM91" s="214"/>
      <c r="AN91" s="265"/>
      <c r="AO91" s="267"/>
      <c r="AP91" s="267"/>
      <c r="AQ91" s="267"/>
      <c r="AR91" s="108"/>
      <c r="AS91" s="108"/>
      <c r="AT91" s="108"/>
      <c r="AU91" s="108"/>
      <c r="AV91" s="108"/>
      <c r="AW91" s="428"/>
      <c r="AX91" s="428"/>
    </row>
    <row r="92" spans="1:50" hidden="1">
      <c r="A92" s="486"/>
      <c r="B92" s="502"/>
      <c r="C92" s="455"/>
      <c r="D92" s="472"/>
      <c r="E92" s="443"/>
      <c r="F92" s="455"/>
      <c r="G92" s="134"/>
      <c r="H92" s="188" t="s">
        <v>15</v>
      </c>
      <c r="I92" s="215"/>
      <c r="J92" s="213"/>
      <c r="K92" s="214"/>
      <c r="L92" s="215"/>
      <c r="M92" s="215"/>
      <c r="N92" s="215"/>
      <c r="O92" s="215"/>
      <c r="P92" s="215"/>
      <c r="Q92" s="213"/>
      <c r="R92" s="214"/>
      <c r="S92" s="242"/>
      <c r="T92" s="215"/>
      <c r="U92" s="215"/>
      <c r="V92" s="215"/>
      <c r="W92" s="215"/>
      <c r="X92" s="213"/>
      <c r="Y92" s="214"/>
      <c r="Z92" s="215"/>
      <c r="AA92" s="215"/>
      <c r="AB92" s="215"/>
      <c r="AC92" s="215"/>
      <c r="AD92" s="215"/>
      <c r="AE92" s="213"/>
      <c r="AF92" s="214"/>
      <c r="AG92" s="215"/>
      <c r="AH92" s="215"/>
      <c r="AI92" s="215"/>
      <c r="AJ92" s="215"/>
      <c r="AK92" s="242"/>
      <c r="AL92" s="213"/>
      <c r="AM92" s="214"/>
      <c r="AN92" s="265"/>
      <c r="AO92" s="108"/>
      <c r="AP92" s="108"/>
      <c r="AQ92" s="108"/>
      <c r="AR92" s="108"/>
      <c r="AS92" s="108"/>
      <c r="AT92" s="108"/>
      <c r="AU92" s="108"/>
      <c r="AV92" s="108"/>
      <c r="AW92" s="428"/>
      <c r="AX92" s="428"/>
    </row>
    <row r="93" spans="1:50" hidden="1">
      <c r="A93" s="486"/>
      <c r="B93" s="502"/>
      <c r="C93" s="455"/>
      <c r="D93" s="472"/>
      <c r="E93" s="443"/>
      <c r="F93" s="455"/>
      <c r="G93" s="134" t="s">
        <v>55</v>
      </c>
      <c r="H93" s="187" t="s">
        <v>22</v>
      </c>
      <c r="I93" s="212">
        <f>($O$102*$D$87)+($O$105*$D$98)</f>
        <v>21050</v>
      </c>
      <c r="J93" s="213"/>
      <c r="K93" s="214"/>
      <c r="L93" s="212"/>
      <c r="M93" s="212"/>
      <c r="N93" s="212"/>
      <c r="O93" s="212">
        <f>($O$102*$D$87)+($O$105*$D$98)</f>
        <v>21050</v>
      </c>
      <c r="P93" s="212">
        <f>($O$102*$D$87)+($O$105*$D$98)</f>
        <v>21050</v>
      </c>
      <c r="Q93" s="213"/>
      <c r="R93" s="214"/>
      <c r="S93" s="242"/>
      <c r="T93" s="212"/>
      <c r="U93" s="212"/>
      <c r="V93" s="212"/>
      <c r="W93" s="212"/>
      <c r="X93" s="213"/>
      <c r="Y93" s="214"/>
      <c r="Z93" s="212">
        <f>($O$102*$D$87)+($O$105*$D$98)</f>
        <v>21050</v>
      </c>
      <c r="AA93" s="212"/>
      <c r="AB93" s="212"/>
      <c r="AC93" s="212"/>
      <c r="AD93" s="212"/>
      <c r="AE93" s="213"/>
      <c r="AF93" s="214"/>
      <c r="AG93" s="212">
        <f>($O$102*$D$87)+($O$105*$D$98)</f>
        <v>21050</v>
      </c>
      <c r="AH93" s="212"/>
      <c r="AI93" s="212"/>
      <c r="AJ93" s="212"/>
      <c r="AK93" s="242"/>
      <c r="AL93" s="213"/>
      <c r="AM93" s="214"/>
      <c r="AN93" s="266">
        <f>SUM(I93:AM93)</f>
        <v>105250</v>
      </c>
      <c r="AO93" s="108"/>
      <c r="AP93" s="108"/>
      <c r="AQ93" s="108"/>
      <c r="AR93" s="108"/>
      <c r="AS93" s="108"/>
      <c r="AT93" s="108"/>
      <c r="AU93" s="108"/>
      <c r="AV93" s="108"/>
      <c r="AW93" s="108"/>
      <c r="AX93" s="428"/>
    </row>
    <row r="94" spans="1:50" hidden="1">
      <c r="A94" s="486"/>
      <c r="B94" s="502"/>
      <c r="C94" s="455"/>
      <c r="D94" s="472"/>
      <c r="E94" s="443"/>
      <c r="F94" s="455"/>
      <c r="G94" s="134"/>
      <c r="H94" s="187" t="s">
        <v>20</v>
      </c>
      <c r="I94" s="212">
        <v>1</v>
      </c>
      <c r="J94" s="213"/>
      <c r="K94" s="214"/>
      <c r="L94" s="212"/>
      <c r="M94" s="212"/>
      <c r="N94" s="212"/>
      <c r="O94" s="212">
        <v>1</v>
      </c>
      <c r="P94" s="212">
        <v>1</v>
      </c>
      <c r="Q94" s="213"/>
      <c r="R94" s="214"/>
      <c r="S94" s="242"/>
      <c r="T94" s="212"/>
      <c r="U94" s="212"/>
      <c r="V94" s="212"/>
      <c r="W94" s="212"/>
      <c r="X94" s="213"/>
      <c r="Y94" s="214"/>
      <c r="Z94" s="212">
        <v>1</v>
      </c>
      <c r="AA94" s="212"/>
      <c r="AB94" s="212"/>
      <c r="AC94" s="212"/>
      <c r="AD94" s="212"/>
      <c r="AE94" s="213"/>
      <c r="AF94" s="214"/>
      <c r="AG94" s="212">
        <v>1</v>
      </c>
      <c r="AH94" s="212"/>
      <c r="AI94" s="212"/>
      <c r="AJ94" s="212"/>
      <c r="AK94" s="242"/>
      <c r="AL94" s="213"/>
      <c r="AM94" s="214"/>
      <c r="AN94" s="266"/>
      <c r="AO94" s="108"/>
      <c r="AP94" s="108"/>
      <c r="AQ94" s="108"/>
      <c r="AR94" s="108"/>
      <c r="AS94" s="108"/>
      <c r="AT94" s="108"/>
      <c r="AU94" s="108"/>
      <c r="AV94" s="108"/>
      <c r="AW94" s="108"/>
      <c r="AX94" s="428"/>
    </row>
    <row r="95" spans="1:50" hidden="1">
      <c r="A95" s="486"/>
      <c r="B95" s="502"/>
      <c r="C95" s="455"/>
      <c r="D95" s="472"/>
      <c r="E95" s="443"/>
      <c r="F95" s="455"/>
      <c r="G95" s="134"/>
      <c r="H95" s="188" t="s">
        <v>15</v>
      </c>
      <c r="I95" s="215"/>
      <c r="J95" s="213"/>
      <c r="K95" s="214"/>
      <c r="L95" s="215"/>
      <c r="M95" s="215"/>
      <c r="N95" s="215"/>
      <c r="O95" s="215"/>
      <c r="P95" s="215"/>
      <c r="Q95" s="213"/>
      <c r="R95" s="214"/>
      <c r="S95" s="242"/>
      <c r="T95" s="215"/>
      <c r="U95" s="215"/>
      <c r="V95" s="215"/>
      <c r="W95" s="215">
        <f>7339</f>
        <v>7339</v>
      </c>
      <c r="X95" s="213"/>
      <c r="Y95" s="214"/>
      <c r="Z95" s="215"/>
      <c r="AA95" s="215"/>
      <c r="AB95" s="215"/>
      <c r="AC95" s="215"/>
      <c r="AD95" s="215"/>
      <c r="AE95" s="213"/>
      <c r="AF95" s="214"/>
      <c r="AG95" s="215"/>
      <c r="AH95" s="215"/>
      <c r="AI95" s="215"/>
      <c r="AJ95" s="215"/>
      <c r="AK95" s="242"/>
      <c r="AL95" s="213"/>
      <c r="AM95" s="214"/>
      <c r="AN95" s="265">
        <f>SUM(I95:AM95)</f>
        <v>7339</v>
      </c>
      <c r="AO95" s="108"/>
      <c r="AP95" s="108"/>
      <c r="AQ95" s="108"/>
      <c r="AR95" s="108"/>
      <c r="AS95" s="108"/>
      <c r="AT95" s="108"/>
      <c r="AU95" s="108"/>
      <c r="AV95" s="108"/>
      <c r="AW95" s="108"/>
      <c r="AX95" s="428"/>
    </row>
    <row r="96" spans="1:50" hidden="1">
      <c r="A96" s="486"/>
      <c r="B96" s="502"/>
      <c r="C96" s="455"/>
      <c r="D96" s="472"/>
      <c r="E96" s="443"/>
      <c r="F96" s="455"/>
      <c r="G96" s="134" t="s">
        <v>28</v>
      </c>
      <c r="H96" s="187" t="s">
        <v>29</v>
      </c>
      <c r="I96" s="212"/>
      <c r="J96" s="213">
        <f>($O$102*$D$87)+($O$105*$D$98)</f>
        <v>21050</v>
      </c>
      <c r="K96" s="214"/>
      <c r="L96" s="212"/>
      <c r="M96" s="212"/>
      <c r="N96" s="212"/>
      <c r="O96" s="212"/>
      <c r="P96" s="212"/>
      <c r="Q96" s="213">
        <f>($O$102*$D$87)+($O$105*$D$98)</f>
        <v>21050</v>
      </c>
      <c r="R96" s="214"/>
      <c r="S96" s="242">
        <f>($O$102*$D$87)+($O$105*$D$98)</f>
        <v>21050</v>
      </c>
      <c r="T96" s="212">
        <f>($O$102*$D$87)+($O$105*$D$98)</f>
        <v>21050</v>
      </c>
      <c r="U96" s="212"/>
      <c r="V96" s="212"/>
      <c r="W96" s="212"/>
      <c r="X96" s="213">
        <f>($O$102*$D$87)+($O$105*$D$98)</f>
        <v>21050</v>
      </c>
      <c r="Y96" s="214"/>
      <c r="Z96" s="212"/>
      <c r="AA96" s="212">
        <f>($O$102*$D$87)+($O$105*$D$98)</f>
        <v>21050</v>
      </c>
      <c r="AB96" s="212"/>
      <c r="AC96" s="212"/>
      <c r="AD96" s="212"/>
      <c r="AE96" s="213">
        <f>($O$102*$D$87)+($O$105*$D$98)</f>
        <v>21050</v>
      </c>
      <c r="AF96" s="214"/>
      <c r="AG96" s="212"/>
      <c r="AH96" s="212"/>
      <c r="AI96" s="212"/>
      <c r="AJ96" s="212"/>
      <c r="AK96" s="242"/>
      <c r="AL96" s="213">
        <f>($O$102*$D$87)+($O$105*$D$98)</f>
        <v>21050</v>
      </c>
      <c r="AM96" s="214"/>
      <c r="AN96" s="266">
        <f>SUM(I96:AM96)</f>
        <v>168400</v>
      </c>
      <c r="AO96" s="108"/>
      <c r="AP96" s="108"/>
      <c r="AQ96" s="108"/>
      <c r="AR96" s="108"/>
      <c r="AS96" s="108"/>
      <c r="AT96" s="108"/>
      <c r="AU96" s="108"/>
      <c r="AV96" s="108"/>
      <c r="AW96" s="108"/>
      <c r="AX96" s="428"/>
    </row>
    <row r="97" spans="1:50" hidden="1">
      <c r="A97" s="486"/>
      <c r="B97" s="502"/>
      <c r="C97" s="455"/>
      <c r="D97" s="472"/>
      <c r="E97" s="443"/>
      <c r="F97" s="455"/>
      <c r="G97" s="134"/>
      <c r="H97" s="187" t="s">
        <v>27</v>
      </c>
      <c r="I97" s="212"/>
      <c r="J97" s="213">
        <v>1</v>
      </c>
      <c r="K97" s="214"/>
      <c r="L97" s="212"/>
      <c r="M97" s="212"/>
      <c r="N97" s="212"/>
      <c r="O97" s="212"/>
      <c r="P97" s="212"/>
      <c r="Q97" s="213">
        <v>1</v>
      </c>
      <c r="R97" s="214"/>
      <c r="S97" s="242">
        <v>1</v>
      </c>
      <c r="T97" s="212">
        <v>1</v>
      </c>
      <c r="U97" s="212"/>
      <c r="V97" s="212"/>
      <c r="W97" s="212"/>
      <c r="X97" s="213">
        <v>1</v>
      </c>
      <c r="Y97" s="214"/>
      <c r="Z97" s="212"/>
      <c r="AA97" s="212">
        <v>1</v>
      </c>
      <c r="AB97" s="212"/>
      <c r="AC97" s="212"/>
      <c r="AD97" s="212"/>
      <c r="AE97" s="213">
        <v>1</v>
      </c>
      <c r="AF97" s="214"/>
      <c r="AG97" s="212"/>
      <c r="AH97" s="212"/>
      <c r="AI97" s="212"/>
      <c r="AJ97" s="212"/>
      <c r="AK97" s="242"/>
      <c r="AL97" s="213">
        <v>1</v>
      </c>
      <c r="AM97" s="214"/>
      <c r="AN97" s="266"/>
      <c r="AO97" s="108"/>
      <c r="AP97" s="108"/>
      <c r="AQ97" s="108"/>
      <c r="AR97" s="108"/>
      <c r="AS97" s="108"/>
      <c r="AT97" s="108"/>
      <c r="AU97" s="108"/>
      <c r="AV97" s="108"/>
      <c r="AW97" s="108"/>
      <c r="AX97" s="428"/>
    </row>
    <row r="98" spans="1:50" hidden="1">
      <c r="A98" s="486" t="s">
        <v>56</v>
      </c>
      <c r="B98" s="502" t="s">
        <v>57</v>
      </c>
      <c r="C98" s="455">
        <v>1000</v>
      </c>
      <c r="D98" s="473">
        <v>1.0900000000000001</v>
      </c>
      <c r="E98" s="443"/>
      <c r="F98" s="455" t="s">
        <v>58</v>
      </c>
      <c r="G98" s="134"/>
      <c r="H98" s="188" t="s">
        <v>15</v>
      </c>
      <c r="I98" s="215"/>
      <c r="J98" s="213"/>
      <c r="K98" s="214"/>
      <c r="L98" s="215">
        <f>20910*2</f>
        <v>41820</v>
      </c>
      <c r="M98" s="215">
        <f>20910*2</f>
        <v>41820</v>
      </c>
      <c r="N98" s="215"/>
      <c r="O98" s="269">
        <f>6469</f>
        <v>6469</v>
      </c>
      <c r="P98" s="269">
        <f>6469</f>
        <v>6469</v>
      </c>
      <c r="Q98" s="213"/>
      <c r="R98" s="214"/>
      <c r="S98" s="242"/>
      <c r="T98" s="215"/>
      <c r="U98" s="215">
        <f>10200</f>
        <v>10200</v>
      </c>
      <c r="V98" s="215">
        <f>10200</f>
        <v>10200</v>
      </c>
      <c r="W98" s="215"/>
      <c r="X98" s="213"/>
      <c r="Y98" s="214"/>
      <c r="Z98" s="215"/>
      <c r="AA98" s="215"/>
      <c r="AB98" s="215"/>
      <c r="AC98" s="215"/>
      <c r="AD98" s="215"/>
      <c r="AE98" s="213"/>
      <c r="AF98" s="214"/>
      <c r="AG98" s="215"/>
      <c r="AH98" s="215"/>
      <c r="AI98" s="215"/>
      <c r="AJ98" s="215"/>
      <c r="AK98" s="242"/>
      <c r="AL98" s="213"/>
      <c r="AM98" s="214"/>
      <c r="AN98" s="265">
        <f>SUM(I98:AM98)</f>
        <v>116978</v>
      </c>
      <c r="AO98" s="108"/>
      <c r="AP98" s="108"/>
      <c r="AQ98" s="108"/>
      <c r="AR98" s="108"/>
      <c r="AS98" s="108"/>
      <c r="AT98" s="108"/>
      <c r="AU98" s="108"/>
      <c r="AV98" s="108"/>
      <c r="AW98" s="108"/>
      <c r="AX98" s="428"/>
    </row>
    <row r="99" spans="1:50" hidden="1">
      <c r="A99" s="486"/>
      <c r="B99" s="502"/>
      <c r="C99" s="455"/>
      <c r="D99" s="474"/>
      <c r="E99" s="443"/>
      <c r="F99" s="455"/>
      <c r="G99" s="134"/>
      <c r="H99" s="187" t="s">
        <v>49</v>
      </c>
      <c r="I99" s="212"/>
      <c r="J99" s="213"/>
      <c r="K99" s="237">
        <f>($O$102*$D$87/3)+($O$105*$D$98/3)</f>
        <v>7016.6666666666697</v>
      </c>
      <c r="L99" s="235">
        <f>($O$102*$D$87/3)+($O$105*$D$98/3)</f>
        <v>7016.6666666666697</v>
      </c>
      <c r="M99" s="235">
        <f>($O$102*$D$87/3)+($O$105*$D$98/3)</f>
        <v>7016.6666666666697</v>
      </c>
      <c r="N99" s="235">
        <f>($O$102*$D$87/3)+($O$105*$D$98/3)</f>
        <v>7016.6666666666697</v>
      </c>
      <c r="O99" s="212"/>
      <c r="P99" s="212"/>
      <c r="Q99" s="213"/>
      <c r="R99" s="237">
        <f>($O$102*$D$87/3)+($O$105*$D$98/3)</f>
        <v>7016.6666666666697</v>
      </c>
      <c r="S99" s="242"/>
      <c r="T99" s="212"/>
      <c r="U99" s="235">
        <f>($O$102*$D$87/3)+($O$105*$D$98/3)</f>
        <v>7016.6666666666697</v>
      </c>
      <c r="V99" s="235">
        <f>($O$102*$D$87/3)+($O$105*$D$98/3)</f>
        <v>7016.6666666666697</v>
      </c>
      <c r="W99" s="235">
        <f>($O$102*$D$87/3)+($O$105*$D$98/3)</f>
        <v>7016.6666666666697</v>
      </c>
      <c r="X99" s="213"/>
      <c r="Y99" s="237">
        <f>($O$102*$D$87/3)+($O$105*$D$98/3)</f>
        <v>7016.6666666666697</v>
      </c>
      <c r="Z99" s="212"/>
      <c r="AA99" s="212"/>
      <c r="AB99" s="235">
        <f>($O$102*$D$87/3)+($O$105*$D$98/3)</f>
        <v>7016.6666666666697</v>
      </c>
      <c r="AC99" s="235">
        <f>($O$102*$D$87/3)+($O$105*$D$98/3)</f>
        <v>7016.6666666666697</v>
      </c>
      <c r="AD99" s="235">
        <f>($O$102*$D$87/3)+($O$105*$D$98/3)</f>
        <v>7016.6666666666697</v>
      </c>
      <c r="AE99" s="213"/>
      <c r="AF99" s="237">
        <f>($O$102*$D$87/3)+($O$105*$D$98/3)</f>
        <v>7016.6666666666697</v>
      </c>
      <c r="AG99" s="212"/>
      <c r="AH99" s="235">
        <f>($O$102*$D$87/3)+($O$105*$D$98/3)</f>
        <v>7016.6666666666697</v>
      </c>
      <c r="AI99" s="235">
        <f>($O$102*$D$87/3)+($O$105*$D$98/3)</f>
        <v>7016.6666666666697</v>
      </c>
      <c r="AJ99" s="235">
        <f>($O$102*$D$87/3)+($O$105*$D$98/3)</f>
        <v>7016.6666666666697</v>
      </c>
      <c r="AK99" s="249"/>
      <c r="AL99" s="213"/>
      <c r="AM99" s="237">
        <f>($O$102*$D$87/3)+($O$105*$D$98/3)</f>
        <v>7016.6666666666697</v>
      </c>
      <c r="AN99" s="266">
        <f>SUM(I99:AM99)</f>
        <v>119283.33333333299</v>
      </c>
      <c r="AO99" s="108"/>
      <c r="AP99" s="108"/>
      <c r="AQ99" s="108"/>
      <c r="AR99" s="108"/>
      <c r="AS99" s="108"/>
      <c r="AT99" s="108"/>
      <c r="AU99" s="108"/>
      <c r="AV99" s="108"/>
      <c r="AW99" s="108"/>
      <c r="AX99" s="428"/>
    </row>
    <row r="100" spans="1:50" hidden="1">
      <c r="A100" s="486"/>
      <c r="B100" s="502"/>
      <c r="C100" s="455"/>
      <c r="D100" s="474"/>
      <c r="E100" s="443"/>
      <c r="F100" s="455"/>
      <c r="G100" s="134"/>
      <c r="H100" s="187" t="s">
        <v>50</v>
      </c>
      <c r="I100" s="212"/>
      <c r="J100" s="213"/>
      <c r="K100" s="214">
        <v>1</v>
      </c>
      <c r="L100" s="212">
        <v>1</v>
      </c>
      <c r="M100" s="212">
        <v>1</v>
      </c>
      <c r="N100" s="212">
        <v>1</v>
      </c>
      <c r="O100" s="212"/>
      <c r="P100" s="212"/>
      <c r="Q100" s="213"/>
      <c r="R100" s="214">
        <v>1</v>
      </c>
      <c r="S100" s="242"/>
      <c r="T100" s="212"/>
      <c r="U100" s="212">
        <v>1</v>
      </c>
      <c r="V100" s="212">
        <v>1</v>
      </c>
      <c r="W100" s="212">
        <v>1</v>
      </c>
      <c r="X100" s="213"/>
      <c r="Y100" s="214">
        <v>1</v>
      </c>
      <c r="Z100" s="212"/>
      <c r="AA100" s="212"/>
      <c r="AB100" s="212">
        <v>1</v>
      </c>
      <c r="AC100" s="212">
        <v>1</v>
      </c>
      <c r="AD100" s="212">
        <v>1</v>
      </c>
      <c r="AE100" s="213"/>
      <c r="AF100" s="214">
        <v>1</v>
      </c>
      <c r="AG100" s="212"/>
      <c r="AH100" s="212">
        <v>1</v>
      </c>
      <c r="AI100" s="212">
        <v>1</v>
      </c>
      <c r="AJ100" s="212">
        <v>1</v>
      </c>
      <c r="AK100" s="242"/>
      <c r="AL100" s="213"/>
      <c r="AM100" s="214">
        <v>1</v>
      </c>
      <c r="AN100" s="266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428"/>
    </row>
    <row r="101" spans="1:50" hidden="1">
      <c r="A101" s="486"/>
      <c r="B101" s="502"/>
      <c r="C101" s="455"/>
      <c r="D101" s="474"/>
      <c r="E101" s="443"/>
      <c r="F101" s="455"/>
      <c r="G101" s="134"/>
      <c r="H101" s="188" t="s">
        <v>15</v>
      </c>
      <c r="I101" s="215"/>
      <c r="J101" s="213"/>
      <c r="K101" s="217"/>
      <c r="L101" s="274">
        <f>9003*2</f>
        <v>18006</v>
      </c>
      <c r="M101" s="274">
        <f>9003*2</f>
        <v>18006</v>
      </c>
      <c r="N101" s="274">
        <f>9824*2</f>
        <v>19648</v>
      </c>
      <c r="O101" s="215">
        <f>1054+700+1832+600+1423</f>
        <v>5609</v>
      </c>
      <c r="P101" s="215">
        <f>1054+700+1832+600+1423</f>
        <v>5609</v>
      </c>
      <c r="Q101" s="213"/>
      <c r="R101" s="217"/>
      <c r="S101" s="242">
        <f>1000+750</f>
        <v>1750</v>
      </c>
      <c r="T101" s="215">
        <f>1000+750</f>
        <v>1750</v>
      </c>
      <c r="U101" s="274">
        <f>5350+5351</f>
        <v>10701</v>
      </c>
      <c r="V101" s="274">
        <f>5350+5351</f>
        <v>10701</v>
      </c>
      <c r="W101" s="274">
        <f>2046*2</f>
        <v>4092</v>
      </c>
      <c r="X101" s="213"/>
      <c r="Y101" s="217"/>
      <c r="Z101" s="215"/>
      <c r="AA101" s="215"/>
      <c r="AB101" s="13"/>
      <c r="AC101" s="13"/>
      <c r="AD101" s="13"/>
      <c r="AE101" s="213"/>
      <c r="AF101" s="217"/>
      <c r="AG101" s="215"/>
      <c r="AH101" s="13"/>
      <c r="AI101" s="13"/>
      <c r="AJ101" s="13"/>
      <c r="AK101" s="243"/>
      <c r="AL101" s="213"/>
      <c r="AM101" s="217"/>
      <c r="AN101" s="265">
        <f>SUM(I101:AM101)</f>
        <v>95872</v>
      </c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428"/>
    </row>
    <row r="102" spans="1:50" hidden="1">
      <c r="A102" s="486"/>
      <c r="B102" s="502"/>
      <c r="C102" s="455"/>
      <c r="D102" s="474"/>
      <c r="E102" s="443"/>
      <c r="F102" s="455"/>
      <c r="G102" s="134"/>
      <c r="H102" s="187" t="s">
        <v>32</v>
      </c>
      <c r="I102" s="212"/>
      <c r="J102" s="213"/>
      <c r="K102" s="214"/>
      <c r="L102" s="212"/>
      <c r="M102" s="212"/>
      <c r="N102" s="212"/>
      <c r="O102" s="212">
        <f>($C$87*5)</f>
        <v>10000</v>
      </c>
      <c r="P102" s="212">
        <f>($C$87*5)</f>
        <v>10000</v>
      </c>
      <c r="Q102" s="213"/>
      <c r="R102" s="214"/>
      <c r="S102" s="242"/>
      <c r="T102" s="212"/>
      <c r="U102" s="212"/>
      <c r="V102" s="212"/>
      <c r="W102" s="212"/>
      <c r="X102" s="213"/>
      <c r="Y102" s="214"/>
      <c r="Z102" s="212">
        <f>($C$87*5)+($C$87*5*10%)</f>
        <v>11000</v>
      </c>
      <c r="AA102" s="212"/>
      <c r="AB102" s="212"/>
      <c r="AC102" s="212"/>
      <c r="AD102" s="212"/>
      <c r="AE102" s="213"/>
      <c r="AF102" s="214"/>
      <c r="AG102" s="212">
        <f>($C$87*5)+($C$87*5*10%)</f>
        <v>11000</v>
      </c>
      <c r="AH102" s="212"/>
      <c r="AI102" s="212"/>
      <c r="AJ102" s="212"/>
      <c r="AK102" s="242"/>
      <c r="AL102" s="213"/>
      <c r="AM102" s="214"/>
      <c r="AN102" s="266">
        <f>SUM(I102:AM102)</f>
        <v>42000</v>
      </c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428"/>
    </row>
    <row r="103" spans="1:50" hidden="1">
      <c r="A103" s="486"/>
      <c r="B103" s="502"/>
      <c r="C103" s="455"/>
      <c r="D103" s="474"/>
      <c r="E103" s="443"/>
      <c r="F103" s="455"/>
      <c r="G103" s="134"/>
      <c r="H103" s="187" t="s">
        <v>51</v>
      </c>
      <c r="I103" s="212"/>
      <c r="J103" s="213"/>
      <c r="K103" s="214"/>
      <c r="L103" s="212"/>
      <c r="M103" s="212"/>
      <c r="N103" s="212"/>
      <c r="O103" s="212">
        <v>1</v>
      </c>
      <c r="P103" s="212">
        <v>1</v>
      </c>
      <c r="Q103" s="213"/>
      <c r="R103" s="214"/>
      <c r="S103" s="242"/>
      <c r="T103" s="212"/>
      <c r="U103" s="212"/>
      <c r="V103" s="212"/>
      <c r="W103" s="212"/>
      <c r="X103" s="213"/>
      <c r="Y103" s="214"/>
      <c r="Z103" s="212">
        <v>1</v>
      </c>
      <c r="AA103" s="212"/>
      <c r="AB103" s="212"/>
      <c r="AC103" s="212"/>
      <c r="AD103" s="212"/>
      <c r="AE103" s="213"/>
      <c r="AF103" s="214"/>
      <c r="AG103" s="212">
        <v>1</v>
      </c>
      <c r="AH103" s="212"/>
      <c r="AI103" s="212"/>
      <c r="AJ103" s="212"/>
      <c r="AK103" s="242"/>
      <c r="AL103" s="213"/>
      <c r="AM103" s="214"/>
      <c r="AN103" s="266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428"/>
    </row>
    <row r="104" spans="1:50" hidden="1">
      <c r="A104" s="486"/>
      <c r="B104" s="502"/>
      <c r="C104" s="455"/>
      <c r="D104" s="474"/>
      <c r="E104" s="443"/>
      <c r="F104" s="455"/>
      <c r="G104" s="134"/>
      <c r="H104" s="188" t="s">
        <v>15</v>
      </c>
      <c r="I104" s="215"/>
      <c r="J104" s="213"/>
      <c r="K104" s="214"/>
      <c r="L104" s="215"/>
      <c r="M104" s="215"/>
      <c r="N104" s="215"/>
      <c r="O104" s="215"/>
      <c r="P104" s="215"/>
      <c r="Q104" s="213"/>
      <c r="R104" s="214"/>
      <c r="S104" s="242"/>
      <c r="T104" s="215"/>
      <c r="U104" s="215"/>
      <c r="V104" s="215"/>
      <c r="W104" s="215">
        <v>6611</v>
      </c>
      <c r="X104" s="213"/>
      <c r="Y104" s="214"/>
      <c r="Z104" s="215"/>
      <c r="AA104" s="215"/>
      <c r="AB104" s="215"/>
      <c r="AC104" s="215"/>
      <c r="AD104" s="215"/>
      <c r="AE104" s="213"/>
      <c r="AF104" s="214"/>
      <c r="AG104" s="215"/>
      <c r="AH104" s="215"/>
      <c r="AI104" s="215"/>
      <c r="AJ104" s="215"/>
      <c r="AK104" s="242"/>
      <c r="AL104" s="213"/>
      <c r="AM104" s="214"/>
      <c r="AN104" s="265">
        <f>SUM(I104:AM104)</f>
        <v>6611</v>
      </c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428"/>
    </row>
    <row r="105" spans="1:50" hidden="1">
      <c r="A105" s="486"/>
      <c r="B105" s="502"/>
      <c r="C105" s="455"/>
      <c r="D105" s="474"/>
      <c r="E105" s="198"/>
      <c r="F105" s="455"/>
      <c r="G105" s="134"/>
      <c r="H105" s="187" t="s">
        <v>32</v>
      </c>
      <c r="I105" s="212"/>
      <c r="J105" s="213"/>
      <c r="K105" s="214"/>
      <c r="L105" s="212"/>
      <c r="M105" s="212"/>
      <c r="N105" s="212"/>
      <c r="O105" s="212">
        <f>($C$98*5)</f>
        <v>5000</v>
      </c>
      <c r="P105" s="212">
        <f>($C$98*5)</f>
        <v>5000</v>
      </c>
      <c r="Q105" s="213"/>
      <c r="R105" s="214"/>
      <c r="S105" s="242"/>
      <c r="T105" s="212"/>
      <c r="U105" s="212"/>
      <c r="V105" s="212"/>
      <c r="W105" s="212"/>
      <c r="X105" s="213"/>
      <c r="Y105" s="214"/>
      <c r="Z105" s="212" t="e">
        <f>(#REF!*5)+(#REF!*5*10%)</f>
        <v>#REF!</v>
      </c>
      <c r="AA105" s="212"/>
      <c r="AB105" s="212"/>
      <c r="AC105" s="212"/>
      <c r="AD105" s="212"/>
      <c r="AE105" s="213"/>
      <c r="AF105" s="214"/>
      <c r="AG105" s="212" t="e">
        <f>(#REF!*5)+(#REF!*5*10%)</f>
        <v>#REF!</v>
      </c>
      <c r="AH105" s="212"/>
      <c r="AI105" s="212"/>
      <c r="AJ105" s="212"/>
      <c r="AK105" s="255"/>
      <c r="AL105" s="213"/>
      <c r="AM105" s="214"/>
      <c r="AN105" s="256" t="e">
        <f>SUM(I105:AM105)</f>
        <v>#REF!</v>
      </c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428"/>
    </row>
    <row r="106" spans="1:50" hidden="1">
      <c r="A106" s="486"/>
      <c r="B106" s="502"/>
      <c r="C106" s="455"/>
      <c r="D106" s="474"/>
      <c r="E106" s="198"/>
      <c r="F106" s="455"/>
      <c r="G106" s="134"/>
      <c r="H106" s="187" t="s">
        <v>51</v>
      </c>
      <c r="I106" s="212"/>
      <c r="J106" s="213"/>
      <c r="K106" s="214"/>
      <c r="L106" s="212"/>
      <c r="M106" s="212"/>
      <c r="N106" s="212"/>
      <c r="O106" s="212">
        <v>1</v>
      </c>
      <c r="P106" s="212">
        <v>1</v>
      </c>
      <c r="Q106" s="213"/>
      <c r="R106" s="214"/>
      <c r="S106" s="242"/>
      <c r="T106" s="212"/>
      <c r="U106" s="212"/>
      <c r="V106" s="212"/>
      <c r="W106" s="212"/>
      <c r="X106" s="213"/>
      <c r="Y106" s="214"/>
      <c r="Z106" s="212">
        <v>1</v>
      </c>
      <c r="AA106" s="212"/>
      <c r="AB106" s="212"/>
      <c r="AC106" s="212"/>
      <c r="AD106" s="212"/>
      <c r="AE106" s="213"/>
      <c r="AF106" s="214"/>
      <c r="AG106" s="212">
        <v>1</v>
      </c>
      <c r="AH106" s="212"/>
      <c r="AI106" s="212"/>
      <c r="AJ106" s="212"/>
      <c r="AK106" s="255"/>
      <c r="AL106" s="213"/>
      <c r="AM106" s="214"/>
      <c r="AN106" s="256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428"/>
    </row>
    <row r="107" spans="1:50" hidden="1">
      <c r="A107" s="486"/>
      <c r="B107" s="502"/>
      <c r="C107" s="455"/>
      <c r="D107" s="471"/>
      <c r="E107" s="198"/>
      <c r="F107" s="455"/>
      <c r="G107" s="135"/>
      <c r="H107" s="192" t="s">
        <v>15</v>
      </c>
      <c r="I107" s="220"/>
      <c r="J107" s="270"/>
      <c r="K107" s="271"/>
      <c r="L107" s="220"/>
      <c r="M107" s="220"/>
      <c r="N107" s="220"/>
      <c r="O107" s="220"/>
      <c r="P107" s="220"/>
      <c r="Q107" s="270"/>
      <c r="R107" s="271"/>
      <c r="S107" s="282"/>
      <c r="T107" s="220"/>
      <c r="U107" s="220"/>
      <c r="V107" s="220"/>
      <c r="W107" s="220">
        <f>2592+10000+1500+8500</f>
        <v>22592</v>
      </c>
      <c r="X107" s="270"/>
      <c r="Y107" s="271"/>
      <c r="Z107" s="220"/>
      <c r="AA107" s="220"/>
      <c r="AB107" s="220"/>
      <c r="AC107" s="220"/>
      <c r="AD107" s="220"/>
      <c r="AE107" s="270"/>
      <c r="AF107" s="271"/>
      <c r="AG107" s="220"/>
      <c r="AH107" s="220"/>
      <c r="AI107" s="220"/>
      <c r="AJ107" s="220"/>
      <c r="AK107" s="287"/>
      <c r="AL107" s="270"/>
      <c r="AM107" s="271"/>
      <c r="AN107" s="253">
        <f>SUM(I107:AM107)</f>
        <v>22592</v>
      </c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428"/>
    </row>
    <row r="108" spans="1:50" hidden="1">
      <c r="A108" s="483" t="s">
        <v>59</v>
      </c>
      <c r="B108" s="503" t="s">
        <v>60</v>
      </c>
      <c r="C108" s="461">
        <v>10000</v>
      </c>
      <c r="D108" s="475">
        <v>1.56</v>
      </c>
      <c r="E108" s="446"/>
      <c r="F108" s="432" t="s">
        <v>61</v>
      </c>
      <c r="G108" s="132">
        <v>0.08</v>
      </c>
      <c r="H108" s="185" t="s">
        <v>12</v>
      </c>
      <c r="I108" s="275"/>
      <c r="J108" s="276"/>
      <c r="K108" s="277"/>
      <c r="L108" s="275"/>
      <c r="M108" s="275"/>
      <c r="N108" s="275">
        <v>47</v>
      </c>
      <c r="O108" s="275">
        <v>47</v>
      </c>
      <c r="P108" s="275">
        <v>47</v>
      </c>
      <c r="Q108" s="276"/>
      <c r="R108" s="277"/>
      <c r="S108" s="283">
        <v>47</v>
      </c>
      <c r="T108" s="275">
        <v>47</v>
      </c>
      <c r="U108" s="275">
        <v>47</v>
      </c>
      <c r="V108" s="275">
        <v>47</v>
      </c>
      <c r="W108" s="275">
        <v>47</v>
      </c>
      <c r="X108" s="276"/>
      <c r="Y108" s="277"/>
      <c r="Z108" s="275">
        <v>47</v>
      </c>
      <c r="AA108" s="275">
        <v>47</v>
      </c>
      <c r="AB108" s="275">
        <v>47</v>
      </c>
      <c r="AC108" s="275">
        <v>47</v>
      </c>
      <c r="AD108" s="275">
        <v>47</v>
      </c>
      <c r="AE108" s="276"/>
      <c r="AF108" s="277"/>
      <c r="AG108" s="275">
        <v>47</v>
      </c>
      <c r="AH108" s="275">
        <v>47</v>
      </c>
      <c r="AI108" s="275">
        <v>47</v>
      </c>
      <c r="AJ108" s="275">
        <v>47</v>
      </c>
      <c r="AK108" s="288"/>
      <c r="AL108" s="276"/>
      <c r="AM108" s="277"/>
      <c r="AN108" s="253"/>
      <c r="AO108" s="108"/>
      <c r="AP108" s="108"/>
      <c r="AQ108" s="108"/>
      <c r="AR108" s="108"/>
      <c r="AS108" s="108"/>
      <c r="AT108" s="108"/>
      <c r="AU108" s="108"/>
      <c r="AV108" s="108"/>
      <c r="AW108" s="428"/>
      <c r="AX108" s="428"/>
    </row>
    <row r="109" spans="1:50" hidden="1">
      <c r="A109" s="489"/>
      <c r="B109" s="504"/>
      <c r="C109" s="455"/>
      <c r="D109" s="476"/>
      <c r="E109" s="447"/>
      <c r="F109" s="433"/>
      <c r="G109" s="133"/>
      <c r="H109" s="187" t="s">
        <v>14</v>
      </c>
      <c r="I109" s="233"/>
      <c r="J109" s="273"/>
      <c r="K109" s="232"/>
      <c r="L109" s="233"/>
      <c r="M109" s="233"/>
      <c r="N109" s="233">
        <v>0.5</v>
      </c>
      <c r="O109" s="233">
        <v>0.5</v>
      </c>
      <c r="P109" s="233">
        <v>0.5</v>
      </c>
      <c r="Q109" s="273"/>
      <c r="R109" s="232"/>
      <c r="S109" s="247">
        <v>0.5</v>
      </c>
      <c r="T109" s="233">
        <v>0.5</v>
      </c>
      <c r="U109" s="233">
        <v>0.5</v>
      </c>
      <c r="V109" s="233">
        <v>0.5</v>
      </c>
      <c r="W109" s="233">
        <v>0.5</v>
      </c>
      <c r="X109" s="273"/>
      <c r="Y109" s="232"/>
      <c r="Z109" s="233">
        <v>0.5</v>
      </c>
      <c r="AA109" s="233">
        <v>0.5</v>
      </c>
      <c r="AB109" s="233">
        <v>0.5</v>
      </c>
      <c r="AC109" s="233">
        <v>0.5</v>
      </c>
      <c r="AD109" s="233">
        <v>0.5</v>
      </c>
      <c r="AE109" s="273"/>
      <c r="AF109" s="232"/>
      <c r="AG109" s="233">
        <v>0.5</v>
      </c>
      <c r="AH109" s="233">
        <v>0.5</v>
      </c>
      <c r="AI109" s="233">
        <v>0.5</v>
      </c>
      <c r="AJ109" s="233">
        <v>0.5</v>
      </c>
      <c r="AK109" s="262"/>
      <c r="AL109" s="273"/>
      <c r="AM109" s="232"/>
      <c r="AN109" s="253"/>
      <c r="AO109" s="108"/>
      <c r="AP109" s="108"/>
      <c r="AQ109" s="108"/>
      <c r="AR109" s="108"/>
      <c r="AS109" s="108"/>
      <c r="AT109" s="108"/>
      <c r="AU109" s="108"/>
      <c r="AV109" s="108"/>
      <c r="AW109" s="428"/>
      <c r="AX109" s="428"/>
    </row>
    <row r="110" spans="1:50" hidden="1">
      <c r="A110" s="489"/>
      <c r="B110" s="504"/>
      <c r="C110" s="455"/>
      <c r="D110" s="476"/>
      <c r="E110" s="447"/>
      <c r="F110" s="433"/>
      <c r="G110" s="55"/>
      <c r="H110" s="196" t="s">
        <v>15</v>
      </c>
      <c r="I110" s="278"/>
      <c r="J110" s="273"/>
      <c r="K110" s="232"/>
      <c r="L110" s="278"/>
      <c r="M110" s="278"/>
      <c r="N110" s="278"/>
      <c r="O110" s="278"/>
      <c r="P110" s="278"/>
      <c r="Q110" s="273"/>
      <c r="R110" s="232"/>
      <c r="S110" s="247"/>
      <c r="T110" s="278"/>
      <c r="U110" s="278"/>
      <c r="V110" s="278"/>
      <c r="W110" s="278"/>
      <c r="X110" s="273"/>
      <c r="Y110" s="232"/>
      <c r="Z110" s="278"/>
      <c r="AA110" s="278"/>
      <c r="AB110" s="278"/>
      <c r="AC110" s="278"/>
      <c r="AD110" s="278"/>
      <c r="AE110" s="273"/>
      <c r="AF110" s="232"/>
      <c r="AG110" s="278"/>
      <c r="AH110" s="278"/>
      <c r="AI110" s="278"/>
      <c r="AJ110" s="278"/>
      <c r="AK110" s="262"/>
      <c r="AL110" s="273"/>
      <c r="AM110" s="232"/>
      <c r="AN110" s="253"/>
      <c r="AO110" s="108"/>
      <c r="AP110" s="108"/>
      <c r="AQ110" s="108"/>
      <c r="AR110" s="108"/>
      <c r="AS110" s="108"/>
      <c r="AT110" s="108"/>
      <c r="AU110" s="108"/>
      <c r="AV110" s="108"/>
      <c r="AW110" s="428"/>
      <c r="AX110" s="428"/>
    </row>
    <row r="111" spans="1:50" hidden="1">
      <c r="A111" s="489"/>
      <c r="B111" s="504"/>
      <c r="C111" s="455"/>
      <c r="D111" s="476"/>
      <c r="E111" s="447"/>
      <c r="F111" s="433"/>
      <c r="G111" s="134" t="s">
        <v>62</v>
      </c>
      <c r="H111" s="187" t="s">
        <v>63</v>
      </c>
      <c r="I111" s="190"/>
      <c r="J111" s="273"/>
      <c r="K111" s="232"/>
      <c r="L111" s="233"/>
      <c r="M111" s="233"/>
      <c r="N111" s="190"/>
      <c r="O111" s="233"/>
      <c r="P111" s="233"/>
      <c r="Q111" s="273"/>
      <c r="R111" s="232"/>
      <c r="S111" s="247"/>
      <c r="T111" s="233"/>
      <c r="U111" s="233"/>
      <c r="V111" s="233"/>
      <c r="W111" s="233"/>
      <c r="X111" s="273"/>
      <c r="Y111" s="232"/>
      <c r="Z111" s="233"/>
      <c r="AA111" s="233"/>
      <c r="AB111" s="233"/>
      <c r="AC111" s="233"/>
      <c r="AD111" s="233"/>
      <c r="AE111" s="273"/>
      <c r="AF111" s="232"/>
      <c r="AG111" s="233"/>
      <c r="AH111" s="233">
        <f>987/4</f>
        <v>246.75</v>
      </c>
      <c r="AI111" s="233">
        <f>987/4</f>
        <v>246.75</v>
      </c>
      <c r="AJ111" s="233">
        <f>987/4</f>
        <v>246.75</v>
      </c>
      <c r="AK111" s="262"/>
      <c r="AL111" s="273"/>
      <c r="AM111" s="232"/>
      <c r="AN111" s="253"/>
      <c r="AO111" s="108"/>
      <c r="AP111" s="108"/>
      <c r="AQ111" s="108"/>
      <c r="AR111" s="108"/>
      <c r="AS111" s="108"/>
      <c r="AT111" s="108"/>
      <c r="AU111" s="108"/>
      <c r="AV111" s="108"/>
      <c r="AW111" s="428"/>
      <c r="AX111" s="428"/>
    </row>
    <row r="112" spans="1:50" hidden="1">
      <c r="A112" s="489"/>
      <c r="B112" s="504"/>
      <c r="C112" s="455"/>
      <c r="D112" s="476"/>
      <c r="E112" s="447"/>
      <c r="F112" s="433"/>
      <c r="G112" s="133"/>
      <c r="H112" s="187" t="s">
        <v>14</v>
      </c>
      <c r="I112" s="212"/>
      <c r="J112" s="273"/>
      <c r="K112" s="232"/>
      <c r="L112" s="233"/>
      <c r="M112" s="233"/>
      <c r="N112" s="212"/>
      <c r="O112" s="233"/>
      <c r="P112" s="233"/>
      <c r="Q112" s="273"/>
      <c r="R112" s="232"/>
      <c r="S112" s="247"/>
      <c r="T112" s="233"/>
      <c r="U112" s="233"/>
      <c r="V112" s="233"/>
      <c r="W112" s="233"/>
      <c r="X112" s="273"/>
      <c r="Y112" s="232"/>
      <c r="Z112" s="233"/>
      <c r="AA112" s="233"/>
      <c r="AB112" s="233"/>
      <c r="AC112" s="233"/>
      <c r="AD112" s="233"/>
      <c r="AE112" s="273"/>
      <c r="AF112" s="232"/>
      <c r="AG112" s="233"/>
      <c r="AH112" s="233">
        <v>1</v>
      </c>
      <c r="AI112" s="233">
        <v>1</v>
      </c>
      <c r="AJ112" s="233">
        <v>1</v>
      </c>
      <c r="AK112" s="262"/>
      <c r="AL112" s="273"/>
      <c r="AM112" s="232"/>
      <c r="AN112" s="253"/>
      <c r="AO112" s="108"/>
      <c r="AP112" s="108"/>
      <c r="AQ112" s="108"/>
      <c r="AR112" s="108"/>
      <c r="AS112" s="108"/>
      <c r="AT112" s="108"/>
      <c r="AU112" s="108"/>
      <c r="AV112" s="108"/>
      <c r="AW112" s="428"/>
      <c r="AX112" s="428"/>
    </row>
    <row r="113" spans="1:50" hidden="1">
      <c r="A113" s="489"/>
      <c r="B113" s="504"/>
      <c r="C113" s="455"/>
      <c r="D113" s="476"/>
      <c r="E113" s="447"/>
      <c r="F113" s="433"/>
      <c r="G113" s="133"/>
      <c r="H113" s="188" t="s">
        <v>15</v>
      </c>
      <c r="I113" s="278"/>
      <c r="J113" s="273"/>
      <c r="K113" s="232"/>
      <c r="L113" s="278"/>
      <c r="M113" s="278"/>
      <c r="N113" s="278"/>
      <c r="O113" s="278"/>
      <c r="P113" s="278"/>
      <c r="Q113" s="273"/>
      <c r="R113" s="232"/>
      <c r="S113" s="247"/>
      <c r="T113" s="278"/>
      <c r="U113" s="278"/>
      <c r="V113" s="278"/>
      <c r="W113" s="278"/>
      <c r="X113" s="273"/>
      <c r="Y113" s="232"/>
      <c r="Z113" s="278"/>
      <c r="AA113" s="278"/>
      <c r="AB113" s="278"/>
      <c r="AC113" s="278"/>
      <c r="AD113" s="278"/>
      <c r="AE113" s="273"/>
      <c r="AF113" s="232"/>
      <c r="AG113" s="278"/>
      <c r="AH113" s="278"/>
      <c r="AI113" s="278"/>
      <c r="AJ113" s="278"/>
      <c r="AK113" s="262"/>
      <c r="AL113" s="273"/>
      <c r="AM113" s="232"/>
      <c r="AN113" s="253"/>
      <c r="AO113" s="108"/>
      <c r="AP113" s="108"/>
      <c r="AQ113" s="108"/>
      <c r="AR113" s="108"/>
      <c r="AS113" s="108"/>
      <c r="AT113" s="108"/>
      <c r="AU113" s="108"/>
      <c r="AV113" s="108"/>
      <c r="AW113" s="428"/>
      <c r="AX113" s="428"/>
    </row>
    <row r="114" spans="1:50" hidden="1">
      <c r="A114" s="489"/>
      <c r="B114" s="504"/>
      <c r="C114" s="455"/>
      <c r="D114" s="476"/>
      <c r="E114" s="447"/>
      <c r="F114" s="433"/>
      <c r="G114" s="133" t="s">
        <v>64</v>
      </c>
      <c r="H114" s="187" t="s">
        <v>22</v>
      </c>
      <c r="I114" s="233"/>
      <c r="J114" s="273"/>
      <c r="K114" s="232"/>
      <c r="L114" s="233"/>
      <c r="M114" s="233"/>
      <c r="N114" s="233">
        <f>$AJ$123*$D$108/4</f>
        <v>17160</v>
      </c>
      <c r="O114" s="233">
        <f>$AJ$123*$D$108/4</f>
        <v>17160</v>
      </c>
      <c r="P114" s="233">
        <f>$AJ$123*$D$108/4</f>
        <v>17160</v>
      </c>
      <c r="Q114" s="273"/>
      <c r="R114" s="232"/>
      <c r="S114" s="247">
        <f>$AJ$123*$D$108/4</f>
        <v>17160</v>
      </c>
      <c r="T114" s="233">
        <f>$AJ$123*$D$108/4</f>
        <v>17160</v>
      </c>
      <c r="U114" s="233">
        <f>$AJ$123*$D$108/4</f>
        <v>17160</v>
      </c>
      <c r="V114" s="233">
        <f>$AJ$123*$D$108/4</f>
        <v>17160</v>
      </c>
      <c r="W114" s="233">
        <f>$AJ$123*$D$108/4</f>
        <v>17160</v>
      </c>
      <c r="X114" s="273"/>
      <c r="Y114" s="232"/>
      <c r="Z114" s="233">
        <f>$AJ$123*$D$108/4</f>
        <v>17160</v>
      </c>
      <c r="AA114" s="233">
        <f>$AJ$123*$D$108/4</f>
        <v>17160</v>
      </c>
      <c r="AB114" s="233">
        <f>$AJ$123*$D$108/4</f>
        <v>17160</v>
      </c>
      <c r="AC114" s="233">
        <f>$AJ$123*$D$108/4</f>
        <v>17160</v>
      </c>
      <c r="AD114" s="233">
        <f>$AJ$123*$D$108/4</f>
        <v>17160</v>
      </c>
      <c r="AE114" s="273"/>
      <c r="AF114" s="232"/>
      <c r="AG114" s="233">
        <f>$AJ$123*$D$108/4</f>
        <v>17160</v>
      </c>
      <c r="AH114" s="233">
        <f>$AJ$123*$D$108/4</f>
        <v>17160</v>
      </c>
      <c r="AI114" s="233">
        <f>$AJ$123*$D$108/4</f>
        <v>17160</v>
      </c>
      <c r="AJ114" s="233">
        <f>$AJ$123*$D$108/4</f>
        <v>17160</v>
      </c>
      <c r="AK114" s="262"/>
      <c r="AL114" s="273"/>
      <c r="AM114" s="232"/>
      <c r="AN114" s="256">
        <f>SUM(I114:AM114)</f>
        <v>291720</v>
      </c>
      <c r="AO114" s="108"/>
      <c r="AP114" s="108"/>
      <c r="AQ114" s="108"/>
      <c r="AR114" s="108"/>
      <c r="AS114" s="108"/>
      <c r="AT114" s="108"/>
      <c r="AU114" s="108"/>
      <c r="AV114" s="108"/>
      <c r="AW114" s="428"/>
      <c r="AX114" s="428"/>
    </row>
    <row r="115" spans="1:50" hidden="1">
      <c r="A115" s="489"/>
      <c r="B115" s="504"/>
      <c r="C115" s="455"/>
      <c r="D115" s="476"/>
      <c r="E115" s="447"/>
      <c r="F115" s="433"/>
      <c r="G115" s="133"/>
      <c r="H115" s="187" t="s">
        <v>20</v>
      </c>
      <c r="I115" s="233"/>
      <c r="J115" s="273"/>
      <c r="K115" s="232"/>
      <c r="L115" s="233"/>
      <c r="M115" s="233"/>
      <c r="N115" s="233">
        <v>1</v>
      </c>
      <c r="O115" s="233">
        <v>1</v>
      </c>
      <c r="P115" s="233">
        <v>1</v>
      </c>
      <c r="Q115" s="273"/>
      <c r="R115" s="232"/>
      <c r="S115" s="247">
        <v>1</v>
      </c>
      <c r="T115" s="233">
        <v>1</v>
      </c>
      <c r="U115" s="233">
        <v>1</v>
      </c>
      <c r="V115" s="233">
        <v>1</v>
      </c>
      <c r="W115" s="233">
        <v>1</v>
      </c>
      <c r="X115" s="273"/>
      <c r="Y115" s="232"/>
      <c r="Z115" s="233">
        <v>1</v>
      </c>
      <c r="AA115" s="233">
        <v>1</v>
      </c>
      <c r="AB115" s="233">
        <v>1</v>
      </c>
      <c r="AC115" s="233">
        <v>1</v>
      </c>
      <c r="AD115" s="233">
        <v>1</v>
      </c>
      <c r="AE115" s="273"/>
      <c r="AF115" s="232"/>
      <c r="AG115" s="233">
        <v>1</v>
      </c>
      <c r="AH115" s="233">
        <v>1</v>
      </c>
      <c r="AI115" s="233">
        <v>1</v>
      </c>
      <c r="AJ115" s="233">
        <v>1</v>
      </c>
      <c r="AK115" s="262"/>
      <c r="AL115" s="273"/>
      <c r="AM115" s="232"/>
      <c r="AN115" s="256"/>
      <c r="AO115" s="108"/>
      <c r="AP115" s="108"/>
      <c r="AQ115" s="108"/>
      <c r="AR115" s="108"/>
      <c r="AS115" s="108"/>
      <c r="AT115" s="108"/>
      <c r="AU115" s="108"/>
      <c r="AV115" s="108"/>
      <c r="AW115" s="428"/>
      <c r="AX115" s="428"/>
    </row>
    <row r="116" spans="1:50" hidden="1">
      <c r="A116" s="489"/>
      <c r="B116" s="504"/>
      <c r="C116" s="455"/>
      <c r="D116" s="476"/>
      <c r="E116" s="447"/>
      <c r="F116" s="433"/>
      <c r="G116" s="133"/>
      <c r="H116" s="188" t="s">
        <v>15</v>
      </c>
      <c r="I116" s="278"/>
      <c r="J116" s="273"/>
      <c r="K116" s="232">
        <f>6180+7261+4802</f>
        <v>18243</v>
      </c>
      <c r="L116" s="278">
        <f>11343+13926</f>
        <v>25269</v>
      </c>
      <c r="M116" s="278">
        <f>11343+13926</f>
        <v>25269</v>
      </c>
      <c r="N116" s="278">
        <f>11617+11162</f>
        <v>22779</v>
      </c>
      <c r="O116" s="278">
        <f>8064</f>
        <v>8064</v>
      </c>
      <c r="P116" s="278">
        <f>8064</f>
        <v>8064</v>
      </c>
      <c r="Q116" s="273"/>
      <c r="R116" s="232">
        <f>6180+7261+4802</f>
        <v>18243</v>
      </c>
      <c r="S116" s="247"/>
      <c r="T116" s="278"/>
      <c r="U116" s="278">
        <f>3446+7656</f>
        <v>11102</v>
      </c>
      <c r="V116" s="278">
        <f>3446+7656</f>
        <v>11102</v>
      </c>
      <c r="W116" s="278">
        <f>8744+7799</f>
        <v>16543</v>
      </c>
      <c r="X116" s="273"/>
      <c r="Y116" s="232">
        <f>6180+7261+4802</f>
        <v>18243</v>
      </c>
      <c r="Z116" s="278"/>
      <c r="AA116" s="278"/>
      <c r="AB116" s="278"/>
      <c r="AC116" s="278"/>
      <c r="AD116" s="278"/>
      <c r="AE116" s="273"/>
      <c r="AF116" s="232">
        <f>6180+7261+4802</f>
        <v>18243</v>
      </c>
      <c r="AG116" s="278"/>
      <c r="AH116" s="278"/>
      <c r="AI116" s="278"/>
      <c r="AJ116" s="278"/>
      <c r="AK116" s="262"/>
      <c r="AL116" s="273"/>
      <c r="AM116" s="232">
        <f>6180+7261+4802</f>
        <v>18243</v>
      </c>
      <c r="AN116" s="253">
        <f>SUM(I116:AM116)</f>
        <v>219407</v>
      </c>
      <c r="AO116" s="108"/>
      <c r="AP116" s="108"/>
      <c r="AQ116" s="108"/>
      <c r="AR116" s="108"/>
      <c r="AS116" s="108"/>
      <c r="AT116" s="108"/>
      <c r="AU116" s="108"/>
      <c r="AV116" s="108"/>
      <c r="AW116" s="428"/>
      <c r="AX116" s="428"/>
    </row>
    <row r="117" spans="1:50" hidden="1">
      <c r="A117" s="489"/>
      <c r="B117" s="504"/>
      <c r="C117" s="455"/>
      <c r="D117" s="476"/>
      <c r="E117" s="447"/>
      <c r="F117" s="433"/>
      <c r="G117" s="133" t="s">
        <v>28</v>
      </c>
      <c r="H117" s="187" t="s">
        <v>29</v>
      </c>
      <c r="I117" s="233"/>
      <c r="J117" s="273"/>
      <c r="K117" s="232"/>
      <c r="L117" s="233"/>
      <c r="M117" s="233"/>
      <c r="N117" s="233"/>
      <c r="O117" s="233"/>
      <c r="P117" s="233"/>
      <c r="Q117" s="273"/>
      <c r="R117" s="232"/>
      <c r="S117" s="247">
        <f>$AJ$123*$D$108/4</f>
        <v>17160</v>
      </c>
      <c r="T117" s="233">
        <f>$AJ$123*$D$108/4</f>
        <v>17160</v>
      </c>
      <c r="U117" s="233">
        <f>$AJ$123*$D$108/4</f>
        <v>17160</v>
      </c>
      <c r="V117" s="233">
        <f>$AJ$123*$D$108/4</f>
        <v>17160</v>
      </c>
      <c r="W117" s="233">
        <f>$AJ$123*$D$108/4</f>
        <v>17160</v>
      </c>
      <c r="X117" s="273"/>
      <c r="Y117" s="232"/>
      <c r="Z117" s="233">
        <f>$AJ$123*$D$108/4</f>
        <v>17160</v>
      </c>
      <c r="AA117" s="233">
        <f>$AJ$123*$D$108/4</f>
        <v>17160</v>
      </c>
      <c r="AB117" s="233">
        <f>$AJ$123*$D$108/4</f>
        <v>17160</v>
      </c>
      <c r="AC117" s="233">
        <f>$AJ$123*$D$108/4</f>
        <v>17160</v>
      </c>
      <c r="AD117" s="233">
        <f>$AJ$123*$D$108/4</f>
        <v>17160</v>
      </c>
      <c r="AE117" s="273"/>
      <c r="AF117" s="232"/>
      <c r="AG117" s="233">
        <f>$AJ$123*$D$108/4</f>
        <v>17160</v>
      </c>
      <c r="AH117" s="233">
        <f>$AJ$123*$D$108/4</f>
        <v>17160</v>
      </c>
      <c r="AI117" s="233">
        <f>$AJ$123*$D$108/4</f>
        <v>17160</v>
      </c>
      <c r="AJ117" s="233">
        <f>$AJ$123*$D$108/4</f>
        <v>17160</v>
      </c>
      <c r="AK117" s="262"/>
      <c r="AL117" s="273"/>
      <c r="AM117" s="232"/>
      <c r="AN117" s="256">
        <f>SUM(I117:AM117)</f>
        <v>240240</v>
      </c>
      <c r="AO117" s="108"/>
      <c r="AP117" s="108"/>
      <c r="AQ117" s="108"/>
      <c r="AR117" s="108"/>
      <c r="AS117" s="108"/>
      <c r="AT117" s="108"/>
      <c r="AU117" s="108"/>
      <c r="AV117" s="108"/>
      <c r="AW117" s="428"/>
      <c r="AX117" s="428"/>
    </row>
    <row r="118" spans="1:50" hidden="1">
      <c r="A118" s="489"/>
      <c r="B118" s="504"/>
      <c r="C118" s="455"/>
      <c r="D118" s="476"/>
      <c r="E118" s="447"/>
      <c r="F118" s="433"/>
      <c r="G118" s="133"/>
      <c r="H118" s="187" t="s">
        <v>27</v>
      </c>
      <c r="I118" s="233"/>
      <c r="J118" s="273"/>
      <c r="K118" s="232"/>
      <c r="L118" s="233"/>
      <c r="M118" s="233"/>
      <c r="N118" s="233"/>
      <c r="O118" s="233"/>
      <c r="P118" s="233"/>
      <c r="Q118" s="273"/>
      <c r="R118" s="232"/>
      <c r="S118" s="247">
        <v>1</v>
      </c>
      <c r="T118" s="233">
        <v>1</v>
      </c>
      <c r="U118" s="233">
        <v>1</v>
      </c>
      <c r="V118" s="233">
        <v>1</v>
      </c>
      <c r="W118" s="233">
        <v>1</v>
      </c>
      <c r="X118" s="273"/>
      <c r="Y118" s="232"/>
      <c r="Z118" s="233">
        <v>1</v>
      </c>
      <c r="AA118" s="233">
        <v>1</v>
      </c>
      <c r="AB118" s="233">
        <v>1</v>
      </c>
      <c r="AC118" s="233">
        <v>1</v>
      </c>
      <c r="AD118" s="233">
        <v>1</v>
      </c>
      <c r="AE118" s="273"/>
      <c r="AF118" s="232"/>
      <c r="AG118" s="233">
        <v>1</v>
      </c>
      <c r="AH118" s="233">
        <v>1</v>
      </c>
      <c r="AI118" s="233">
        <v>1</v>
      </c>
      <c r="AJ118" s="233">
        <v>1</v>
      </c>
      <c r="AK118" s="262"/>
      <c r="AL118" s="273"/>
      <c r="AM118" s="232"/>
      <c r="AN118" s="256"/>
      <c r="AO118" s="108"/>
      <c r="AP118" s="108"/>
      <c r="AQ118" s="108"/>
      <c r="AR118" s="108"/>
      <c r="AS118" s="108"/>
      <c r="AT118" s="108"/>
      <c r="AU118" s="108"/>
      <c r="AV118" s="108"/>
      <c r="AW118" s="428"/>
      <c r="AX118" s="428"/>
    </row>
    <row r="119" spans="1:50" hidden="1">
      <c r="A119" s="489"/>
      <c r="B119" s="504"/>
      <c r="C119" s="455"/>
      <c r="D119" s="476"/>
      <c r="E119" s="447"/>
      <c r="F119" s="433"/>
      <c r="G119" s="133"/>
      <c r="H119" s="188" t="s">
        <v>15</v>
      </c>
      <c r="I119" s="278"/>
      <c r="J119" s="273"/>
      <c r="K119" s="232"/>
      <c r="L119" s="278"/>
      <c r="M119" s="278"/>
      <c r="N119" s="278"/>
      <c r="O119" s="278"/>
      <c r="P119" s="278"/>
      <c r="Q119" s="273"/>
      <c r="R119" s="232"/>
      <c r="S119" s="247">
        <f>50222+21889</f>
        <v>72111</v>
      </c>
      <c r="T119" s="278">
        <f>50222+21889</f>
        <v>72111</v>
      </c>
      <c r="U119" s="278"/>
      <c r="V119" s="278"/>
      <c r="W119" s="278"/>
      <c r="X119" s="273"/>
      <c r="Y119" s="232"/>
      <c r="Z119" s="278"/>
      <c r="AA119" s="278"/>
      <c r="AB119" s="278"/>
      <c r="AC119" s="278"/>
      <c r="AD119" s="278"/>
      <c r="AE119" s="273"/>
      <c r="AF119" s="232"/>
      <c r="AG119" s="278"/>
      <c r="AH119" s="278"/>
      <c r="AI119" s="278"/>
      <c r="AJ119" s="278"/>
      <c r="AK119" s="262"/>
      <c r="AL119" s="273"/>
      <c r="AM119" s="232"/>
      <c r="AN119" s="253">
        <f>SUM(I119:AM119)</f>
        <v>144222</v>
      </c>
      <c r="AO119" s="108"/>
      <c r="AP119" s="108"/>
      <c r="AQ119" s="108"/>
      <c r="AR119" s="108"/>
      <c r="AS119" s="108"/>
      <c r="AT119" s="108"/>
      <c r="AU119" s="108"/>
      <c r="AV119" s="108"/>
      <c r="AW119" s="428"/>
      <c r="AX119" s="428"/>
    </row>
    <row r="120" spans="1:50" hidden="1">
      <c r="A120" s="489"/>
      <c r="B120" s="504"/>
      <c r="C120" s="455"/>
      <c r="D120" s="476"/>
      <c r="E120" s="447"/>
      <c r="F120" s="433"/>
      <c r="G120" s="133"/>
      <c r="H120" s="187" t="s">
        <v>49</v>
      </c>
      <c r="I120" s="233"/>
      <c r="J120" s="273"/>
      <c r="K120" s="232"/>
      <c r="L120" s="233"/>
      <c r="M120" s="233"/>
      <c r="N120" s="233"/>
      <c r="O120" s="233"/>
      <c r="P120" s="233"/>
      <c r="Q120" s="273"/>
      <c r="R120" s="232"/>
      <c r="S120" s="247">
        <f>$AJ$123*$D$108/4</f>
        <v>17160</v>
      </c>
      <c r="T120" s="233">
        <f>$AJ$123*$D$108/4</f>
        <v>17160</v>
      </c>
      <c r="U120" s="233">
        <f>$AJ$123*$D$108/4</f>
        <v>17160</v>
      </c>
      <c r="V120" s="233">
        <f>$AJ$123*$D$108/4</f>
        <v>17160</v>
      </c>
      <c r="W120" s="233">
        <f>$AJ$123*$D$108/4</f>
        <v>17160</v>
      </c>
      <c r="X120" s="273"/>
      <c r="Y120" s="232"/>
      <c r="Z120" s="233">
        <f>$AJ$123*$D$108/4</f>
        <v>17160</v>
      </c>
      <c r="AA120" s="233">
        <f>$AJ$123*$D$108/4</f>
        <v>17160</v>
      </c>
      <c r="AB120" s="233">
        <f>$AJ$123*$D$108/4</f>
        <v>17160</v>
      </c>
      <c r="AC120" s="233">
        <f>$AJ$123*$D$108/4</f>
        <v>17160</v>
      </c>
      <c r="AD120" s="233">
        <f>$AJ$123*$D$108/4</f>
        <v>17160</v>
      </c>
      <c r="AE120" s="273"/>
      <c r="AF120" s="232"/>
      <c r="AG120" s="233">
        <f>$AJ$123*$D$108/4</f>
        <v>17160</v>
      </c>
      <c r="AH120" s="233">
        <f>$AJ$123*$D$108/4</f>
        <v>17160</v>
      </c>
      <c r="AI120" s="233">
        <f>$AJ$123*$D$108/4</f>
        <v>17160</v>
      </c>
      <c r="AJ120" s="233">
        <f>$AJ$123*$D$108/4</f>
        <v>17160</v>
      </c>
      <c r="AK120" s="262"/>
      <c r="AL120" s="273"/>
      <c r="AM120" s="232"/>
      <c r="AN120" s="256">
        <f>SUM(I120:AM120)</f>
        <v>240240</v>
      </c>
      <c r="AO120" s="108"/>
      <c r="AP120" s="108"/>
      <c r="AQ120" s="108"/>
      <c r="AR120" s="108"/>
      <c r="AS120" s="108"/>
      <c r="AT120" s="108"/>
      <c r="AU120" s="108"/>
      <c r="AV120" s="108"/>
      <c r="AW120" s="428"/>
      <c r="AX120" s="428"/>
    </row>
    <row r="121" spans="1:50" hidden="1">
      <c r="A121" s="489"/>
      <c r="B121" s="504"/>
      <c r="C121" s="455"/>
      <c r="D121" s="476"/>
      <c r="E121" s="447"/>
      <c r="F121" s="433"/>
      <c r="G121" s="133"/>
      <c r="H121" s="187" t="s">
        <v>50</v>
      </c>
      <c r="I121" s="233"/>
      <c r="J121" s="273"/>
      <c r="K121" s="232"/>
      <c r="L121" s="233"/>
      <c r="M121" s="233"/>
      <c r="N121" s="233"/>
      <c r="O121" s="233"/>
      <c r="P121" s="233"/>
      <c r="Q121" s="273"/>
      <c r="R121" s="232"/>
      <c r="S121" s="247">
        <v>3</v>
      </c>
      <c r="T121" s="233">
        <v>3</v>
      </c>
      <c r="U121" s="233">
        <v>3</v>
      </c>
      <c r="V121" s="233">
        <v>3</v>
      </c>
      <c r="W121" s="233">
        <v>3</v>
      </c>
      <c r="X121" s="273"/>
      <c r="Y121" s="232"/>
      <c r="Z121" s="233">
        <v>3</v>
      </c>
      <c r="AA121" s="233">
        <v>3</v>
      </c>
      <c r="AB121" s="233">
        <v>3</v>
      </c>
      <c r="AC121" s="233">
        <v>3</v>
      </c>
      <c r="AD121" s="233">
        <v>3</v>
      </c>
      <c r="AE121" s="273"/>
      <c r="AF121" s="232"/>
      <c r="AG121" s="233">
        <v>3</v>
      </c>
      <c r="AH121" s="233">
        <v>3</v>
      </c>
      <c r="AI121" s="233">
        <v>3</v>
      </c>
      <c r="AJ121" s="233">
        <v>3</v>
      </c>
      <c r="AK121" s="262"/>
      <c r="AL121" s="273"/>
      <c r="AM121" s="232"/>
      <c r="AN121" s="256"/>
      <c r="AO121" s="108"/>
      <c r="AP121" s="108"/>
      <c r="AQ121" s="108"/>
      <c r="AR121" s="108"/>
      <c r="AS121" s="108"/>
      <c r="AT121" s="108"/>
      <c r="AU121" s="108"/>
      <c r="AV121" s="108"/>
      <c r="AW121" s="428"/>
      <c r="AX121" s="428"/>
    </row>
    <row r="122" spans="1:50" hidden="1">
      <c r="A122" s="489"/>
      <c r="B122" s="504"/>
      <c r="C122" s="455"/>
      <c r="D122" s="476"/>
      <c r="E122" s="447"/>
      <c r="F122" s="433"/>
      <c r="G122" s="133"/>
      <c r="H122" s="188" t="s">
        <v>15</v>
      </c>
      <c r="I122" s="278"/>
      <c r="J122" s="273"/>
      <c r="K122" s="232"/>
      <c r="L122" s="278"/>
      <c r="M122" s="278"/>
      <c r="N122" s="278"/>
      <c r="O122" s="278"/>
      <c r="P122" s="278"/>
      <c r="Q122" s="273"/>
      <c r="R122" s="232"/>
      <c r="S122" s="247">
        <f>200</f>
        <v>200</v>
      </c>
      <c r="T122" s="278">
        <f>200</f>
        <v>200</v>
      </c>
      <c r="U122" s="278">
        <f>1057+1389+1938</f>
        <v>4384</v>
      </c>
      <c r="V122" s="278">
        <f>1057+1389+1938</f>
        <v>4384</v>
      </c>
      <c r="W122" s="278">
        <f>1884+1800</f>
        <v>3684</v>
      </c>
      <c r="X122" s="273"/>
      <c r="Y122" s="232"/>
      <c r="Z122" s="278"/>
      <c r="AA122" s="278"/>
      <c r="AB122" s="278"/>
      <c r="AC122" s="278"/>
      <c r="AD122" s="278"/>
      <c r="AE122" s="273"/>
      <c r="AF122" s="232"/>
      <c r="AG122" s="278"/>
      <c r="AH122" s="278"/>
      <c r="AI122" s="278"/>
      <c r="AJ122" s="278"/>
      <c r="AK122" s="262"/>
      <c r="AL122" s="273"/>
      <c r="AM122" s="232"/>
      <c r="AN122" s="253">
        <f>SUM(I122:AM122)</f>
        <v>12852</v>
      </c>
      <c r="AO122" s="108"/>
      <c r="AP122" s="108"/>
      <c r="AQ122" s="108"/>
      <c r="AR122" s="108"/>
      <c r="AS122" s="108"/>
      <c r="AT122" s="108"/>
      <c r="AU122" s="108"/>
      <c r="AV122" s="108"/>
      <c r="AW122" s="428"/>
      <c r="AX122" s="428"/>
    </row>
    <row r="123" spans="1:50" hidden="1">
      <c r="A123" s="489"/>
      <c r="B123" s="504"/>
      <c r="C123" s="455"/>
      <c r="D123" s="476"/>
      <c r="E123" s="447"/>
      <c r="F123" s="433"/>
      <c r="G123" s="133"/>
      <c r="H123" s="187" t="s">
        <v>32</v>
      </c>
      <c r="I123" s="233"/>
      <c r="J123" s="273"/>
      <c r="K123" s="232"/>
      <c r="L123" s="233"/>
      <c r="M123" s="233"/>
      <c r="N123" s="190"/>
      <c r="O123" s="233"/>
      <c r="P123" s="233"/>
      <c r="Q123" s="273"/>
      <c r="R123" s="232"/>
      <c r="S123" s="247"/>
      <c r="T123" s="233"/>
      <c r="U123" s="233"/>
      <c r="V123" s="233"/>
      <c r="W123" s="233"/>
      <c r="X123" s="273"/>
      <c r="Y123" s="232"/>
      <c r="Z123" s="233"/>
      <c r="AA123" s="233">
        <f>($C$108*4)+($C$108*4*10%)</f>
        <v>44000</v>
      </c>
      <c r="AB123" s="190"/>
      <c r="AC123" s="233"/>
      <c r="AD123" s="233"/>
      <c r="AE123" s="273"/>
      <c r="AF123" s="232"/>
      <c r="AG123" s="233"/>
      <c r="AH123" s="233"/>
      <c r="AI123" s="233"/>
      <c r="AJ123" s="233">
        <f>($C$108*4)+($C$108*4*10%)</f>
        <v>44000</v>
      </c>
      <c r="AK123" s="262"/>
      <c r="AL123" s="273"/>
      <c r="AM123" s="232"/>
      <c r="AN123" s="256">
        <f>SUM(I123:AM123)</f>
        <v>88000</v>
      </c>
      <c r="AO123" s="108"/>
      <c r="AP123" s="108"/>
      <c r="AQ123" s="108"/>
      <c r="AR123" s="108"/>
      <c r="AS123" s="108"/>
      <c r="AT123" s="108"/>
      <c r="AU123" s="108"/>
      <c r="AV123" s="108"/>
      <c r="AW123" s="428"/>
      <c r="AX123" s="428"/>
    </row>
    <row r="124" spans="1:50" hidden="1">
      <c r="A124" s="489"/>
      <c r="B124" s="504"/>
      <c r="C124" s="455"/>
      <c r="D124" s="476"/>
      <c r="E124" s="447"/>
      <c r="F124" s="433"/>
      <c r="G124" s="133"/>
      <c r="H124" s="187" t="s">
        <v>51</v>
      </c>
      <c r="I124" s="233"/>
      <c r="J124" s="273"/>
      <c r="K124" s="232"/>
      <c r="L124" s="233"/>
      <c r="M124" s="233"/>
      <c r="N124" s="190"/>
      <c r="O124" s="233"/>
      <c r="P124" s="233"/>
      <c r="Q124" s="273"/>
      <c r="R124" s="232"/>
      <c r="S124" s="247"/>
      <c r="T124" s="233"/>
      <c r="U124" s="233"/>
      <c r="V124" s="233"/>
      <c r="W124" s="233"/>
      <c r="X124" s="273"/>
      <c r="Y124" s="232"/>
      <c r="Z124" s="233"/>
      <c r="AA124" s="233">
        <v>1</v>
      </c>
      <c r="AB124" s="190"/>
      <c r="AC124" s="233"/>
      <c r="AD124" s="233"/>
      <c r="AE124" s="273"/>
      <c r="AF124" s="232"/>
      <c r="AG124" s="233"/>
      <c r="AH124" s="233"/>
      <c r="AI124" s="233"/>
      <c r="AJ124" s="233">
        <v>1</v>
      </c>
      <c r="AK124" s="262"/>
      <c r="AL124" s="273"/>
      <c r="AM124" s="232"/>
      <c r="AN124" s="256"/>
      <c r="AO124" s="108"/>
      <c r="AP124" s="108"/>
      <c r="AQ124" s="108"/>
      <c r="AR124" s="108"/>
      <c r="AS124" s="108"/>
      <c r="AT124" s="108"/>
      <c r="AU124" s="108"/>
      <c r="AV124" s="108"/>
      <c r="AW124" s="428"/>
      <c r="AX124" s="428"/>
    </row>
    <row r="125" spans="1:50" hidden="1">
      <c r="A125" s="490"/>
      <c r="B125" s="504"/>
      <c r="C125" s="456"/>
      <c r="D125" s="477"/>
      <c r="E125" s="448"/>
      <c r="F125" s="433"/>
      <c r="G125" s="55"/>
      <c r="H125" s="196" t="s">
        <v>15</v>
      </c>
      <c r="I125" s="279"/>
      <c r="J125" s="280"/>
      <c r="K125" s="281"/>
      <c r="L125" s="279"/>
      <c r="M125" s="279"/>
      <c r="N125" s="279"/>
      <c r="O125" s="279"/>
      <c r="P125" s="279"/>
      <c r="Q125" s="280"/>
      <c r="R125" s="281"/>
      <c r="S125" s="284"/>
      <c r="T125" s="279"/>
      <c r="U125" s="279"/>
      <c r="V125" s="279"/>
      <c r="W125" s="279"/>
      <c r="X125" s="280"/>
      <c r="Y125" s="281"/>
      <c r="Z125" s="279"/>
      <c r="AA125" s="279"/>
      <c r="AB125" s="279"/>
      <c r="AC125" s="279"/>
      <c r="AD125" s="279"/>
      <c r="AE125" s="280"/>
      <c r="AF125" s="281"/>
      <c r="AG125" s="279"/>
      <c r="AH125" s="279"/>
      <c r="AI125" s="279"/>
      <c r="AJ125" s="279"/>
      <c r="AK125" s="289"/>
      <c r="AL125" s="280"/>
      <c r="AM125" s="281"/>
      <c r="AN125" s="253">
        <f>SUM(I125:AM125)</f>
        <v>0</v>
      </c>
      <c r="AO125" s="108"/>
      <c r="AP125" s="108"/>
      <c r="AQ125" s="108"/>
      <c r="AR125" s="108"/>
      <c r="AS125" s="108"/>
      <c r="AT125" s="108"/>
      <c r="AU125" s="108"/>
      <c r="AV125" s="108"/>
      <c r="AW125" s="428"/>
      <c r="AX125" s="428"/>
    </row>
    <row r="126" spans="1:50" hidden="1">
      <c r="A126" s="483" t="s">
        <v>65</v>
      </c>
      <c r="B126" s="505" t="s">
        <v>66</v>
      </c>
      <c r="C126" s="461">
        <v>1500</v>
      </c>
      <c r="D126" s="478">
        <v>1.5249999999999999</v>
      </c>
      <c r="E126" s="61"/>
      <c r="F126" s="432" t="s">
        <v>67</v>
      </c>
      <c r="G126" s="132">
        <v>0.16</v>
      </c>
      <c r="H126" s="185" t="s">
        <v>12</v>
      </c>
      <c r="I126" s="275"/>
      <c r="J126" s="276"/>
      <c r="K126" s="277"/>
      <c r="L126" s="275"/>
      <c r="M126" s="275"/>
      <c r="N126" s="275"/>
      <c r="O126" s="275"/>
      <c r="P126" s="275"/>
      <c r="Q126" s="276"/>
      <c r="R126" s="277"/>
      <c r="S126" s="283"/>
      <c r="T126" s="275"/>
      <c r="U126" s="275"/>
      <c r="V126" s="275"/>
      <c r="W126" s="275"/>
      <c r="X126" s="276"/>
      <c r="Y126" s="277"/>
      <c r="Z126" s="275"/>
      <c r="AA126" s="275"/>
      <c r="AB126" s="275"/>
      <c r="AC126" s="275"/>
      <c r="AD126" s="275"/>
      <c r="AE126" s="276"/>
      <c r="AF126" s="277"/>
      <c r="AG126" s="275"/>
      <c r="AH126" s="275">
        <v>55</v>
      </c>
      <c r="AI126" s="275">
        <v>55</v>
      </c>
      <c r="AJ126" s="275">
        <v>55</v>
      </c>
      <c r="AK126" s="288"/>
      <c r="AL126" s="276"/>
      <c r="AM126" s="277"/>
      <c r="AN126" s="253"/>
      <c r="AO126" s="108"/>
      <c r="AP126" s="108"/>
      <c r="AQ126" s="108"/>
      <c r="AR126" s="108"/>
      <c r="AS126" s="108"/>
      <c r="AT126" s="108"/>
      <c r="AU126" s="108"/>
      <c r="AV126" s="108"/>
      <c r="AW126" s="428"/>
      <c r="AX126" s="428"/>
    </row>
    <row r="127" spans="1:50" hidden="1">
      <c r="A127" s="489"/>
      <c r="B127" s="488"/>
      <c r="C127" s="455"/>
      <c r="D127" s="479"/>
      <c r="E127" s="63"/>
      <c r="F127" s="433"/>
      <c r="G127" s="133"/>
      <c r="H127" s="187" t="s">
        <v>14</v>
      </c>
      <c r="I127" s="233"/>
      <c r="J127" s="273"/>
      <c r="K127" s="232"/>
      <c r="L127" s="233"/>
      <c r="M127" s="233"/>
      <c r="N127" s="233"/>
      <c r="O127" s="233"/>
      <c r="P127" s="233"/>
      <c r="Q127" s="273"/>
      <c r="R127" s="232"/>
      <c r="S127" s="247"/>
      <c r="T127" s="233"/>
      <c r="U127" s="233"/>
      <c r="V127" s="233"/>
      <c r="W127" s="233"/>
      <c r="X127" s="273"/>
      <c r="Y127" s="232"/>
      <c r="Z127" s="233"/>
      <c r="AA127" s="233"/>
      <c r="AB127" s="233"/>
      <c r="AC127" s="233"/>
      <c r="AD127" s="233"/>
      <c r="AE127" s="273"/>
      <c r="AF127" s="232"/>
      <c r="AG127" s="233"/>
      <c r="AH127" s="233">
        <v>0.5</v>
      </c>
      <c r="AI127" s="233">
        <v>0.5</v>
      </c>
      <c r="AJ127" s="233">
        <v>0.5</v>
      </c>
      <c r="AK127" s="262"/>
      <c r="AL127" s="273"/>
      <c r="AM127" s="232"/>
      <c r="AN127" s="253"/>
      <c r="AO127" s="108"/>
      <c r="AP127" s="108"/>
      <c r="AQ127" s="108"/>
      <c r="AR127" s="108"/>
      <c r="AS127" s="108"/>
      <c r="AT127" s="108"/>
      <c r="AU127" s="108"/>
      <c r="AV127" s="108"/>
      <c r="AW127" s="428"/>
      <c r="AX127" s="428"/>
    </row>
    <row r="128" spans="1:50" hidden="1">
      <c r="A128" s="489"/>
      <c r="B128" s="488"/>
      <c r="C128" s="455"/>
      <c r="D128" s="479"/>
      <c r="E128" s="63"/>
      <c r="F128" s="433"/>
      <c r="G128" s="55"/>
      <c r="H128" s="188" t="s">
        <v>15</v>
      </c>
      <c r="I128" s="278"/>
      <c r="J128" s="273"/>
      <c r="K128" s="232"/>
      <c r="L128" s="278"/>
      <c r="M128" s="278"/>
      <c r="N128" s="278"/>
      <c r="O128" s="278"/>
      <c r="P128" s="278"/>
      <c r="Q128" s="273"/>
      <c r="R128" s="232"/>
      <c r="S128" s="247"/>
      <c r="T128" s="278"/>
      <c r="U128" s="278"/>
      <c r="V128" s="278"/>
      <c r="W128" s="278"/>
      <c r="X128" s="273"/>
      <c r="Y128" s="232"/>
      <c r="Z128" s="278"/>
      <c r="AA128" s="278"/>
      <c r="AB128" s="278"/>
      <c r="AC128" s="278"/>
      <c r="AD128" s="278"/>
      <c r="AE128" s="273"/>
      <c r="AF128" s="232"/>
      <c r="AG128" s="278"/>
      <c r="AH128" s="278"/>
      <c r="AI128" s="278"/>
      <c r="AJ128" s="278"/>
      <c r="AK128" s="262"/>
      <c r="AL128" s="273"/>
      <c r="AM128" s="232"/>
      <c r="AN128" s="253"/>
      <c r="AO128" s="108"/>
      <c r="AP128" s="108"/>
      <c r="AQ128" s="108"/>
      <c r="AR128" s="108"/>
      <c r="AS128" s="108"/>
      <c r="AT128" s="108"/>
      <c r="AU128" s="108"/>
      <c r="AV128" s="108"/>
      <c r="AW128" s="428"/>
      <c r="AX128" s="428"/>
    </row>
    <row r="129" spans="1:50" hidden="1">
      <c r="A129" s="489"/>
      <c r="B129" s="488"/>
      <c r="C129" s="455"/>
      <c r="D129" s="479"/>
      <c r="E129" s="63"/>
      <c r="F129" s="433"/>
      <c r="G129" s="134" t="s">
        <v>68</v>
      </c>
      <c r="H129" s="187" t="s">
        <v>22</v>
      </c>
      <c r="I129" s="233"/>
      <c r="J129" s="273"/>
      <c r="K129" s="232"/>
      <c r="L129" s="233"/>
      <c r="M129" s="233"/>
      <c r="N129" s="233"/>
      <c r="O129" s="233"/>
      <c r="P129" s="233"/>
      <c r="Q129" s="273"/>
      <c r="R129" s="232"/>
      <c r="S129" s="247"/>
      <c r="T129" s="233"/>
      <c r="U129" s="233"/>
      <c r="V129" s="233"/>
      <c r="W129" s="233"/>
      <c r="X129" s="273"/>
      <c r="Y129" s="232"/>
      <c r="Z129" s="233"/>
      <c r="AA129" s="233"/>
      <c r="AB129" s="233"/>
      <c r="AC129" s="233"/>
      <c r="AD129" s="233"/>
      <c r="AE129" s="273"/>
      <c r="AF129" s="232"/>
      <c r="AG129" s="233"/>
      <c r="AH129" s="233"/>
      <c r="AI129" s="233">
        <f>$AM$138*$D$126</f>
        <v>0</v>
      </c>
      <c r="AJ129" s="233"/>
      <c r="AK129" s="262"/>
      <c r="AL129" s="273"/>
      <c r="AM129" s="232"/>
      <c r="AN129" s="256">
        <f>SUM(I129:AM129)</f>
        <v>0</v>
      </c>
      <c r="AO129" s="108"/>
      <c r="AP129" s="108"/>
      <c r="AQ129" s="108"/>
      <c r="AR129" s="108"/>
      <c r="AS129" s="108"/>
      <c r="AT129" s="108"/>
      <c r="AU129" s="108"/>
      <c r="AV129" s="108"/>
      <c r="AW129" s="428"/>
      <c r="AX129" s="428"/>
    </row>
    <row r="130" spans="1:50" hidden="1">
      <c r="A130" s="489"/>
      <c r="B130" s="488"/>
      <c r="C130" s="455"/>
      <c r="D130" s="479"/>
      <c r="E130" s="63"/>
      <c r="F130" s="433"/>
      <c r="G130" s="133"/>
      <c r="H130" s="187" t="s">
        <v>20</v>
      </c>
      <c r="I130" s="233"/>
      <c r="J130" s="273"/>
      <c r="K130" s="232"/>
      <c r="L130" s="233"/>
      <c r="M130" s="233"/>
      <c r="N130" s="233"/>
      <c r="O130" s="233"/>
      <c r="P130" s="233"/>
      <c r="Q130" s="273"/>
      <c r="R130" s="232"/>
      <c r="S130" s="247"/>
      <c r="T130" s="233"/>
      <c r="U130" s="233"/>
      <c r="V130" s="233"/>
      <c r="W130" s="233"/>
      <c r="X130" s="273"/>
      <c r="Y130" s="232"/>
      <c r="Z130" s="233"/>
      <c r="AA130" s="233"/>
      <c r="AB130" s="233"/>
      <c r="AC130" s="233"/>
      <c r="AD130" s="233"/>
      <c r="AE130" s="273"/>
      <c r="AF130" s="232"/>
      <c r="AG130" s="233"/>
      <c r="AH130" s="233"/>
      <c r="AI130" s="233">
        <v>1</v>
      </c>
      <c r="AJ130" s="233"/>
      <c r="AK130" s="262"/>
      <c r="AL130" s="273"/>
      <c r="AM130" s="232"/>
      <c r="AN130" s="256"/>
      <c r="AO130" s="108"/>
      <c r="AP130" s="108"/>
      <c r="AQ130" s="108"/>
      <c r="AR130" s="108"/>
      <c r="AS130" s="108"/>
      <c r="AT130" s="108"/>
      <c r="AU130" s="108"/>
      <c r="AV130" s="108"/>
      <c r="AW130" s="428"/>
      <c r="AX130" s="428"/>
    </row>
    <row r="131" spans="1:50" hidden="1">
      <c r="A131" s="489"/>
      <c r="B131" s="488"/>
      <c r="C131" s="455"/>
      <c r="D131" s="479"/>
      <c r="E131" s="63"/>
      <c r="F131" s="433"/>
      <c r="G131" s="133"/>
      <c r="H131" s="188" t="s">
        <v>15</v>
      </c>
      <c r="I131" s="278"/>
      <c r="J131" s="273"/>
      <c r="K131" s="232"/>
      <c r="L131" s="278"/>
      <c r="M131" s="278"/>
      <c r="N131" s="278"/>
      <c r="O131" s="278"/>
      <c r="P131" s="278"/>
      <c r="Q131" s="273"/>
      <c r="R131" s="232"/>
      <c r="S131" s="247"/>
      <c r="T131" s="278"/>
      <c r="U131" s="278"/>
      <c r="V131" s="278"/>
      <c r="W131" s="278"/>
      <c r="X131" s="273"/>
      <c r="Y131" s="232"/>
      <c r="Z131" s="278"/>
      <c r="AA131" s="278"/>
      <c r="AB131" s="278"/>
      <c r="AC131" s="278"/>
      <c r="AD131" s="278"/>
      <c r="AE131" s="273"/>
      <c r="AF131" s="232"/>
      <c r="AG131" s="278"/>
      <c r="AH131" s="278"/>
      <c r="AI131" s="278"/>
      <c r="AJ131" s="278"/>
      <c r="AK131" s="262"/>
      <c r="AL131" s="273"/>
      <c r="AM131" s="232"/>
      <c r="AN131" s="253">
        <f>SUM(I131:AM131)</f>
        <v>0</v>
      </c>
      <c r="AO131" s="108"/>
      <c r="AP131" s="108"/>
      <c r="AQ131" s="108"/>
      <c r="AR131" s="108"/>
      <c r="AS131" s="108"/>
      <c r="AT131" s="108"/>
      <c r="AU131" s="108"/>
      <c r="AV131" s="108"/>
      <c r="AW131" s="428"/>
      <c r="AX131" s="428"/>
    </row>
    <row r="132" spans="1:50" hidden="1">
      <c r="A132" s="489"/>
      <c r="B132" s="488"/>
      <c r="C132" s="455"/>
      <c r="D132" s="479"/>
      <c r="E132" s="63"/>
      <c r="F132" s="433"/>
      <c r="G132" s="134" t="s">
        <v>28</v>
      </c>
      <c r="H132" s="187" t="s">
        <v>29</v>
      </c>
      <c r="I132" s="233"/>
      <c r="J132" s="273"/>
      <c r="K132" s="232"/>
      <c r="L132" s="233"/>
      <c r="M132" s="233"/>
      <c r="N132" s="233"/>
      <c r="O132" s="233"/>
      <c r="P132" s="233"/>
      <c r="Q132" s="273"/>
      <c r="R132" s="232"/>
      <c r="S132" s="247"/>
      <c r="T132" s="233"/>
      <c r="U132" s="233"/>
      <c r="V132" s="233"/>
      <c r="W132" s="233"/>
      <c r="X132" s="273"/>
      <c r="Y132" s="232"/>
      <c r="Z132" s="233"/>
      <c r="AA132" s="233"/>
      <c r="AB132" s="233"/>
      <c r="AC132" s="233"/>
      <c r="AD132" s="233"/>
      <c r="AE132" s="273"/>
      <c r="AF132" s="232"/>
      <c r="AG132" s="233"/>
      <c r="AH132" s="233"/>
      <c r="AI132" s="233">
        <f>$AM$138*$D$126</f>
        <v>0</v>
      </c>
      <c r="AJ132" s="233"/>
      <c r="AK132" s="262"/>
      <c r="AL132" s="273"/>
      <c r="AM132" s="232"/>
      <c r="AN132" s="256">
        <f>SUM(I132:AM132)</f>
        <v>0</v>
      </c>
      <c r="AO132" s="108"/>
      <c r="AP132" s="108"/>
      <c r="AQ132" s="108"/>
      <c r="AR132" s="108"/>
      <c r="AS132" s="108"/>
      <c r="AT132" s="108"/>
      <c r="AU132" s="108"/>
      <c r="AV132" s="108"/>
      <c r="AW132" s="428"/>
      <c r="AX132" s="428"/>
    </row>
    <row r="133" spans="1:50" hidden="1">
      <c r="A133" s="489"/>
      <c r="B133" s="488"/>
      <c r="C133" s="455"/>
      <c r="D133" s="479"/>
      <c r="E133" s="63"/>
      <c r="F133" s="433"/>
      <c r="G133" s="133"/>
      <c r="H133" s="187" t="s">
        <v>27</v>
      </c>
      <c r="I133" s="233"/>
      <c r="J133" s="273"/>
      <c r="K133" s="232"/>
      <c r="L133" s="233"/>
      <c r="M133" s="233"/>
      <c r="N133" s="233"/>
      <c r="O133" s="233"/>
      <c r="P133" s="233"/>
      <c r="Q133" s="273"/>
      <c r="R133" s="232"/>
      <c r="S133" s="247"/>
      <c r="T133" s="233"/>
      <c r="U133" s="233"/>
      <c r="V133" s="233"/>
      <c r="W133" s="233"/>
      <c r="X133" s="273"/>
      <c r="Y133" s="232"/>
      <c r="Z133" s="233"/>
      <c r="AA133" s="233"/>
      <c r="AB133" s="233"/>
      <c r="AC133" s="233"/>
      <c r="AD133" s="233"/>
      <c r="AE133" s="273"/>
      <c r="AF133" s="232"/>
      <c r="AG133" s="233"/>
      <c r="AH133" s="233"/>
      <c r="AI133" s="233">
        <v>1</v>
      </c>
      <c r="AJ133" s="233"/>
      <c r="AK133" s="262"/>
      <c r="AL133" s="273"/>
      <c r="AM133" s="232"/>
      <c r="AN133" s="256"/>
      <c r="AO133" s="108"/>
      <c r="AP133" s="108"/>
      <c r="AQ133" s="108"/>
      <c r="AR133" s="108"/>
      <c r="AS133" s="108"/>
      <c r="AT133" s="108"/>
      <c r="AU133" s="108"/>
      <c r="AV133" s="108"/>
      <c r="AW133" s="428"/>
      <c r="AX133" s="428"/>
    </row>
    <row r="134" spans="1:50" hidden="1">
      <c r="A134" s="489"/>
      <c r="B134" s="488"/>
      <c r="C134" s="455"/>
      <c r="D134" s="479"/>
      <c r="E134" s="63"/>
      <c r="F134" s="433"/>
      <c r="G134" s="133"/>
      <c r="H134" s="188" t="s">
        <v>15</v>
      </c>
      <c r="I134" s="278"/>
      <c r="J134" s="273"/>
      <c r="K134" s="232"/>
      <c r="L134" s="278"/>
      <c r="M134" s="278"/>
      <c r="N134" s="278"/>
      <c r="O134" s="278"/>
      <c r="P134" s="278"/>
      <c r="Q134" s="273"/>
      <c r="R134" s="232"/>
      <c r="S134" s="247"/>
      <c r="T134" s="278"/>
      <c r="U134" s="278"/>
      <c r="V134" s="278"/>
      <c r="W134" s="278"/>
      <c r="X134" s="273"/>
      <c r="Y134" s="232"/>
      <c r="Z134" s="278"/>
      <c r="AA134" s="278"/>
      <c r="AB134" s="278"/>
      <c r="AC134" s="278"/>
      <c r="AD134" s="278"/>
      <c r="AE134" s="273"/>
      <c r="AF134" s="232"/>
      <c r="AG134" s="278"/>
      <c r="AH134" s="278"/>
      <c r="AI134" s="278"/>
      <c r="AJ134" s="278"/>
      <c r="AK134" s="262"/>
      <c r="AL134" s="273"/>
      <c r="AM134" s="232"/>
      <c r="AN134" s="253">
        <f>SUM(I134:AM134)</f>
        <v>0</v>
      </c>
      <c r="AO134" s="108"/>
      <c r="AP134" s="108"/>
      <c r="AQ134" s="108"/>
      <c r="AR134" s="108"/>
      <c r="AS134" s="108"/>
      <c r="AT134" s="108"/>
      <c r="AU134" s="108"/>
      <c r="AV134" s="108"/>
      <c r="AW134" s="428"/>
      <c r="AX134" s="428"/>
    </row>
    <row r="135" spans="1:50" hidden="1">
      <c r="A135" s="489"/>
      <c r="B135" s="488"/>
      <c r="C135" s="455"/>
      <c r="D135" s="479"/>
      <c r="E135" s="63"/>
      <c r="F135" s="433"/>
      <c r="G135" s="133"/>
      <c r="H135" s="187" t="s">
        <v>49</v>
      </c>
      <c r="I135" s="233"/>
      <c r="J135" s="273"/>
      <c r="K135" s="232"/>
      <c r="L135" s="233"/>
      <c r="M135" s="233"/>
      <c r="N135" s="233"/>
      <c r="O135" s="233"/>
      <c r="P135" s="233"/>
      <c r="Q135" s="273"/>
      <c r="R135" s="232"/>
      <c r="S135" s="247"/>
      <c r="T135" s="233"/>
      <c r="U135" s="233"/>
      <c r="V135" s="233"/>
      <c r="W135" s="233"/>
      <c r="X135" s="273"/>
      <c r="Y135" s="232"/>
      <c r="Z135" s="233"/>
      <c r="AA135" s="233"/>
      <c r="AB135" s="233"/>
      <c r="AC135" s="233"/>
      <c r="AD135" s="233"/>
      <c r="AE135" s="273"/>
      <c r="AF135" s="232"/>
      <c r="AG135" s="233"/>
      <c r="AH135" s="233">
        <f>$AM$138*$D$126/3</f>
        <v>0</v>
      </c>
      <c r="AI135" s="233">
        <f>$AM$138*$D$126/3</f>
        <v>0</v>
      </c>
      <c r="AJ135" s="233">
        <f>$AM$138*$D$126/3</f>
        <v>0</v>
      </c>
      <c r="AK135" s="262"/>
      <c r="AL135" s="273"/>
      <c r="AM135" s="232"/>
      <c r="AN135" s="256">
        <f>SUM(I135:AM135)</f>
        <v>0</v>
      </c>
      <c r="AO135" s="108"/>
      <c r="AP135" s="108"/>
      <c r="AQ135" s="108"/>
      <c r="AR135" s="108"/>
      <c r="AS135" s="108"/>
      <c r="AT135" s="108"/>
      <c r="AU135" s="108"/>
      <c r="AV135" s="108"/>
      <c r="AW135" s="428"/>
      <c r="AX135" s="428"/>
    </row>
    <row r="136" spans="1:50" hidden="1">
      <c r="A136" s="489"/>
      <c r="B136" s="488"/>
      <c r="C136" s="455"/>
      <c r="D136" s="479"/>
      <c r="E136" s="63"/>
      <c r="F136" s="433"/>
      <c r="G136" s="133"/>
      <c r="H136" s="187" t="s">
        <v>50</v>
      </c>
      <c r="I136" s="233"/>
      <c r="J136" s="273"/>
      <c r="K136" s="232"/>
      <c r="L136" s="233"/>
      <c r="M136" s="233"/>
      <c r="N136" s="233"/>
      <c r="O136" s="233"/>
      <c r="P136" s="233"/>
      <c r="Q136" s="273"/>
      <c r="R136" s="232"/>
      <c r="S136" s="247"/>
      <c r="T136" s="233"/>
      <c r="U136" s="233"/>
      <c r="V136" s="233"/>
      <c r="W136" s="233"/>
      <c r="X136" s="273"/>
      <c r="Y136" s="232"/>
      <c r="Z136" s="233"/>
      <c r="AA136" s="233"/>
      <c r="AB136" s="233"/>
      <c r="AC136" s="233"/>
      <c r="AD136" s="233"/>
      <c r="AE136" s="273"/>
      <c r="AF136" s="232"/>
      <c r="AG136" s="233"/>
      <c r="AH136" s="233">
        <v>1</v>
      </c>
      <c r="AI136" s="233">
        <v>1</v>
      </c>
      <c r="AJ136" s="233">
        <v>1</v>
      </c>
      <c r="AK136" s="262"/>
      <c r="AL136" s="273"/>
      <c r="AM136" s="232"/>
      <c r="AN136" s="256"/>
      <c r="AO136" s="108"/>
      <c r="AP136" s="108"/>
      <c r="AQ136" s="108"/>
      <c r="AR136" s="108"/>
      <c r="AS136" s="108"/>
      <c r="AT136" s="108"/>
      <c r="AU136" s="108"/>
      <c r="AV136" s="108"/>
      <c r="AW136" s="428"/>
      <c r="AX136" s="428"/>
    </row>
    <row r="137" spans="1:50" hidden="1">
      <c r="A137" s="489"/>
      <c r="B137" s="488"/>
      <c r="C137" s="455"/>
      <c r="D137" s="479"/>
      <c r="E137" s="63"/>
      <c r="F137" s="433"/>
      <c r="G137" s="133"/>
      <c r="H137" s="188" t="s">
        <v>15</v>
      </c>
      <c r="I137" s="278"/>
      <c r="J137" s="273"/>
      <c r="K137" s="232"/>
      <c r="L137" s="278"/>
      <c r="M137" s="278"/>
      <c r="N137" s="278"/>
      <c r="O137" s="278"/>
      <c r="P137" s="278"/>
      <c r="Q137" s="273"/>
      <c r="R137" s="232"/>
      <c r="S137" s="247"/>
      <c r="T137" s="278"/>
      <c r="U137" s="278"/>
      <c r="V137" s="278"/>
      <c r="W137" s="278"/>
      <c r="X137" s="273"/>
      <c r="Y137" s="232"/>
      <c r="Z137" s="278"/>
      <c r="AA137" s="278"/>
      <c r="AB137" s="278"/>
      <c r="AC137" s="278"/>
      <c r="AD137" s="278"/>
      <c r="AE137" s="273"/>
      <c r="AF137" s="232"/>
      <c r="AG137" s="278"/>
      <c r="AH137" s="278"/>
      <c r="AI137" s="278"/>
      <c r="AJ137" s="278"/>
      <c r="AK137" s="262"/>
      <c r="AL137" s="273"/>
      <c r="AM137" s="232"/>
      <c r="AN137" s="253">
        <f>SUM(I137:AM137)</f>
        <v>0</v>
      </c>
      <c r="AO137" s="108"/>
      <c r="AP137" s="108"/>
      <c r="AQ137" s="108"/>
      <c r="AR137" s="108"/>
      <c r="AS137" s="108"/>
      <c r="AT137" s="108"/>
      <c r="AU137" s="108"/>
      <c r="AV137" s="108"/>
      <c r="AW137" s="428"/>
      <c r="AX137" s="428"/>
    </row>
    <row r="138" spans="1:50" hidden="1">
      <c r="A138" s="489"/>
      <c r="B138" s="488"/>
      <c r="C138" s="455"/>
      <c r="D138" s="479"/>
      <c r="E138" s="63"/>
      <c r="F138" s="433"/>
      <c r="G138" s="133"/>
      <c r="H138" s="187" t="s">
        <v>32</v>
      </c>
      <c r="I138" s="233"/>
      <c r="J138" s="273"/>
      <c r="K138" s="232"/>
      <c r="L138" s="291"/>
      <c r="M138" s="291"/>
      <c r="N138" s="233"/>
      <c r="O138" s="233"/>
      <c r="P138" s="233"/>
      <c r="Q138" s="273"/>
      <c r="R138" s="232"/>
      <c r="S138" s="247"/>
      <c r="T138" s="233"/>
      <c r="U138" s="233"/>
      <c r="V138" s="233"/>
      <c r="W138" s="233"/>
      <c r="X138" s="273"/>
      <c r="Y138" s="232"/>
      <c r="Z138" s="233"/>
      <c r="AA138" s="233"/>
      <c r="AB138" s="233"/>
      <c r="AC138" s="233"/>
      <c r="AD138" s="233"/>
      <c r="AE138" s="273"/>
      <c r="AF138" s="232"/>
      <c r="AG138" s="233"/>
      <c r="AH138" s="233"/>
      <c r="AI138" s="233"/>
      <c r="AJ138" s="233"/>
      <c r="AK138" s="262"/>
      <c r="AL138" s="273"/>
      <c r="AM138" s="232"/>
      <c r="AN138" s="256">
        <f>SUM(I138:AM138)</f>
        <v>0</v>
      </c>
      <c r="AO138" s="108"/>
      <c r="AP138" s="108"/>
      <c r="AQ138" s="108"/>
      <c r="AR138" s="108"/>
      <c r="AS138" s="108"/>
      <c r="AT138" s="108"/>
      <c r="AU138" s="108"/>
      <c r="AV138" s="108"/>
      <c r="AW138" s="428"/>
      <c r="AX138" s="428"/>
    </row>
    <row r="139" spans="1:50" hidden="1">
      <c r="A139" s="484"/>
      <c r="B139" s="486"/>
      <c r="C139" s="455"/>
      <c r="D139" s="479"/>
      <c r="E139" s="63"/>
      <c r="F139" s="433"/>
      <c r="G139" s="134"/>
      <c r="H139" s="187" t="s">
        <v>51</v>
      </c>
      <c r="I139" s="212"/>
      <c r="J139" s="213"/>
      <c r="K139" s="214"/>
      <c r="L139" s="291"/>
      <c r="M139" s="291"/>
      <c r="N139" s="212"/>
      <c r="O139" s="212"/>
      <c r="P139" s="212"/>
      <c r="Q139" s="213"/>
      <c r="R139" s="214"/>
      <c r="S139" s="247"/>
      <c r="T139" s="233"/>
      <c r="U139" s="212"/>
      <c r="V139" s="212"/>
      <c r="W139" s="212"/>
      <c r="X139" s="213"/>
      <c r="Y139" s="214"/>
      <c r="Z139" s="212"/>
      <c r="AA139" s="212"/>
      <c r="AB139" s="233"/>
      <c r="AC139" s="212"/>
      <c r="AD139" s="212"/>
      <c r="AE139" s="213"/>
      <c r="AF139" s="214"/>
      <c r="AG139" s="212"/>
      <c r="AH139" s="212"/>
      <c r="AI139" s="212"/>
      <c r="AJ139" s="212"/>
      <c r="AK139" s="255"/>
      <c r="AL139" s="213"/>
      <c r="AM139" s="214"/>
      <c r="AN139" s="256"/>
      <c r="AO139" s="267"/>
      <c r="AP139" s="267"/>
      <c r="AQ139" s="267"/>
      <c r="AR139" s="108"/>
      <c r="AS139" s="108"/>
      <c r="AT139" s="108"/>
      <c r="AU139" s="108"/>
      <c r="AV139" s="108"/>
      <c r="AW139" s="428"/>
      <c r="AX139" s="428"/>
    </row>
    <row r="140" spans="1:50" hidden="1">
      <c r="A140" s="485"/>
      <c r="B140" s="506"/>
      <c r="C140" s="462"/>
      <c r="D140" s="479"/>
      <c r="E140" s="63"/>
      <c r="F140" s="433"/>
      <c r="G140" s="195"/>
      <c r="H140" s="196" t="s">
        <v>15</v>
      </c>
      <c r="I140" s="226"/>
      <c r="J140" s="227"/>
      <c r="K140" s="228"/>
      <c r="L140" s="226"/>
      <c r="M140" s="226"/>
      <c r="N140" s="226"/>
      <c r="O140" s="226"/>
      <c r="P140" s="226"/>
      <c r="Q140" s="227"/>
      <c r="R140" s="228"/>
      <c r="S140" s="248"/>
      <c r="T140" s="226"/>
      <c r="U140" s="226"/>
      <c r="V140" s="226"/>
      <c r="W140" s="226"/>
      <c r="X140" s="227"/>
      <c r="Y140" s="228"/>
      <c r="Z140" s="226"/>
      <c r="AA140" s="226"/>
      <c r="AB140" s="226"/>
      <c r="AC140" s="226"/>
      <c r="AD140" s="226"/>
      <c r="AE140" s="227"/>
      <c r="AF140" s="228"/>
      <c r="AG140" s="226"/>
      <c r="AH140" s="226"/>
      <c r="AI140" s="226"/>
      <c r="AJ140" s="226"/>
      <c r="AK140" s="263"/>
      <c r="AL140" s="227"/>
      <c r="AM140" s="228"/>
      <c r="AN140" s="264">
        <f>SUM(I140:AM140)</f>
        <v>0</v>
      </c>
      <c r="AO140" s="267"/>
      <c r="AP140" s="267"/>
      <c r="AQ140" s="267"/>
      <c r="AR140" s="108"/>
      <c r="AS140" s="108"/>
      <c r="AT140" s="108"/>
      <c r="AU140" s="108"/>
      <c r="AV140" s="108"/>
      <c r="AW140" s="428"/>
      <c r="AX140" s="428"/>
    </row>
    <row r="141" spans="1:50" ht="15" hidden="1" customHeight="1">
      <c r="A141" s="491" t="s">
        <v>69</v>
      </c>
      <c r="B141" s="506"/>
      <c r="C141" s="458"/>
      <c r="D141" s="265"/>
      <c r="E141" s="449"/>
      <c r="F141" s="458"/>
      <c r="G141" s="134">
        <v>0.127</v>
      </c>
      <c r="H141" s="187" t="s">
        <v>12</v>
      </c>
      <c r="I141" s="229">
        <f>(5.65*20)+(11.5*20)</f>
        <v>343</v>
      </c>
      <c r="J141" s="213"/>
      <c r="K141" s="214"/>
      <c r="L141" s="212"/>
      <c r="M141" s="212"/>
      <c r="N141" s="212"/>
      <c r="O141" s="212"/>
      <c r="P141" s="212"/>
      <c r="Q141" s="213"/>
      <c r="R141" s="214"/>
      <c r="S141" s="242"/>
      <c r="T141" s="212"/>
      <c r="U141" s="212"/>
      <c r="V141" s="212"/>
      <c r="W141" s="212"/>
      <c r="X141" s="213"/>
      <c r="Y141" s="214"/>
      <c r="Z141" s="212"/>
      <c r="AA141" s="212"/>
      <c r="AB141" s="212"/>
      <c r="AC141" s="212"/>
      <c r="AD141" s="212"/>
      <c r="AE141" s="213"/>
      <c r="AF141" s="214"/>
      <c r="AG141" s="212"/>
      <c r="AH141" s="212"/>
      <c r="AI141" s="212"/>
      <c r="AJ141" s="212"/>
      <c r="AK141" s="242"/>
      <c r="AL141" s="213"/>
      <c r="AM141" s="214"/>
      <c r="AN141" s="265"/>
      <c r="AO141" s="108"/>
      <c r="AP141" s="108"/>
      <c r="AQ141" s="108"/>
      <c r="AR141" s="108"/>
      <c r="AS141" s="108"/>
      <c r="AT141" s="108"/>
      <c r="AU141" s="428"/>
      <c r="AV141" s="428"/>
      <c r="AW141" s="121"/>
      <c r="AX141" s="428"/>
    </row>
    <row r="142" spans="1:50" hidden="1">
      <c r="A142" s="492"/>
      <c r="B142" s="500"/>
      <c r="C142" s="459"/>
      <c r="D142" s="265"/>
      <c r="E142" s="449"/>
      <c r="F142" s="459"/>
      <c r="G142" s="134"/>
      <c r="H142" s="187" t="s">
        <v>14</v>
      </c>
      <c r="I142" s="212">
        <v>1</v>
      </c>
      <c r="J142" s="213"/>
      <c r="K142" s="214"/>
      <c r="L142" s="212"/>
      <c r="M142" s="212"/>
      <c r="N142" s="212"/>
      <c r="O142" s="212"/>
      <c r="P142" s="212"/>
      <c r="Q142" s="213"/>
      <c r="R142" s="214"/>
      <c r="S142" s="242"/>
      <c r="T142" s="212"/>
      <c r="U142" s="212"/>
      <c r="V142" s="212"/>
      <c r="W142" s="212"/>
      <c r="X142" s="213"/>
      <c r="Y142" s="214"/>
      <c r="Z142" s="212"/>
      <c r="AA142" s="212"/>
      <c r="AB142" s="212"/>
      <c r="AC142" s="212"/>
      <c r="AD142" s="212"/>
      <c r="AE142" s="213"/>
      <c r="AF142" s="214"/>
      <c r="AG142" s="212"/>
      <c r="AH142" s="212"/>
      <c r="AI142" s="212"/>
      <c r="AJ142" s="212"/>
      <c r="AK142" s="242"/>
      <c r="AL142" s="213"/>
      <c r="AM142" s="214"/>
      <c r="AN142" s="265"/>
      <c r="AO142" s="108"/>
      <c r="AP142" s="108"/>
      <c r="AQ142" s="108"/>
      <c r="AR142" s="108"/>
      <c r="AS142" s="108"/>
      <c r="AT142" s="108"/>
      <c r="AU142" s="428"/>
      <c r="AV142" s="428"/>
      <c r="AW142" s="121"/>
      <c r="AX142" s="428"/>
    </row>
    <row r="143" spans="1:50" hidden="1">
      <c r="A143" s="492"/>
      <c r="B143" s="500"/>
      <c r="C143" s="459"/>
      <c r="D143" s="265"/>
      <c r="E143" s="449"/>
      <c r="F143" s="459"/>
      <c r="G143" s="134"/>
      <c r="H143" s="188" t="s">
        <v>15</v>
      </c>
      <c r="I143" s="13"/>
      <c r="J143" s="213"/>
      <c r="K143" s="214"/>
      <c r="L143" s="215"/>
      <c r="M143" s="215"/>
      <c r="N143" s="215"/>
      <c r="O143" s="215"/>
      <c r="P143" s="215"/>
      <c r="Q143" s="213"/>
      <c r="R143" s="214"/>
      <c r="S143" s="242"/>
      <c r="T143" s="215"/>
      <c r="U143" s="215"/>
      <c r="V143" s="215"/>
      <c r="W143" s="215"/>
      <c r="X143" s="213"/>
      <c r="Y143" s="214"/>
      <c r="Z143" s="215"/>
      <c r="AA143" s="215"/>
      <c r="AB143" s="215"/>
      <c r="AC143" s="215"/>
      <c r="AD143" s="215"/>
      <c r="AE143" s="213"/>
      <c r="AF143" s="214"/>
      <c r="AG143" s="215"/>
      <c r="AH143" s="215"/>
      <c r="AI143" s="215"/>
      <c r="AJ143" s="215"/>
      <c r="AK143" s="242"/>
      <c r="AL143" s="213"/>
      <c r="AM143" s="214"/>
      <c r="AN143" s="265"/>
      <c r="AO143" s="108"/>
      <c r="AP143" s="108"/>
      <c r="AQ143" s="108"/>
      <c r="AR143" s="108"/>
      <c r="AS143" s="108"/>
      <c r="AT143" s="108"/>
      <c r="AU143" s="428"/>
      <c r="AV143" s="428"/>
      <c r="AW143" s="121"/>
      <c r="AX143" s="428"/>
    </row>
    <row r="144" spans="1:50" hidden="1">
      <c r="A144" s="492"/>
      <c r="B144" s="500"/>
      <c r="C144" s="459"/>
      <c r="D144" s="265"/>
      <c r="E144" s="449"/>
      <c r="F144" s="459"/>
      <c r="G144" s="134">
        <v>0.12</v>
      </c>
      <c r="H144" s="187" t="s">
        <v>12</v>
      </c>
      <c r="I144" s="235">
        <f>(2.5*20)+(2.5*20)</f>
        <v>100</v>
      </c>
      <c r="J144" s="213"/>
      <c r="K144" s="214"/>
      <c r="L144" s="212"/>
      <c r="M144" s="212"/>
      <c r="N144" s="212"/>
      <c r="O144" s="212"/>
      <c r="P144" s="212"/>
      <c r="Q144" s="213"/>
      <c r="R144" s="214"/>
      <c r="S144" s="242"/>
      <c r="T144" s="212"/>
      <c r="U144" s="212"/>
      <c r="V144" s="212"/>
      <c r="W144" s="212"/>
      <c r="X144" s="213"/>
      <c r="Y144" s="214"/>
      <c r="Z144" s="212"/>
      <c r="AA144" s="212"/>
      <c r="AB144" s="212"/>
      <c r="AC144" s="212"/>
      <c r="AD144" s="212"/>
      <c r="AE144" s="213"/>
      <c r="AF144" s="214"/>
      <c r="AG144" s="212"/>
      <c r="AH144" s="212"/>
      <c r="AI144" s="212"/>
      <c r="AJ144" s="212"/>
      <c r="AK144" s="242"/>
      <c r="AL144" s="213"/>
      <c r="AM144" s="214"/>
      <c r="AN144" s="265"/>
      <c r="AO144" s="108"/>
      <c r="AP144" s="108"/>
      <c r="AQ144" s="108"/>
      <c r="AR144" s="108"/>
      <c r="AS144" s="108"/>
      <c r="AT144" s="108"/>
      <c r="AU144" s="428"/>
      <c r="AV144" s="428"/>
      <c r="AW144" s="121"/>
      <c r="AX144" s="428"/>
    </row>
    <row r="145" spans="1:50" hidden="1">
      <c r="A145" s="492"/>
      <c r="B145" s="500"/>
      <c r="C145" s="459"/>
      <c r="D145" s="265"/>
      <c r="E145" s="449"/>
      <c r="F145" s="459"/>
      <c r="G145" s="134"/>
      <c r="H145" s="187" t="s">
        <v>14</v>
      </c>
      <c r="I145" s="212">
        <v>0.5</v>
      </c>
      <c r="J145" s="213"/>
      <c r="K145" s="214"/>
      <c r="L145" s="212"/>
      <c r="M145" s="212"/>
      <c r="N145" s="212"/>
      <c r="O145" s="212"/>
      <c r="P145" s="212"/>
      <c r="Q145" s="213"/>
      <c r="R145" s="214"/>
      <c r="S145" s="242"/>
      <c r="T145" s="212"/>
      <c r="U145" s="212"/>
      <c r="V145" s="212"/>
      <c r="W145" s="212"/>
      <c r="X145" s="213"/>
      <c r="Y145" s="214"/>
      <c r="Z145" s="212"/>
      <c r="AA145" s="212"/>
      <c r="AB145" s="212"/>
      <c r="AC145" s="212"/>
      <c r="AD145" s="212"/>
      <c r="AE145" s="213"/>
      <c r="AF145" s="214"/>
      <c r="AG145" s="212"/>
      <c r="AH145" s="212"/>
      <c r="AI145" s="212"/>
      <c r="AJ145" s="212"/>
      <c r="AK145" s="242"/>
      <c r="AL145" s="213"/>
      <c r="AM145" s="214"/>
      <c r="AN145" s="265"/>
      <c r="AO145" s="108"/>
      <c r="AP145" s="108"/>
      <c r="AQ145" s="108"/>
      <c r="AR145" s="108"/>
      <c r="AS145" s="108"/>
      <c r="AT145" s="108"/>
      <c r="AU145" s="428"/>
      <c r="AV145" s="428"/>
      <c r="AW145" s="121"/>
      <c r="AX145" s="428"/>
    </row>
    <row r="146" spans="1:50" hidden="1">
      <c r="A146" s="492"/>
      <c r="B146" s="500"/>
      <c r="C146" s="459"/>
      <c r="D146" s="265"/>
      <c r="E146" s="449"/>
      <c r="F146" s="459"/>
      <c r="G146" s="134"/>
      <c r="H146" s="188" t="s">
        <v>15</v>
      </c>
      <c r="I146" s="13"/>
      <c r="J146" s="213"/>
      <c r="K146" s="214"/>
      <c r="L146" s="215"/>
      <c r="M146" s="215"/>
      <c r="N146" s="215"/>
      <c r="O146" s="215"/>
      <c r="P146" s="215"/>
      <c r="Q146" s="213"/>
      <c r="R146" s="214"/>
      <c r="S146" s="242"/>
      <c r="T146" s="215"/>
      <c r="U146" s="215"/>
      <c r="V146" s="215"/>
      <c r="W146" s="215"/>
      <c r="X146" s="213"/>
      <c r="Y146" s="214"/>
      <c r="Z146" s="215"/>
      <c r="AA146" s="215"/>
      <c r="AB146" s="215"/>
      <c r="AC146" s="215"/>
      <c r="AD146" s="215"/>
      <c r="AE146" s="213"/>
      <c r="AF146" s="214"/>
      <c r="AG146" s="215"/>
      <c r="AH146" s="215"/>
      <c r="AI146" s="215"/>
      <c r="AJ146" s="215"/>
      <c r="AK146" s="242"/>
      <c r="AL146" s="213"/>
      <c r="AM146" s="214"/>
      <c r="AN146" s="265"/>
      <c r="AO146" s="108"/>
      <c r="AP146" s="108"/>
      <c r="AQ146" s="108"/>
      <c r="AR146" s="108"/>
      <c r="AS146" s="108"/>
      <c r="AT146" s="108"/>
      <c r="AU146" s="428"/>
      <c r="AV146" s="428"/>
      <c r="AW146" s="121"/>
      <c r="AX146" s="428"/>
    </row>
    <row r="147" spans="1:50" hidden="1">
      <c r="A147" s="492"/>
      <c r="B147" s="500"/>
      <c r="C147" s="459"/>
      <c r="D147" s="265"/>
      <c r="E147" s="449"/>
      <c r="F147" s="459"/>
      <c r="G147" s="134">
        <v>0.2</v>
      </c>
      <c r="H147" s="187" t="s">
        <v>12</v>
      </c>
      <c r="I147" s="235">
        <f>(14*20)</f>
        <v>280</v>
      </c>
      <c r="J147" s="236"/>
      <c r="K147" s="231"/>
      <c r="L147" s="229"/>
      <c r="M147" s="229"/>
      <c r="N147" s="229"/>
      <c r="O147" s="229"/>
      <c r="P147" s="229"/>
      <c r="Q147" s="236"/>
      <c r="R147" s="231"/>
      <c r="S147" s="246"/>
      <c r="T147" s="229"/>
      <c r="U147" s="229"/>
      <c r="V147" s="229"/>
      <c r="W147" s="229"/>
      <c r="X147" s="236"/>
      <c r="Y147" s="231"/>
      <c r="Z147" s="229"/>
      <c r="AA147" s="229"/>
      <c r="AB147" s="229"/>
      <c r="AC147" s="229"/>
      <c r="AD147" s="229"/>
      <c r="AE147" s="236"/>
      <c r="AF147" s="231"/>
      <c r="AG147" s="229"/>
      <c r="AH147" s="229"/>
      <c r="AI147" s="229"/>
      <c r="AJ147" s="229"/>
      <c r="AK147" s="246"/>
      <c r="AL147" s="236"/>
      <c r="AM147" s="231"/>
      <c r="AN147" s="265"/>
      <c r="AO147" s="108"/>
      <c r="AP147" s="108"/>
      <c r="AQ147" s="108"/>
      <c r="AR147" s="108"/>
      <c r="AS147" s="108"/>
      <c r="AT147" s="108"/>
      <c r="AU147" s="428"/>
      <c r="AV147" s="428"/>
      <c r="AW147" s="121"/>
      <c r="AX147" s="428"/>
    </row>
    <row r="148" spans="1:50" hidden="1">
      <c r="A148" s="492"/>
      <c r="B148" s="500"/>
      <c r="C148" s="459"/>
      <c r="D148" s="265"/>
      <c r="E148" s="449"/>
      <c r="F148" s="459"/>
      <c r="G148" s="13"/>
      <c r="H148" s="187" t="s">
        <v>14</v>
      </c>
      <c r="I148" s="212">
        <v>1</v>
      </c>
      <c r="J148" s="213"/>
      <c r="K148" s="214"/>
      <c r="L148" s="212"/>
      <c r="M148" s="212"/>
      <c r="N148" s="212"/>
      <c r="O148" s="212"/>
      <c r="P148" s="212"/>
      <c r="Q148" s="213"/>
      <c r="R148" s="214"/>
      <c r="S148" s="242"/>
      <c r="T148" s="212"/>
      <c r="U148" s="212"/>
      <c r="V148" s="212"/>
      <c r="W148" s="212"/>
      <c r="X148" s="213"/>
      <c r="Y148" s="214"/>
      <c r="Z148" s="212"/>
      <c r="AA148" s="212"/>
      <c r="AB148" s="212"/>
      <c r="AC148" s="212"/>
      <c r="AD148" s="212"/>
      <c r="AE148" s="213"/>
      <c r="AF148" s="214"/>
      <c r="AG148" s="212"/>
      <c r="AH148" s="212"/>
      <c r="AI148" s="212"/>
      <c r="AJ148" s="212"/>
      <c r="AK148" s="242"/>
      <c r="AL148" s="213"/>
      <c r="AM148" s="214"/>
      <c r="AN148" s="265"/>
      <c r="AO148" s="108"/>
      <c r="AP148" s="108"/>
      <c r="AQ148" s="108"/>
      <c r="AR148" s="108"/>
      <c r="AS148" s="108"/>
      <c r="AT148" s="108"/>
      <c r="AU148" s="428"/>
      <c r="AV148" s="428"/>
      <c r="AW148" s="121"/>
      <c r="AX148" s="428"/>
    </row>
    <row r="149" spans="1:50" hidden="1">
      <c r="A149" s="492"/>
      <c r="B149" s="500"/>
      <c r="C149" s="459"/>
      <c r="D149" s="265"/>
      <c r="E149" s="449"/>
      <c r="F149" s="459"/>
      <c r="G149" s="13"/>
      <c r="H149" s="188" t="s">
        <v>15</v>
      </c>
      <c r="I149" s="215"/>
      <c r="J149" s="213"/>
      <c r="K149" s="214"/>
      <c r="L149" s="215"/>
      <c r="M149" s="215"/>
      <c r="N149" s="215"/>
      <c r="O149" s="215"/>
      <c r="P149" s="215"/>
      <c r="Q149" s="213"/>
      <c r="R149" s="214"/>
      <c r="S149" s="242"/>
      <c r="T149" s="215"/>
      <c r="U149" s="215"/>
      <c r="V149" s="215"/>
      <c r="W149" s="215"/>
      <c r="X149" s="213"/>
      <c r="Y149" s="214"/>
      <c r="Z149" s="215"/>
      <c r="AA149" s="215"/>
      <c r="AB149" s="215"/>
      <c r="AC149" s="215"/>
      <c r="AD149" s="215"/>
      <c r="AE149" s="213"/>
      <c r="AF149" s="214"/>
      <c r="AG149" s="215"/>
      <c r="AH149" s="215"/>
      <c r="AI149" s="215"/>
      <c r="AJ149" s="215"/>
      <c r="AK149" s="242"/>
      <c r="AL149" s="213"/>
      <c r="AM149" s="214"/>
      <c r="AN149" s="265"/>
      <c r="AO149" s="108"/>
      <c r="AP149" s="108"/>
      <c r="AQ149" s="108"/>
      <c r="AR149" s="108"/>
      <c r="AS149" s="108"/>
      <c r="AT149" s="108"/>
      <c r="AU149" s="428"/>
      <c r="AV149" s="428"/>
      <c r="AW149" s="121"/>
      <c r="AX149" s="428"/>
    </row>
    <row r="150" spans="1:50" hidden="1">
      <c r="A150" s="492"/>
      <c r="B150" s="500"/>
      <c r="C150" s="459"/>
      <c r="D150" s="265"/>
      <c r="E150" s="449"/>
      <c r="F150" s="459"/>
      <c r="G150" s="134" t="s">
        <v>70</v>
      </c>
      <c r="H150" s="187" t="s">
        <v>19</v>
      </c>
      <c r="I150" s="212">
        <f t="shared" ref="I150:L150" si="84">($N$186*2)/4</f>
        <v>6700</v>
      </c>
      <c r="J150" s="213">
        <f t="shared" si="84"/>
        <v>6700</v>
      </c>
      <c r="K150" s="214">
        <f t="shared" si="84"/>
        <v>6700</v>
      </c>
      <c r="L150" s="212">
        <f t="shared" si="84"/>
        <v>6700</v>
      </c>
      <c r="M150" s="212">
        <f t="shared" ref="M150:S150" si="85">($N$186*2)/4</f>
        <v>6700</v>
      </c>
      <c r="N150" s="212">
        <f t="shared" si="85"/>
        <v>6700</v>
      </c>
      <c r="O150" s="212">
        <f t="shared" si="85"/>
        <v>6700</v>
      </c>
      <c r="P150" s="212">
        <f t="shared" si="85"/>
        <v>6700</v>
      </c>
      <c r="Q150" s="213">
        <f t="shared" si="85"/>
        <v>6700</v>
      </c>
      <c r="R150" s="214">
        <f t="shared" si="85"/>
        <v>6700</v>
      </c>
      <c r="S150" s="242">
        <f t="shared" si="85"/>
        <v>6700</v>
      </c>
      <c r="T150" s="212">
        <f t="shared" ref="T150:Z150" si="86">($N$186*2)/4</f>
        <v>6700</v>
      </c>
      <c r="U150" s="212">
        <f t="shared" si="86"/>
        <v>6700</v>
      </c>
      <c r="V150" s="212">
        <f t="shared" si="86"/>
        <v>6700</v>
      </c>
      <c r="W150" s="212">
        <f t="shared" si="86"/>
        <v>6700</v>
      </c>
      <c r="X150" s="213">
        <f t="shared" si="86"/>
        <v>6700</v>
      </c>
      <c r="Y150" s="214">
        <f t="shared" si="86"/>
        <v>6700</v>
      </c>
      <c r="Z150" s="212">
        <f t="shared" si="86"/>
        <v>6700</v>
      </c>
      <c r="AA150" s="212">
        <f t="shared" ref="AA150:AG150" si="87">($N$186*2)/4</f>
        <v>6700</v>
      </c>
      <c r="AB150" s="212">
        <f t="shared" si="87"/>
        <v>6700</v>
      </c>
      <c r="AC150" s="212">
        <f t="shared" si="87"/>
        <v>6700</v>
      </c>
      <c r="AD150" s="212">
        <f t="shared" si="87"/>
        <v>6700</v>
      </c>
      <c r="AE150" s="213">
        <f t="shared" si="87"/>
        <v>6700</v>
      </c>
      <c r="AF150" s="214">
        <f t="shared" si="87"/>
        <v>6700</v>
      </c>
      <c r="AG150" s="212">
        <f t="shared" si="87"/>
        <v>6700</v>
      </c>
      <c r="AH150" s="212">
        <f t="shared" ref="AH150:AM150" si="88">($N$186*2)/4</f>
        <v>6700</v>
      </c>
      <c r="AI150" s="212">
        <f t="shared" si="88"/>
        <v>6700</v>
      </c>
      <c r="AJ150" s="212">
        <f t="shared" si="88"/>
        <v>6700</v>
      </c>
      <c r="AK150" s="242"/>
      <c r="AL150" s="213">
        <f t="shared" si="88"/>
        <v>6700</v>
      </c>
      <c r="AM150" s="214">
        <f t="shared" si="88"/>
        <v>6700</v>
      </c>
      <c r="AN150" s="266">
        <f>SUM(I150:AM150)</f>
        <v>201000</v>
      </c>
      <c r="AO150" s="108"/>
      <c r="AP150" s="108"/>
      <c r="AQ150" s="108"/>
      <c r="AR150" s="108"/>
      <c r="AS150" s="108"/>
      <c r="AT150" s="108"/>
      <c r="AU150" s="428"/>
      <c r="AV150" s="428"/>
      <c r="AW150" s="121"/>
      <c r="AX150" s="428"/>
    </row>
    <row r="151" spans="1:50" hidden="1">
      <c r="A151" s="492"/>
      <c r="B151" s="500"/>
      <c r="C151" s="459"/>
      <c r="D151" s="265"/>
      <c r="E151" s="449"/>
      <c r="F151" s="459"/>
      <c r="G151" s="134"/>
      <c r="H151" s="187" t="s">
        <v>20</v>
      </c>
      <c r="I151" s="212">
        <v>1</v>
      </c>
      <c r="J151" s="213">
        <v>1</v>
      </c>
      <c r="K151" s="214">
        <v>1</v>
      </c>
      <c r="L151" s="212">
        <v>1</v>
      </c>
      <c r="M151" s="212">
        <v>1</v>
      </c>
      <c r="N151" s="212">
        <v>1</v>
      </c>
      <c r="O151" s="212">
        <v>1</v>
      </c>
      <c r="P151" s="212">
        <v>1</v>
      </c>
      <c r="Q151" s="213">
        <v>1</v>
      </c>
      <c r="R151" s="214">
        <v>1</v>
      </c>
      <c r="S151" s="242">
        <v>1</v>
      </c>
      <c r="T151" s="212">
        <v>1</v>
      </c>
      <c r="U151" s="212">
        <v>1</v>
      </c>
      <c r="V151" s="212">
        <v>1</v>
      </c>
      <c r="W151" s="212">
        <v>1</v>
      </c>
      <c r="X151" s="213">
        <v>1</v>
      </c>
      <c r="Y151" s="214">
        <v>1</v>
      </c>
      <c r="Z151" s="212">
        <v>1</v>
      </c>
      <c r="AA151" s="212">
        <v>1</v>
      </c>
      <c r="AB151" s="212">
        <v>1</v>
      </c>
      <c r="AC151" s="212">
        <v>1</v>
      </c>
      <c r="AD151" s="212">
        <v>1</v>
      </c>
      <c r="AE151" s="213">
        <v>1</v>
      </c>
      <c r="AF151" s="214">
        <v>1</v>
      </c>
      <c r="AG151" s="212">
        <v>1</v>
      </c>
      <c r="AH151" s="212">
        <v>1</v>
      </c>
      <c r="AI151" s="212">
        <v>1</v>
      </c>
      <c r="AJ151" s="212">
        <v>1</v>
      </c>
      <c r="AK151" s="242"/>
      <c r="AL151" s="213">
        <v>1</v>
      </c>
      <c r="AM151" s="214">
        <v>1</v>
      </c>
      <c r="AN151" s="266"/>
      <c r="AO151" s="108"/>
      <c r="AP151" s="108"/>
      <c r="AQ151" s="108"/>
      <c r="AR151" s="108"/>
      <c r="AS151" s="108"/>
      <c r="AT151" s="108"/>
      <c r="AU151" s="428"/>
      <c r="AV151" s="428"/>
      <c r="AW151" s="121"/>
      <c r="AX151" s="428"/>
    </row>
    <row r="152" spans="1:50" hidden="1">
      <c r="A152" s="492"/>
      <c r="B152" s="500"/>
      <c r="C152" s="459"/>
      <c r="D152" s="265"/>
      <c r="E152" s="449"/>
      <c r="F152" s="459"/>
      <c r="G152" s="134"/>
      <c r="H152" s="188" t="s">
        <v>15</v>
      </c>
      <c r="I152" s="215">
        <f>10352+2364</f>
        <v>12716</v>
      </c>
      <c r="J152" s="213"/>
      <c r="K152" s="214"/>
      <c r="L152" s="215"/>
      <c r="M152" s="215"/>
      <c r="N152" s="215"/>
      <c r="O152" s="215"/>
      <c r="P152" s="215"/>
      <c r="Q152" s="213"/>
      <c r="R152" s="214"/>
      <c r="S152" s="242"/>
      <c r="T152" s="215"/>
      <c r="U152" s="215"/>
      <c r="V152" s="215"/>
      <c r="W152" s="215"/>
      <c r="X152" s="213"/>
      <c r="Y152" s="214"/>
      <c r="Z152" s="215"/>
      <c r="AA152" s="215"/>
      <c r="AB152" s="215"/>
      <c r="AC152" s="215"/>
      <c r="AD152" s="215"/>
      <c r="AE152" s="213"/>
      <c r="AF152" s="214"/>
      <c r="AG152" s="215"/>
      <c r="AH152" s="215"/>
      <c r="AI152" s="215"/>
      <c r="AJ152" s="215"/>
      <c r="AK152" s="242"/>
      <c r="AL152" s="213"/>
      <c r="AM152" s="214"/>
      <c r="AN152" s="265">
        <f>SUM(I152:AM152)</f>
        <v>12716</v>
      </c>
      <c r="AO152" s="108"/>
      <c r="AP152" s="108"/>
      <c r="AQ152" s="108"/>
      <c r="AR152" s="108"/>
      <c r="AS152" s="108"/>
      <c r="AT152" s="108"/>
      <c r="AU152" s="428"/>
      <c r="AV152" s="428"/>
      <c r="AW152" s="121"/>
      <c r="AX152" s="428"/>
    </row>
    <row r="153" spans="1:50" hidden="1">
      <c r="A153" s="492"/>
      <c r="B153" s="500"/>
      <c r="C153" s="459"/>
      <c r="D153" s="265"/>
      <c r="E153" s="449"/>
      <c r="F153" s="459"/>
      <c r="G153" s="134" t="s">
        <v>71</v>
      </c>
      <c r="H153" s="187" t="s">
        <v>72</v>
      </c>
      <c r="I153" s="212">
        <f t="shared" ref="I153:L153" si="89">(($N$186)/4)*2</f>
        <v>6700</v>
      </c>
      <c r="J153" s="213">
        <f t="shared" si="89"/>
        <v>6700</v>
      </c>
      <c r="K153" s="214">
        <f t="shared" si="89"/>
        <v>6700</v>
      </c>
      <c r="L153" s="212">
        <f t="shared" si="89"/>
        <v>6700</v>
      </c>
      <c r="M153" s="212">
        <f t="shared" ref="M153:S153" si="90">(($N$186)/4)*2</f>
        <v>6700</v>
      </c>
      <c r="N153" s="212">
        <f t="shared" si="90"/>
        <v>6700</v>
      </c>
      <c r="O153" s="212">
        <f t="shared" si="90"/>
        <v>6700</v>
      </c>
      <c r="P153" s="212">
        <f t="shared" si="90"/>
        <v>6700</v>
      </c>
      <c r="Q153" s="213">
        <f t="shared" si="90"/>
        <v>6700</v>
      </c>
      <c r="R153" s="214">
        <f t="shared" si="90"/>
        <v>6700</v>
      </c>
      <c r="S153" s="242">
        <f t="shared" si="90"/>
        <v>6700</v>
      </c>
      <c r="T153" s="212">
        <f t="shared" ref="T153:Z153" si="91">(($N$186)/4)*2</f>
        <v>6700</v>
      </c>
      <c r="U153" s="212">
        <f t="shared" si="91"/>
        <v>6700</v>
      </c>
      <c r="V153" s="212">
        <f t="shared" si="91"/>
        <v>6700</v>
      </c>
      <c r="W153" s="212">
        <f t="shared" si="91"/>
        <v>6700</v>
      </c>
      <c r="X153" s="213">
        <f t="shared" si="91"/>
        <v>6700</v>
      </c>
      <c r="Y153" s="214">
        <f t="shared" si="91"/>
        <v>6700</v>
      </c>
      <c r="Z153" s="212">
        <f t="shared" si="91"/>
        <v>6700</v>
      </c>
      <c r="AA153" s="212">
        <f t="shared" ref="AA153:AG153" si="92">(($N$186)/4)*2</f>
        <v>6700</v>
      </c>
      <c r="AB153" s="212">
        <f t="shared" si="92"/>
        <v>6700</v>
      </c>
      <c r="AC153" s="212">
        <f t="shared" si="92"/>
        <v>6700</v>
      </c>
      <c r="AD153" s="212">
        <f t="shared" si="92"/>
        <v>6700</v>
      </c>
      <c r="AE153" s="213">
        <f t="shared" si="92"/>
        <v>6700</v>
      </c>
      <c r="AF153" s="214">
        <f t="shared" si="92"/>
        <v>6700</v>
      </c>
      <c r="AG153" s="212">
        <f t="shared" si="92"/>
        <v>6700</v>
      </c>
      <c r="AH153" s="212">
        <f t="shared" ref="AH153:AM153" si="93">(($N$186)/4)*2</f>
        <v>6700</v>
      </c>
      <c r="AI153" s="212">
        <f t="shared" si="93"/>
        <v>6700</v>
      </c>
      <c r="AJ153" s="212">
        <f t="shared" si="93"/>
        <v>6700</v>
      </c>
      <c r="AK153" s="242"/>
      <c r="AL153" s="213">
        <f t="shared" si="93"/>
        <v>6700</v>
      </c>
      <c r="AM153" s="214">
        <f t="shared" si="93"/>
        <v>6700</v>
      </c>
      <c r="AN153" s="266">
        <f>SUM(I153:AM153)</f>
        <v>201000</v>
      </c>
      <c r="AO153" s="108"/>
      <c r="AP153" s="108"/>
      <c r="AQ153" s="108"/>
      <c r="AR153" s="108"/>
      <c r="AS153" s="108"/>
      <c r="AT153" s="108"/>
      <c r="AU153" s="428"/>
      <c r="AV153" s="428"/>
      <c r="AW153" s="121"/>
      <c r="AX153" s="428"/>
    </row>
    <row r="154" spans="1:50" hidden="1">
      <c r="A154" s="492"/>
      <c r="B154" s="500"/>
      <c r="C154" s="459"/>
      <c r="D154" s="265"/>
      <c r="E154" s="449"/>
      <c r="F154" s="459"/>
      <c r="G154" s="134"/>
      <c r="H154" s="187" t="s">
        <v>20</v>
      </c>
      <c r="I154" s="212">
        <v>1</v>
      </c>
      <c r="J154" s="213">
        <v>1</v>
      </c>
      <c r="K154" s="214">
        <v>1</v>
      </c>
      <c r="L154" s="212">
        <v>1</v>
      </c>
      <c r="M154" s="212">
        <v>1</v>
      </c>
      <c r="N154" s="212">
        <v>1</v>
      </c>
      <c r="O154" s="212">
        <v>1</v>
      </c>
      <c r="P154" s="212">
        <v>1</v>
      </c>
      <c r="Q154" s="213">
        <v>1</v>
      </c>
      <c r="R154" s="214">
        <v>1</v>
      </c>
      <c r="S154" s="242">
        <v>1</v>
      </c>
      <c r="T154" s="212">
        <v>1</v>
      </c>
      <c r="U154" s="212">
        <v>1</v>
      </c>
      <c r="V154" s="212">
        <v>1</v>
      </c>
      <c r="W154" s="212">
        <v>1</v>
      </c>
      <c r="X154" s="213">
        <v>1</v>
      </c>
      <c r="Y154" s="214">
        <v>1</v>
      </c>
      <c r="Z154" s="212">
        <v>1</v>
      </c>
      <c r="AA154" s="212">
        <v>1</v>
      </c>
      <c r="AB154" s="212">
        <v>1</v>
      </c>
      <c r="AC154" s="212">
        <v>1</v>
      </c>
      <c r="AD154" s="212">
        <v>1</v>
      </c>
      <c r="AE154" s="213">
        <v>1</v>
      </c>
      <c r="AF154" s="214">
        <v>1</v>
      </c>
      <c r="AG154" s="212">
        <v>1</v>
      </c>
      <c r="AH154" s="212">
        <v>1</v>
      </c>
      <c r="AI154" s="212">
        <v>1</v>
      </c>
      <c r="AJ154" s="212">
        <v>1</v>
      </c>
      <c r="AK154" s="242"/>
      <c r="AL154" s="213">
        <v>1</v>
      </c>
      <c r="AM154" s="214">
        <v>1</v>
      </c>
      <c r="AN154" s="266"/>
      <c r="AO154" s="108"/>
      <c r="AP154" s="108"/>
      <c r="AQ154" s="108"/>
      <c r="AR154" s="108"/>
      <c r="AS154" s="108"/>
      <c r="AT154" s="108"/>
      <c r="AU154" s="428"/>
      <c r="AV154" s="428"/>
      <c r="AW154" s="121"/>
      <c r="AX154" s="428"/>
    </row>
    <row r="155" spans="1:50" hidden="1">
      <c r="A155" s="492"/>
      <c r="B155" s="500"/>
      <c r="C155" s="459"/>
      <c r="D155" s="265"/>
      <c r="E155" s="449"/>
      <c r="F155" s="459"/>
      <c r="G155" s="134"/>
      <c r="H155" s="188" t="s">
        <v>15</v>
      </c>
      <c r="I155" s="215">
        <f>(9225+12431)/2</f>
        <v>10828</v>
      </c>
      <c r="J155" s="236">
        <f>(12156+9983)/2</f>
        <v>11069.5</v>
      </c>
      <c r="K155" s="214">
        <f>(4740+7096)/2</f>
        <v>5918</v>
      </c>
      <c r="L155" s="269">
        <f>(12976+12485)/2</f>
        <v>12730.5</v>
      </c>
      <c r="M155" s="269">
        <f>(12976+12485)/2</f>
        <v>12730.5</v>
      </c>
      <c r="N155" s="269">
        <f>(8246+11087)/2</f>
        <v>9666.5</v>
      </c>
      <c r="O155" s="215">
        <f>(11720+6616)/2</f>
        <v>9168</v>
      </c>
      <c r="P155" s="215">
        <f>(11720+6616)/2</f>
        <v>9168</v>
      </c>
      <c r="Q155" s="236">
        <f>(12156+9983)/2</f>
        <v>11069.5</v>
      </c>
      <c r="R155" s="214">
        <f>(4740+7096)/2</f>
        <v>5918</v>
      </c>
      <c r="S155" s="242">
        <f>(11079+12219)/2</f>
        <v>11649</v>
      </c>
      <c r="T155" s="215">
        <f>(11079+12219)/2</f>
        <v>11649</v>
      </c>
      <c r="U155" s="269">
        <f>(14978+14315)/2</f>
        <v>14646.5</v>
      </c>
      <c r="V155" s="269">
        <f>(14978+14315)/2</f>
        <v>14646.5</v>
      </c>
      <c r="W155" s="215">
        <f>6602+9064</f>
        <v>15666</v>
      </c>
      <c r="X155" s="236">
        <f>(12156+9983)/2</f>
        <v>11069.5</v>
      </c>
      <c r="Y155" s="214">
        <f>(4740+7096)/2</f>
        <v>5918</v>
      </c>
      <c r="Z155" s="215"/>
      <c r="AA155" s="215"/>
      <c r="AB155" s="215"/>
      <c r="AC155" s="215"/>
      <c r="AD155" s="215"/>
      <c r="AE155" s="236">
        <f>(12156+9983)/2</f>
        <v>11069.5</v>
      </c>
      <c r="AF155" s="214">
        <f>(4740+7096)/2</f>
        <v>5918</v>
      </c>
      <c r="AG155" s="215"/>
      <c r="AH155" s="215"/>
      <c r="AI155" s="215"/>
      <c r="AJ155" s="215"/>
      <c r="AK155" s="242"/>
      <c r="AL155" s="236">
        <f>(12156+9983)/2</f>
        <v>11069.5</v>
      </c>
      <c r="AM155" s="214">
        <f>(4740+7096)/2</f>
        <v>5918</v>
      </c>
      <c r="AN155" s="265">
        <f>SUM(I155:AM155)</f>
        <v>217486</v>
      </c>
      <c r="AO155" s="108"/>
      <c r="AP155" s="108"/>
      <c r="AQ155" s="108"/>
      <c r="AR155" s="108"/>
      <c r="AS155" s="108"/>
      <c r="AT155" s="108"/>
      <c r="AU155" s="428"/>
      <c r="AV155" s="428"/>
      <c r="AW155" s="121"/>
      <c r="AX155" s="428"/>
    </row>
    <row r="156" spans="1:50" hidden="1">
      <c r="A156" s="492"/>
      <c r="B156" s="500"/>
      <c r="C156" s="459"/>
      <c r="D156" s="265"/>
      <c r="E156" s="449"/>
      <c r="F156" s="459"/>
      <c r="G156" s="134" t="s">
        <v>73</v>
      </c>
      <c r="H156" s="187" t="s">
        <v>74</v>
      </c>
      <c r="I156" s="212">
        <f t="shared" ref="I156:L156" si="94">(($N$186*2)/4)+$N$189</f>
        <v>20100</v>
      </c>
      <c r="J156" s="213">
        <f t="shared" si="94"/>
        <v>20100</v>
      </c>
      <c r="K156" s="214">
        <f t="shared" si="94"/>
        <v>20100</v>
      </c>
      <c r="L156" s="212">
        <f t="shared" si="94"/>
        <v>20100</v>
      </c>
      <c r="M156" s="212">
        <f t="shared" ref="M156:S156" si="95">(($N$186*2)/4)+$N$189</f>
        <v>20100</v>
      </c>
      <c r="N156" s="212">
        <f t="shared" si="95"/>
        <v>20100</v>
      </c>
      <c r="O156" s="212">
        <f t="shared" si="95"/>
        <v>20100</v>
      </c>
      <c r="P156" s="212">
        <f t="shared" si="95"/>
        <v>20100</v>
      </c>
      <c r="Q156" s="213">
        <f t="shared" si="95"/>
        <v>20100</v>
      </c>
      <c r="R156" s="214">
        <f t="shared" si="95"/>
        <v>20100</v>
      </c>
      <c r="S156" s="242">
        <f t="shared" si="95"/>
        <v>20100</v>
      </c>
      <c r="T156" s="212">
        <f t="shared" ref="T156:Z156" si="96">(($N$186*2)/4)+$N$189</f>
        <v>20100</v>
      </c>
      <c r="U156" s="212">
        <f t="shared" si="96"/>
        <v>20100</v>
      </c>
      <c r="V156" s="212">
        <f t="shared" si="96"/>
        <v>20100</v>
      </c>
      <c r="W156" s="212">
        <f t="shared" si="96"/>
        <v>20100</v>
      </c>
      <c r="X156" s="213">
        <f t="shared" si="96"/>
        <v>20100</v>
      </c>
      <c r="Y156" s="214">
        <f t="shared" si="96"/>
        <v>20100</v>
      </c>
      <c r="Z156" s="212">
        <f t="shared" si="96"/>
        <v>20100</v>
      </c>
      <c r="AA156" s="212">
        <f t="shared" ref="AA156:AG156" si="97">(($N$186*2)/4)+$N$189</f>
        <v>20100</v>
      </c>
      <c r="AB156" s="212">
        <f t="shared" si="97"/>
        <v>20100</v>
      </c>
      <c r="AC156" s="212">
        <f t="shared" si="97"/>
        <v>20100</v>
      </c>
      <c r="AD156" s="212">
        <f t="shared" si="97"/>
        <v>20100</v>
      </c>
      <c r="AE156" s="213">
        <f t="shared" si="97"/>
        <v>20100</v>
      </c>
      <c r="AF156" s="214">
        <f t="shared" si="97"/>
        <v>20100</v>
      </c>
      <c r="AG156" s="212">
        <f t="shared" si="97"/>
        <v>20100</v>
      </c>
      <c r="AH156" s="212">
        <f t="shared" ref="AH156:AM156" si="98">(($N$186*2)/4)+$N$189</f>
        <v>20100</v>
      </c>
      <c r="AI156" s="212">
        <f t="shared" si="98"/>
        <v>20100</v>
      </c>
      <c r="AJ156" s="212">
        <f t="shared" si="98"/>
        <v>20100</v>
      </c>
      <c r="AK156" s="242"/>
      <c r="AL156" s="213">
        <f t="shared" si="98"/>
        <v>20100</v>
      </c>
      <c r="AM156" s="214">
        <f t="shared" si="98"/>
        <v>20100</v>
      </c>
      <c r="AN156" s="266">
        <f>SUM(I156:AM156)</f>
        <v>603000</v>
      </c>
      <c r="AO156" s="108"/>
      <c r="AP156" s="108"/>
      <c r="AQ156" s="108"/>
      <c r="AR156" s="108"/>
      <c r="AS156" s="108"/>
      <c r="AT156" s="108"/>
      <c r="AU156" s="428"/>
      <c r="AV156" s="428"/>
      <c r="AW156" s="121"/>
      <c r="AX156" s="428"/>
    </row>
    <row r="157" spans="1:50" hidden="1">
      <c r="A157" s="492"/>
      <c r="B157" s="500"/>
      <c r="C157" s="459"/>
      <c r="D157" s="265"/>
      <c r="E157" s="449"/>
      <c r="F157" s="459"/>
      <c r="G157" s="134"/>
      <c r="H157" s="187" t="s">
        <v>20</v>
      </c>
      <c r="I157" s="212">
        <v>2</v>
      </c>
      <c r="J157" s="213">
        <v>2</v>
      </c>
      <c r="K157" s="214">
        <v>2</v>
      </c>
      <c r="L157" s="212">
        <v>2</v>
      </c>
      <c r="M157" s="212">
        <v>2</v>
      </c>
      <c r="N157" s="212">
        <v>2</v>
      </c>
      <c r="O157" s="212">
        <v>2</v>
      </c>
      <c r="P157" s="212">
        <v>2</v>
      </c>
      <c r="Q157" s="213">
        <v>2</v>
      </c>
      <c r="R157" s="214">
        <v>2</v>
      </c>
      <c r="S157" s="242">
        <v>2</v>
      </c>
      <c r="T157" s="212">
        <v>2</v>
      </c>
      <c r="U157" s="212">
        <v>2</v>
      </c>
      <c r="V157" s="212">
        <v>2</v>
      </c>
      <c r="W157" s="212">
        <v>2</v>
      </c>
      <c r="X157" s="213">
        <v>2</v>
      </c>
      <c r="Y157" s="214">
        <v>2</v>
      </c>
      <c r="Z157" s="212">
        <v>2</v>
      </c>
      <c r="AA157" s="212">
        <v>2</v>
      </c>
      <c r="AB157" s="212">
        <v>2</v>
      </c>
      <c r="AC157" s="212">
        <v>2</v>
      </c>
      <c r="AD157" s="212">
        <v>2</v>
      </c>
      <c r="AE157" s="213">
        <v>2</v>
      </c>
      <c r="AF157" s="214">
        <v>2</v>
      </c>
      <c r="AG157" s="212">
        <v>2</v>
      </c>
      <c r="AH157" s="212">
        <v>2</v>
      </c>
      <c r="AI157" s="212">
        <v>2</v>
      </c>
      <c r="AJ157" s="212">
        <v>2</v>
      </c>
      <c r="AK157" s="242"/>
      <c r="AL157" s="213">
        <v>2</v>
      </c>
      <c r="AM157" s="214">
        <v>2</v>
      </c>
      <c r="AN157" s="266"/>
      <c r="AO157" s="108"/>
      <c r="AP157" s="108"/>
      <c r="AQ157" s="108"/>
      <c r="AR157" s="108"/>
      <c r="AS157" s="108"/>
      <c r="AT157" s="108"/>
      <c r="AU157" s="428"/>
      <c r="AV157" s="428"/>
      <c r="AW157" s="121"/>
      <c r="AX157" s="428"/>
    </row>
    <row r="158" spans="1:50" hidden="1">
      <c r="A158" s="492"/>
      <c r="B158" s="500"/>
      <c r="C158" s="459"/>
      <c r="D158" s="265"/>
      <c r="E158" s="449"/>
      <c r="F158" s="459"/>
      <c r="G158" s="134"/>
      <c r="H158" s="188" t="s">
        <v>15</v>
      </c>
      <c r="I158" s="215">
        <f>6051+6461</f>
        <v>12512</v>
      </c>
      <c r="J158" s="213">
        <f>8004+5720</f>
        <v>13724</v>
      </c>
      <c r="K158" s="214">
        <f>1674</f>
        <v>1674</v>
      </c>
      <c r="L158" s="215"/>
      <c r="M158" s="215"/>
      <c r="N158" s="215"/>
      <c r="O158" s="215"/>
      <c r="P158" s="215"/>
      <c r="Q158" s="213">
        <f>8004+5720</f>
        <v>13724</v>
      </c>
      <c r="R158" s="214">
        <f>1674</f>
        <v>1674</v>
      </c>
      <c r="S158" s="242"/>
      <c r="T158" s="215"/>
      <c r="U158" s="215">
        <f>1391+6000</f>
        <v>7391</v>
      </c>
      <c r="V158" s="215">
        <f>1391+6000</f>
        <v>7391</v>
      </c>
      <c r="W158" s="215">
        <f>9064+8790</f>
        <v>17854</v>
      </c>
      <c r="X158" s="213">
        <f>8004+5720</f>
        <v>13724</v>
      </c>
      <c r="Y158" s="214">
        <f>1674</f>
        <v>1674</v>
      </c>
      <c r="Z158" s="215"/>
      <c r="AA158" s="215"/>
      <c r="AB158" s="215"/>
      <c r="AC158" s="215"/>
      <c r="AD158" s="215"/>
      <c r="AE158" s="213">
        <f>8004+5720</f>
        <v>13724</v>
      </c>
      <c r="AF158" s="214">
        <f>1674</f>
        <v>1674</v>
      </c>
      <c r="AG158" s="215"/>
      <c r="AH158" s="215"/>
      <c r="AI158" s="215"/>
      <c r="AJ158" s="215"/>
      <c r="AK158" s="242"/>
      <c r="AL158" s="213">
        <f>8004+5720</f>
        <v>13724</v>
      </c>
      <c r="AM158" s="214">
        <f>1674</f>
        <v>1674</v>
      </c>
      <c r="AN158" s="265">
        <f>SUM(I158:AM158)</f>
        <v>122138</v>
      </c>
      <c r="AO158" s="108"/>
      <c r="AP158" s="108"/>
      <c r="AQ158" s="108"/>
      <c r="AR158" s="108"/>
      <c r="AS158" s="108"/>
      <c r="AT158" s="108"/>
      <c r="AU158" s="428"/>
      <c r="AV158" s="428"/>
      <c r="AW158" s="121"/>
      <c r="AX158" s="428"/>
    </row>
    <row r="159" spans="1:50" hidden="1">
      <c r="A159" s="492"/>
      <c r="B159" s="500"/>
      <c r="C159" s="459"/>
      <c r="D159" s="265"/>
      <c r="E159" s="449"/>
      <c r="F159" s="459"/>
      <c r="G159" s="190" t="s">
        <v>23</v>
      </c>
      <c r="H159" s="187" t="s">
        <v>75</v>
      </c>
      <c r="I159" s="212"/>
      <c r="J159" s="213">
        <f>$N$186</f>
        <v>13400</v>
      </c>
      <c r="K159" s="214"/>
      <c r="L159" s="212"/>
      <c r="M159" s="212"/>
      <c r="N159" s="212"/>
      <c r="O159" s="212">
        <f t="shared" ref="O159:Q159" si="99">$N$186</f>
        <v>13400</v>
      </c>
      <c r="P159" s="212">
        <f t="shared" si="99"/>
        <v>13400</v>
      </c>
      <c r="Q159" s="213">
        <f t="shared" si="99"/>
        <v>13400</v>
      </c>
      <c r="R159" s="214"/>
      <c r="S159" s="242"/>
      <c r="T159" s="212"/>
      <c r="U159" s="212"/>
      <c r="V159" s="212"/>
      <c r="W159" s="212"/>
      <c r="X159" s="213">
        <f>$N$186</f>
        <v>13400</v>
      </c>
      <c r="Y159" s="214"/>
      <c r="Z159" s="212"/>
      <c r="AA159" s="212"/>
      <c r="AB159" s="212"/>
      <c r="AC159" s="212">
        <f>$N$186</f>
        <v>13400</v>
      </c>
      <c r="AD159" s="212"/>
      <c r="AE159" s="213">
        <f>$N$186</f>
        <v>13400</v>
      </c>
      <c r="AF159" s="214"/>
      <c r="AG159" s="212"/>
      <c r="AH159" s="212">
        <f>$N$186</f>
        <v>13400</v>
      </c>
      <c r="AI159" s="212"/>
      <c r="AJ159" s="212"/>
      <c r="AK159" s="242"/>
      <c r="AL159" s="213">
        <f>$N$186</f>
        <v>13400</v>
      </c>
      <c r="AM159" s="214"/>
      <c r="AN159" s="266">
        <f>SUM(I159:AM159)</f>
        <v>120600</v>
      </c>
      <c r="AO159" s="108"/>
      <c r="AP159" s="108"/>
      <c r="AQ159" s="108"/>
      <c r="AR159" s="108"/>
      <c r="AS159" s="108"/>
      <c r="AT159" s="108"/>
      <c r="AU159" s="428"/>
      <c r="AV159" s="428"/>
      <c r="AW159" s="121"/>
      <c r="AX159" s="428"/>
    </row>
    <row r="160" spans="1:50" hidden="1">
      <c r="A160" s="492"/>
      <c r="B160" s="500"/>
      <c r="C160" s="459"/>
      <c r="D160" s="265"/>
      <c r="E160" s="449"/>
      <c r="F160" s="459"/>
      <c r="G160" s="134"/>
      <c r="H160" s="188" t="s">
        <v>15</v>
      </c>
      <c r="I160" s="215"/>
      <c r="J160" s="213"/>
      <c r="K160" s="214"/>
      <c r="L160" s="215"/>
      <c r="M160" s="215"/>
      <c r="N160" s="215"/>
      <c r="O160" s="215"/>
      <c r="P160" s="215"/>
      <c r="Q160" s="213"/>
      <c r="R160" s="214"/>
      <c r="S160" s="242">
        <f>29800</f>
        <v>29800</v>
      </c>
      <c r="T160" s="215">
        <f>29800</f>
        <v>29800</v>
      </c>
      <c r="U160" s="215"/>
      <c r="V160" s="215"/>
      <c r="W160" s="215"/>
      <c r="X160" s="213"/>
      <c r="Y160" s="214"/>
      <c r="Z160" s="215"/>
      <c r="AA160" s="215"/>
      <c r="AB160" s="215"/>
      <c r="AC160" s="215"/>
      <c r="AD160" s="215"/>
      <c r="AE160" s="213"/>
      <c r="AF160" s="214"/>
      <c r="AG160" s="215"/>
      <c r="AH160" s="215"/>
      <c r="AI160" s="215"/>
      <c r="AJ160" s="215"/>
      <c r="AK160" s="242"/>
      <c r="AL160" s="213"/>
      <c r="AM160" s="214"/>
      <c r="AN160" s="265"/>
      <c r="AO160" s="108"/>
      <c r="AP160" s="108"/>
      <c r="AQ160" s="108"/>
      <c r="AR160" s="108"/>
      <c r="AS160" s="108"/>
      <c r="AT160" s="108"/>
      <c r="AU160" s="428"/>
      <c r="AV160" s="428"/>
      <c r="AW160" s="121"/>
      <c r="AX160" s="428"/>
    </row>
    <row r="161" spans="1:50" hidden="1">
      <c r="A161" s="492"/>
      <c r="B161" s="500"/>
      <c r="C161" s="459"/>
      <c r="D161" s="265"/>
      <c r="E161" s="449"/>
      <c r="F161" s="459"/>
      <c r="G161" s="190" t="s">
        <v>25</v>
      </c>
      <c r="H161" s="187" t="s">
        <v>76</v>
      </c>
      <c r="I161" s="212"/>
      <c r="J161" s="213">
        <f>$N$186</f>
        <v>13400</v>
      </c>
      <c r="K161" s="214"/>
      <c r="L161" s="212"/>
      <c r="M161" s="212"/>
      <c r="N161" s="212"/>
      <c r="O161" s="212">
        <f t="shared" ref="O161:Q161" si="100">$N$186</f>
        <v>13400</v>
      </c>
      <c r="P161" s="212">
        <f t="shared" si="100"/>
        <v>13400</v>
      </c>
      <c r="Q161" s="213">
        <f t="shared" si="100"/>
        <v>13400</v>
      </c>
      <c r="R161" s="214"/>
      <c r="S161" s="242"/>
      <c r="T161" s="212"/>
      <c r="U161" s="212"/>
      <c r="V161" s="212"/>
      <c r="W161" s="212"/>
      <c r="X161" s="213">
        <f>$N$186</f>
        <v>13400</v>
      </c>
      <c r="Y161" s="214"/>
      <c r="Z161" s="212"/>
      <c r="AA161" s="212"/>
      <c r="AB161" s="212"/>
      <c r="AC161" s="212">
        <f>$N$186</f>
        <v>13400</v>
      </c>
      <c r="AD161" s="212"/>
      <c r="AE161" s="213">
        <f>$N$186</f>
        <v>13400</v>
      </c>
      <c r="AF161" s="214"/>
      <c r="AG161" s="212"/>
      <c r="AH161" s="212">
        <f>$N$186</f>
        <v>13400</v>
      </c>
      <c r="AI161" s="212"/>
      <c r="AJ161" s="212"/>
      <c r="AK161" s="242"/>
      <c r="AL161" s="213">
        <f>$N$186</f>
        <v>13400</v>
      </c>
      <c r="AM161" s="214"/>
      <c r="AN161" s="266">
        <f>SUM(I161:AM161)</f>
        <v>120600</v>
      </c>
      <c r="AO161" s="108"/>
      <c r="AP161" s="108"/>
      <c r="AQ161" s="108"/>
      <c r="AR161" s="108"/>
      <c r="AS161" s="108"/>
      <c r="AT161" s="108"/>
      <c r="AU161" s="428"/>
      <c r="AV161" s="428"/>
      <c r="AW161" s="121"/>
      <c r="AX161" s="428"/>
    </row>
    <row r="162" spans="1:50" hidden="1">
      <c r="A162" s="492"/>
      <c r="B162" s="500"/>
      <c r="C162" s="459"/>
      <c r="D162" s="265"/>
      <c r="E162" s="449"/>
      <c r="F162" s="459"/>
      <c r="G162" s="190"/>
      <c r="H162" s="187" t="s">
        <v>27</v>
      </c>
      <c r="I162" s="212"/>
      <c r="J162" s="213">
        <v>1</v>
      </c>
      <c r="K162" s="214"/>
      <c r="L162" s="212"/>
      <c r="M162" s="212"/>
      <c r="N162" s="212"/>
      <c r="O162" s="212">
        <v>1</v>
      </c>
      <c r="P162" s="212">
        <v>1</v>
      </c>
      <c r="Q162" s="213">
        <v>1</v>
      </c>
      <c r="R162" s="214"/>
      <c r="S162" s="242"/>
      <c r="T162" s="212"/>
      <c r="U162" s="212"/>
      <c r="V162" s="212"/>
      <c r="W162" s="212"/>
      <c r="X162" s="213">
        <v>1</v>
      </c>
      <c r="Y162" s="214"/>
      <c r="Z162" s="212"/>
      <c r="AA162" s="212"/>
      <c r="AB162" s="212"/>
      <c r="AC162" s="212">
        <v>1</v>
      </c>
      <c r="AD162" s="212"/>
      <c r="AE162" s="213">
        <v>1</v>
      </c>
      <c r="AF162" s="214"/>
      <c r="AG162" s="212"/>
      <c r="AH162" s="212">
        <v>1</v>
      </c>
      <c r="AI162" s="212"/>
      <c r="AJ162" s="212"/>
      <c r="AK162" s="242"/>
      <c r="AL162" s="213">
        <v>1</v>
      </c>
      <c r="AM162" s="214"/>
      <c r="AN162" s="266"/>
      <c r="AO162" s="108"/>
      <c r="AP162" s="108"/>
      <c r="AQ162" s="108"/>
      <c r="AR162" s="108"/>
      <c r="AS162" s="108"/>
      <c r="AT162" s="108"/>
      <c r="AU162" s="428"/>
      <c r="AV162" s="428"/>
      <c r="AW162" s="121"/>
      <c r="AX162" s="428"/>
    </row>
    <row r="163" spans="1:50" hidden="1">
      <c r="A163" s="492"/>
      <c r="B163" s="500"/>
      <c r="C163" s="459"/>
      <c r="D163" s="265"/>
      <c r="E163" s="449"/>
      <c r="F163" s="459"/>
      <c r="G163" s="134"/>
      <c r="H163" s="188" t="s">
        <v>15</v>
      </c>
      <c r="I163" s="215"/>
      <c r="J163" s="213"/>
      <c r="K163" s="214"/>
      <c r="L163" s="215"/>
      <c r="M163" s="215"/>
      <c r="N163" s="215"/>
      <c r="O163" s="215">
        <f>11488</f>
        <v>11488</v>
      </c>
      <c r="P163" s="215">
        <f>11488</f>
        <v>11488</v>
      </c>
      <c r="Q163" s="213"/>
      <c r="R163" s="214"/>
      <c r="S163" s="242"/>
      <c r="T163" s="215"/>
      <c r="U163" s="215"/>
      <c r="V163" s="215"/>
      <c r="W163" s="215"/>
      <c r="X163" s="213"/>
      <c r="Y163" s="214"/>
      <c r="Z163" s="215"/>
      <c r="AA163" s="215"/>
      <c r="AB163" s="215"/>
      <c r="AC163" s="215"/>
      <c r="AD163" s="215"/>
      <c r="AE163" s="213"/>
      <c r="AF163" s="214"/>
      <c r="AG163" s="215"/>
      <c r="AH163" s="215"/>
      <c r="AI163" s="215"/>
      <c r="AJ163" s="215"/>
      <c r="AK163" s="242"/>
      <c r="AL163" s="213"/>
      <c r="AM163" s="214"/>
      <c r="AN163" s="265">
        <f>SUM(I163:AM163)</f>
        <v>22976</v>
      </c>
      <c r="AO163" s="108"/>
      <c r="AP163" s="108"/>
      <c r="AQ163" s="108"/>
      <c r="AR163" s="108"/>
      <c r="AS163" s="108"/>
      <c r="AT163" s="108"/>
      <c r="AU163" s="428"/>
      <c r="AV163" s="428"/>
      <c r="AW163" s="121"/>
      <c r="AX163" s="428"/>
    </row>
    <row r="164" spans="1:50" hidden="1">
      <c r="A164" s="492"/>
      <c r="B164" s="500"/>
      <c r="C164" s="459"/>
      <c r="D164" s="265"/>
      <c r="E164" s="449"/>
      <c r="F164" s="459"/>
      <c r="G164" s="190" t="s">
        <v>23</v>
      </c>
      <c r="H164" s="187" t="s">
        <v>77</v>
      </c>
      <c r="I164" s="212"/>
      <c r="J164" s="213">
        <f>$N$186+$N$189</f>
        <v>26800</v>
      </c>
      <c r="K164" s="214"/>
      <c r="L164" s="212"/>
      <c r="M164" s="212"/>
      <c r="N164" s="212"/>
      <c r="O164" s="212">
        <f t="shared" ref="O164:Q164" si="101">$N$186+$N$189</f>
        <v>26800</v>
      </c>
      <c r="P164" s="212">
        <f t="shared" si="101"/>
        <v>26800</v>
      </c>
      <c r="Q164" s="213">
        <f t="shared" si="101"/>
        <v>26800</v>
      </c>
      <c r="R164" s="214"/>
      <c r="S164" s="242"/>
      <c r="T164" s="212"/>
      <c r="U164" s="212"/>
      <c r="V164" s="212"/>
      <c r="W164" s="212"/>
      <c r="X164" s="213">
        <f>$N$186+$N$189</f>
        <v>26800</v>
      </c>
      <c r="Y164" s="214"/>
      <c r="Z164" s="212"/>
      <c r="AA164" s="212"/>
      <c r="AB164" s="212"/>
      <c r="AC164" s="212">
        <f>$N$186+$N$189</f>
        <v>26800</v>
      </c>
      <c r="AD164" s="212"/>
      <c r="AE164" s="213">
        <f>$N$186+$N$189</f>
        <v>26800</v>
      </c>
      <c r="AF164" s="214"/>
      <c r="AG164" s="212"/>
      <c r="AH164" s="212">
        <f>$N$186+$N$189</f>
        <v>26800</v>
      </c>
      <c r="AI164" s="212"/>
      <c r="AJ164" s="212"/>
      <c r="AK164" s="242"/>
      <c r="AL164" s="213">
        <f>$N$186+$N$189</f>
        <v>26800</v>
      </c>
      <c r="AM164" s="214"/>
      <c r="AN164" s="266">
        <f>SUM(I164:AM164)</f>
        <v>241200</v>
      </c>
      <c r="AO164" s="108"/>
      <c r="AP164" s="108"/>
      <c r="AQ164" s="108"/>
      <c r="AR164" s="108"/>
      <c r="AS164" s="108"/>
      <c r="AT164" s="108"/>
      <c r="AU164" s="428"/>
      <c r="AV164" s="428"/>
      <c r="AW164" s="121"/>
      <c r="AX164" s="428"/>
    </row>
    <row r="165" spans="1:50" hidden="1">
      <c r="A165" s="492"/>
      <c r="B165" s="500"/>
      <c r="C165" s="459"/>
      <c r="D165" s="265"/>
      <c r="E165" s="449"/>
      <c r="F165" s="459"/>
      <c r="G165" s="134"/>
      <c r="H165" s="188" t="s">
        <v>15</v>
      </c>
      <c r="I165" s="215"/>
      <c r="J165" s="213"/>
      <c r="K165" s="214"/>
      <c r="L165" s="215"/>
      <c r="M165" s="215"/>
      <c r="N165" s="215"/>
      <c r="O165" s="215"/>
      <c r="P165" s="215"/>
      <c r="Q165" s="213"/>
      <c r="R165" s="214"/>
      <c r="S165" s="242">
        <f>29800</f>
        <v>29800</v>
      </c>
      <c r="T165" s="215">
        <f>29800</f>
        <v>29800</v>
      </c>
      <c r="U165" s="215"/>
      <c r="V165" s="215"/>
      <c r="W165" s="215"/>
      <c r="X165" s="213"/>
      <c r="Y165" s="214"/>
      <c r="Z165" s="215"/>
      <c r="AA165" s="215"/>
      <c r="AB165" s="215"/>
      <c r="AC165" s="215"/>
      <c r="AD165" s="215"/>
      <c r="AE165" s="213"/>
      <c r="AF165" s="214"/>
      <c r="AG165" s="215"/>
      <c r="AH165" s="215"/>
      <c r="AI165" s="215"/>
      <c r="AJ165" s="215"/>
      <c r="AK165" s="242"/>
      <c r="AL165" s="213"/>
      <c r="AM165" s="214"/>
      <c r="AN165" s="265"/>
      <c r="AO165" s="108"/>
      <c r="AP165" s="108"/>
      <c r="AQ165" s="108"/>
      <c r="AR165" s="108"/>
      <c r="AS165" s="108"/>
      <c r="AT165" s="108"/>
      <c r="AU165" s="428"/>
      <c r="AV165" s="428"/>
      <c r="AW165" s="121"/>
      <c r="AX165" s="428"/>
    </row>
    <row r="166" spans="1:50" hidden="1">
      <c r="A166" s="492"/>
      <c r="B166" s="500"/>
      <c r="C166" s="459"/>
      <c r="D166" s="265"/>
      <c r="E166" s="449"/>
      <c r="F166" s="459"/>
      <c r="G166" s="190" t="s">
        <v>25</v>
      </c>
      <c r="H166" s="187" t="s">
        <v>78</v>
      </c>
      <c r="I166" s="212"/>
      <c r="J166" s="213">
        <f>$N$189</f>
        <v>13400</v>
      </c>
      <c r="K166" s="214"/>
      <c r="L166" s="212"/>
      <c r="M166" s="212"/>
      <c r="N166" s="212"/>
      <c r="O166" s="212">
        <f t="shared" ref="O166:Q166" si="102">$N$189</f>
        <v>13400</v>
      </c>
      <c r="P166" s="212">
        <f t="shared" si="102"/>
        <v>13400</v>
      </c>
      <c r="Q166" s="213">
        <f t="shared" si="102"/>
        <v>13400</v>
      </c>
      <c r="R166" s="214"/>
      <c r="S166" s="242"/>
      <c r="T166" s="212"/>
      <c r="U166" s="212"/>
      <c r="V166" s="212"/>
      <c r="W166" s="212"/>
      <c r="X166" s="213">
        <f>$N$189</f>
        <v>13400</v>
      </c>
      <c r="Y166" s="214"/>
      <c r="Z166" s="212"/>
      <c r="AA166" s="212"/>
      <c r="AB166" s="212"/>
      <c r="AC166" s="212">
        <f>$N$189</f>
        <v>13400</v>
      </c>
      <c r="AD166" s="212"/>
      <c r="AE166" s="213">
        <f>$N$189</f>
        <v>13400</v>
      </c>
      <c r="AF166" s="214"/>
      <c r="AG166" s="212"/>
      <c r="AH166" s="212">
        <f>$N$189</f>
        <v>13400</v>
      </c>
      <c r="AI166" s="212"/>
      <c r="AJ166" s="212"/>
      <c r="AK166" s="242"/>
      <c r="AL166" s="213">
        <f>$N$189</f>
        <v>13400</v>
      </c>
      <c r="AM166" s="214"/>
      <c r="AN166" s="266">
        <f>SUM(I166:AM166)</f>
        <v>120600</v>
      </c>
      <c r="AO166" s="108"/>
      <c r="AP166" s="108"/>
      <c r="AQ166" s="108"/>
      <c r="AR166" s="108"/>
      <c r="AS166" s="108"/>
      <c r="AT166" s="108"/>
      <c r="AU166" s="428"/>
      <c r="AV166" s="428"/>
      <c r="AW166" s="121"/>
      <c r="AX166" s="428"/>
    </row>
    <row r="167" spans="1:50" hidden="1">
      <c r="A167" s="492"/>
      <c r="B167" s="500"/>
      <c r="C167" s="459"/>
      <c r="D167" s="265"/>
      <c r="E167" s="449"/>
      <c r="F167" s="459"/>
      <c r="G167" s="190"/>
      <c r="H167" s="187" t="s">
        <v>27</v>
      </c>
      <c r="I167" s="212"/>
      <c r="J167" s="213">
        <v>1</v>
      </c>
      <c r="K167" s="214"/>
      <c r="L167" s="212"/>
      <c r="M167" s="212"/>
      <c r="N167" s="212"/>
      <c r="O167" s="212">
        <v>1</v>
      </c>
      <c r="P167" s="212">
        <v>1</v>
      </c>
      <c r="Q167" s="213">
        <v>1</v>
      </c>
      <c r="R167" s="214"/>
      <c r="S167" s="242"/>
      <c r="T167" s="212"/>
      <c r="U167" s="212"/>
      <c r="V167" s="212"/>
      <c r="W167" s="212"/>
      <c r="X167" s="213">
        <v>1</v>
      </c>
      <c r="Y167" s="214"/>
      <c r="Z167" s="212"/>
      <c r="AA167" s="212"/>
      <c r="AB167" s="212"/>
      <c r="AC167" s="212">
        <v>1</v>
      </c>
      <c r="AD167" s="212"/>
      <c r="AE167" s="213">
        <v>1</v>
      </c>
      <c r="AF167" s="214"/>
      <c r="AG167" s="212"/>
      <c r="AH167" s="212">
        <v>1</v>
      </c>
      <c r="AI167" s="212"/>
      <c r="AJ167" s="212"/>
      <c r="AK167" s="242"/>
      <c r="AL167" s="213">
        <v>1</v>
      </c>
      <c r="AM167" s="214"/>
      <c r="AN167" s="266"/>
      <c r="AO167" s="108"/>
      <c r="AP167" s="108"/>
      <c r="AQ167" s="108"/>
      <c r="AR167" s="108"/>
      <c r="AS167" s="108"/>
      <c r="AT167" s="108"/>
      <c r="AU167" s="428"/>
      <c r="AV167" s="428"/>
      <c r="AW167" s="121"/>
      <c r="AX167" s="428"/>
    </row>
    <row r="168" spans="1:50" hidden="1">
      <c r="A168" s="492"/>
      <c r="B168" s="500"/>
      <c r="C168" s="459"/>
      <c r="D168" s="265"/>
      <c r="E168" s="449"/>
      <c r="F168" s="459"/>
      <c r="G168" s="134"/>
      <c r="H168" s="188" t="s">
        <v>15</v>
      </c>
      <c r="I168" s="215"/>
      <c r="J168" s="213"/>
      <c r="K168" s="214"/>
      <c r="L168" s="215"/>
      <c r="M168" s="215"/>
      <c r="N168" s="215"/>
      <c r="O168" s="215">
        <f>11488</f>
        <v>11488</v>
      </c>
      <c r="P168" s="215">
        <f>11488</f>
        <v>11488</v>
      </c>
      <c r="Q168" s="213"/>
      <c r="R168" s="214"/>
      <c r="S168" s="242"/>
      <c r="T168" s="215"/>
      <c r="U168" s="215"/>
      <c r="V168" s="215"/>
      <c r="W168" s="215"/>
      <c r="X168" s="213"/>
      <c r="Y168" s="214"/>
      <c r="Z168" s="215"/>
      <c r="AA168" s="215"/>
      <c r="AB168" s="215"/>
      <c r="AC168" s="215"/>
      <c r="AD168" s="215"/>
      <c r="AE168" s="213"/>
      <c r="AF168" s="214"/>
      <c r="AG168" s="215"/>
      <c r="AH168" s="215"/>
      <c r="AI168" s="215"/>
      <c r="AJ168" s="215"/>
      <c r="AK168" s="242"/>
      <c r="AL168" s="213"/>
      <c r="AM168" s="214"/>
      <c r="AN168" s="265">
        <f>SUM(I168:AM168)</f>
        <v>22976</v>
      </c>
      <c r="AO168" s="108"/>
      <c r="AP168" s="108"/>
      <c r="AQ168" s="108"/>
      <c r="AR168" s="108"/>
      <c r="AS168" s="108"/>
      <c r="AT168" s="108"/>
      <c r="AU168" s="428"/>
      <c r="AV168" s="428"/>
      <c r="AW168" s="121"/>
      <c r="AX168" s="428"/>
    </row>
    <row r="169" spans="1:50" hidden="1">
      <c r="A169" s="492"/>
      <c r="B169" s="500"/>
      <c r="C169" s="459"/>
      <c r="D169" s="265"/>
      <c r="E169" s="449"/>
      <c r="F169" s="459"/>
      <c r="G169" s="190" t="s">
        <v>28</v>
      </c>
      <c r="H169" s="187" t="s">
        <v>29</v>
      </c>
      <c r="I169" s="212"/>
      <c r="J169" s="213">
        <f>$N$189</f>
        <v>13400</v>
      </c>
      <c r="K169" s="214"/>
      <c r="L169" s="212"/>
      <c r="M169" s="212"/>
      <c r="N169" s="212"/>
      <c r="O169" s="212">
        <f t="shared" ref="O169:Q169" si="103">$N$189</f>
        <v>13400</v>
      </c>
      <c r="P169" s="212">
        <f t="shared" si="103"/>
        <v>13400</v>
      </c>
      <c r="Q169" s="213">
        <f t="shared" si="103"/>
        <v>13400</v>
      </c>
      <c r="R169" s="214"/>
      <c r="S169" s="242"/>
      <c r="T169" s="212"/>
      <c r="U169" s="212"/>
      <c r="V169" s="212"/>
      <c r="W169" s="212"/>
      <c r="X169" s="213">
        <f>$N$189</f>
        <v>13400</v>
      </c>
      <c r="Y169" s="214"/>
      <c r="Z169" s="212"/>
      <c r="AA169" s="212"/>
      <c r="AB169" s="212"/>
      <c r="AC169" s="212">
        <f>$N$189</f>
        <v>13400</v>
      </c>
      <c r="AD169" s="212"/>
      <c r="AE169" s="213">
        <f>$N$189</f>
        <v>13400</v>
      </c>
      <c r="AF169" s="214"/>
      <c r="AG169" s="212"/>
      <c r="AH169" s="212">
        <f>$N$189</f>
        <v>13400</v>
      </c>
      <c r="AI169" s="212"/>
      <c r="AJ169" s="212"/>
      <c r="AK169" s="242"/>
      <c r="AL169" s="213">
        <f>$N$189</f>
        <v>13400</v>
      </c>
      <c r="AM169" s="214"/>
      <c r="AN169" s="266">
        <f>SUM(I169:AM169)</f>
        <v>120600</v>
      </c>
      <c r="AO169" s="108"/>
      <c r="AP169" s="108"/>
      <c r="AQ169" s="108"/>
      <c r="AR169" s="108"/>
      <c r="AS169" s="108"/>
      <c r="AT169" s="108"/>
      <c r="AU169" s="428"/>
      <c r="AV169" s="428"/>
      <c r="AW169" s="121"/>
      <c r="AX169" s="428"/>
    </row>
    <row r="170" spans="1:50" hidden="1">
      <c r="A170" s="492"/>
      <c r="B170" s="500"/>
      <c r="C170" s="459"/>
      <c r="D170" s="265"/>
      <c r="E170" s="449"/>
      <c r="F170" s="459"/>
      <c r="G170" s="134"/>
      <c r="H170" s="188" t="s">
        <v>15</v>
      </c>
      <c r="I170" s="215">
        <f>27437</f>
        <v>27437</v>
      </c>
      <c r="J170" s="213"/>
      <c r="K170" s="214"/>
      <c r="L170" s="215"/>
      <c r="M170" s="215"/>
      <c r="N170" s="215"/>
      <c r="O170" s="215"/>
      <c r="P170" s="215"/>
      <c r="Q170" s="213"/>
      <c r="R170" s="214"/>
      <c r="S170" s="242"/>
      <c r="T170" s="215"/>
      <c r="U170" s="215"/>
      <c r="V170" s="215"/>
      <c r="W170" s="215">
        <f>17984</f>
        <v>17984</v>
      </c>
      <c r="X170" s="213"/>
      <c r="Y170" s="214"/>
      <c r="Z170" s="215"/>
      <c r="AA170" s="215"/>
      <c r="AB170" s="215"/>
      <c r="AC170" s="215"/>
      <c r="AD170" s="215"/>
      <c r="AE170" s="213"/>
      <c r="AF170" s="214"/>
      <c r="AG170" s="215"/>
      <c r="AH170" s="215"/>
      <c r="AI170" s="215"/>
      <c r="AJ170" s="215"/>
      <c r="AK170" s="242"/>
      <c r="AL170" s="213"/>
      <c r="AM170" s="214"/>
      <c r="AN170" s="265">
        <f>SUM(I170:AM170)</f>
        <v>45421</v>
      </c>
      <c r="AO170" s="108"/>
      <c r="AP170" s="108"/>
      <c r="AQ170" s="108"/>
      <c r="AR170" s="108"/>
      <c r="AS170" s="108"/>
      <c r="AT170" s="108"/>
      <c r="AU170" s="428"/>
      <c r="AV170" s="428"/>
      <c r="AW170" s="121"/>
      <c r="AX170" s="428"/>
    </row>
    <row r="171" spans="1:50" hidden="1">
      <c r="A171" s="492"/>
      <c r="B171" s="500"/>
      <c r="C171" s="459"/>
      <c r="D171" s="265"/>
      <c r="E171" s="449"/>
      <c r="F171" s="459"/>
      <c r="G171" s="190" t="s">
        <v>79</v>
      </c>
      <c r="H171" s="187" t="s">
        <v>80</v>
      </c>
      <c r="I171" s="212"/>
      <c r="J171" s="213">
        <f>$N$186+$N$189</f>
        <v>26800</v>
      </c>
      <c r="K171" s="214"/>
      <c r="L171" s="212"/>
      <c r="M171" s="212"/>
      <c r="N171" s="212"/>
      <c r="O171" s="212">
        <f t="shared" ref="O171:Q171" si="104">$N$186+$N$189</f>
        <v>26800</v>
      </c>
      <c r="P171" s="212">
        <f t="shared" si="104"/>
        <v>26800</v>
      </c>
      <c r="Q171" s="213">
        <f t="shared" si="104"/>
        <v>26800</v>
      </c>
      <c r="R171" s="214"/>
      <c r="S171" s="242"/>
      <c r="T171" s="212"/>
      <c r="U171" s="212"/>
      <c r="V171" s="212"/>
      <c r="W171" s="212"/>
      <c r="X171" s="213">
        <f>$N$186+$N$189</f>
        <v>26800</v>
      </c>
      <c r="Y171" s="214"/>
      <c r="Z171" s="212"/>
      <c r="AA171" s="212"/>
      <c r="AB171" s="212"/>
      <c r="AC171" s="212">
        <f>$N$186+$N$189</f>
        <v>26800</v>
      </c>
      <c r="AD171" s="212"/>
      <c r="AE171" s="213">
        <f>$N$186+$N$189</f>
        <v>26800</v>
      </c>
      <c r="AF171" s="214"/>
      <c r="AG171" s="212"/>
      <c r="AH171" s="212">
        <f>$N$186+$N$189</f>
        <v>26800</v>
      </c>
      <c r="AI171" s="212"/>
      <c r="AJ171" s="212"/>
      <c r="AK171" s="242"/>
      <c r="AL171" s="213">
        <f>$N$186+$N$189</f>
        <v>26800</v>
      </c>
      <c r="AM171" s="214"/>
      <c r="AN171" s="266">
        <f>SUM(I171:AM171)</f>
        <v>241200</v>
      </c>
      <c r="AO171" s="108"/>
      <c r="AP171" s="108"/>
      <c r="AQ171" s="108"/>
      <c r="AR171" s="108"/>
      <c r="AS171" s="108"/>
      <c r="AT171" s="108"/>
      <c r="AU171" s="428"/>
      <c r="AV171" s="428"/>
      <c r="AW171" s="121"/>
      <c r="AX171" s="428"/>
    </row>
    <row r="172" spans="1:50" hidden="1">
      <c r="A172" s="492"/>
      <c r="B172" s="500"/>
      <c r="C172" s="459"/>
      <c r="D172" s="265"/>
      <c r="E172" s="449"/>
      <c r="F172" s="459"/>
      <c r="G172" s="190"/>
      <c r="H172" s="187" t="s">
        <v>27</v>
      </c>
      <c r="I172" s="212"/>
      <c r="J172" s="213">
        <v>1</v>
      </c>
      <c r="K172" s="214"/>
      <c r="L172" s="212"/>
      <c r="M172" s="212"/>
      <c r="N172" s="212"/>
      <c r="O172" s="212">
        <v>1</v>
      </c>
      <c r="P172" s="212">
        <v>1</v>
      </c>
      <c r="Q172" s="213">
        <v>1</v>
      </c>
      <c r="R172" s="214"/>
      <c r="S172" s="242"/>
      <c r="T172" s="212"/>
      <c r="U172" s="212"/>
      <c r="V172" s="212"/>
      <c r="W172" s="212"/>
      <c r="X172" s="213">
        <v>1</v>
      </c>
      <c r="Y172" s="214"/>
      <c r="Z172" s="212"/>
      <c r="AA172" s="212"/>
      <c r="AB172" s="212"/>
      <c r="AC172" s="212">
        <v>1</v>
      </c>
      <c r="AD172" s="212"/>
      <c r="AE172" s="213">
        <v>1</v>
      </c>
      <c r="AF172" s="214"/>
      <c r="AG172" s="212"/>
      <c r="AH172" s="212">
        <v>1</v>
      </c>
      <c r="AI172" s="212"/>
      <c r="AJ172" s="212"/>
      <c r="AK172" s="242"/>
      <c r="AL172" s="213">
        <v>1</v>
      </c>
      <c r="AM172" s="214"/>
      <c r="AN172" s="266"/>
      <c r="AO172" s="108"/>
      <c r="AP172" s="108"/>
      <c r="AQ172" s="108"/>
      <c r="AR172" s="108"/>
      <c r="AS172" s="108"/>
      <c r="AT172" s="108"/>
      <c r="AU172" s="428"/>
      <c r="AV172" s="428"/>
      <c r="AW172" s="121"/>
      <c r="AX172" s="428"/>
    </row>
    <row r="173" spans="1:50" hidden="1">
      <c r="A173" s="492"/>
      <c r="B173" s="500"/>
      <c r="C173" s="459"/>
      <c r="D173" s="265"/>
      <c r="E173" s="449"/>
      <c r="F173" s="459"/>
      <c r="G173" s="134"/>
      <c r="H173" s="188" t="s">
        <v>15</v>
      </c>
      <c r="I173" s="215">
        <f>32608</f>
        <v>32608</v>
      </c>
      <c r="J173" s="213"/>
      <c r="K173" s="214"/>
      <c r="L173" s="215"/>
      <c r="M173" s="215"/>
      <c r="N173" s="215"/>
      <c r="O173" s="215">
        <f>18894</f>
        <v>18894</v>
      </c>
      <c r="P173" s="215">
        <f>18894</f>
        <v>18894</v>
      </c>
      <c r="Q173" s="213"/>
      <c r="R173" s="214"/>
      <c r="S173" s="242"/>
      <c r="T173" s="215"/>
      <c r="U173" s="215"/>
      <c r="V173" s="215"/>
      <c r="W173" s="215"/>
      <c r="X173" s="213"/>
      <c r="Y173" s="214"/>
      <c r="Z173" s="215"/>
      <c r="AA173" s="215"/>
      <c r="AB173" s="215"/>
      <c r="AC173" s="215"/>
      <c r="AD173" s="215"/>
      <c r="AE173" s="213"/>
      <c r="AF173" s="214"/>
      <c r="AG173" s="215"/>
      <c r="AH173" s="215"/>
      <c r="AI173" s="215"/>
      <c r="AJ173" s="215"/>
      <c r="AK173" s="242"/>
      <c r="AL173" s="213"/>
      <c r="AM173" s="214"/>
      <c r="AN173" s="265">
        <f>SUM(I173:AM173)</f>
        <v>70396</v>
      </c>
      <c r="AO173" s="108"/>
      <c r="AP173" s="108"/>
      <c r="AQ173" s="108"/>
      <c r="AR173" s="108"/>
      <c r="AS173" s="108"/>
      <c r="AT173" s="108"/>
      <c r="AU173" s="428"/>
      <c r="AV173" s="428"/>
      <c r="AW173" s="121"/>
      <c r="AX173" s="428"/>
    </row>
    <row r="174" spans="1:50" hidden="1">
      <c r="A174" s="492"/>
      <c r="B174" s="500"/>
      <c r="C174" s="459"/>
      <c r="D174" s="265"/>
      <c r="E174" s="449"/>
      <c r="F174" s="459"/>
      <c r="G174" s="134"/>
      <c r="H174" s="187" t="s">
        <v>81</v>
      </c>
      <c r="I174" s="235"/>
      <c r="J174" s="236">
        <f t="shared" ref="J174:S174" si="105">$N$186/2</f>
        <v>6700</v>
      </c>
      <c r="K174" s="237">
        <f t="shared" si="105"/>
        <v>6700</v>
      </c>
      <c r="L174" s="212"/>
      <c r="M174" s="212"/>
      <c r="N174" s="212"/>
      <c r="O174" s="212">
        <f t="shared" si="105"/>
        <v>6700</v>
      </c>
      <c r="P174" s="212">
        <f t="shared" si="105"/>
        <v>6700</v>
      </c>
      <c r="Q174" s="236">
        <f t="shared" si="105"/>
        <v>6700</v>
      </c>
      <c r="R174" s="237">
        <f t="shared" si="105"/>
        <v>6700</v>
      </c>
      <c r="S174" s="242">
        <f t="shared" si="105"/>
        <v>6700</v>
      </c>
      <c r="T174" s="212">
        <f t="shared" ref="T174:Z174" si="106">$N$186/2</f>
        <v>6700</v>
      </c>
      <c r="U174" s="212"/>
      <c r="V174" s="212"/>
      <c r="W174" s="212"/>
      <c r="X174" s="236">
        <f t="shared" si="106"/>
        <v>6700</v>
      </c>
      <c r="Y174" s="237">
        <f t="shared" si="106"/>
        <v>6700</v>
      </c>
      <c r="Z174" s="212">
        <f t="shared" si="106"/>
        <v>6700</v>
      </c>
      <c r="AA174" s="212"/>
      <c r="AB174" s="212"/>
      <c r="AC174" s="212">
        <f t="shared" ref="AC174:AG174" si="107">$N$186/2</f>
        <v>6700</v>
      </c>
      <c r="AD174" s="212">
        <f t="shared" si="107"/>
        <v>6700</v>
      </c>
      <c r="AE174" s="236">
        <f t="shared" si="107"/>
        <v>6700</v>
      </c>
      <c r="AF174" s="237">
        <f t="shared" si="107"/>
        <v>6700</v>
      </c>
      <c r="AG174" s="212">
        <f t="shared" si="107"/>
        <v>6700</v>
      </c>
      <c r="AH174" s="212"/>
      <c r="AI174" s="212">
        <f t="shared" ref="AI174:AM174" si="108">$N$186/2</f>
        <v>6700</v>
      </c>
      <c r="AJ174" s="212"/>
      <c r="AK174" s="242"/>
      <c r="AL174" s="236">
        <f t="shared" si="108"/>
        <v>6700</v>
      </c>
      <c r="AM174" s="237">
        <f t="shared" si="108"/>
        <v>6700</v>
      </c>
      <c r="AN174" s="266">
        <f>SUM(I174:AM174)</f>
        <v>127300</v>
      </c>
      <c r="AO174" s="108"/>
      <c r="AP174" s="108"/>
      <c r="AQ174" s="108"/>
      <c r="AR174" s="108"/>
      <c r="AS174" s="108"/>
      <c r="AT174" s="108"/>
      <c r="AU174" s="428"/>
      <c r="AV174" s="428"/>
      <c r="AW174" s="121"/>
      <c r="AX174" s="428"/>
    </row>
    <row r="175" spans="1:50" hidden="1">
      <c r="A175" s="492"/>
      <c r="B175" s="500"/>
      <c r="C175" s="459"/>
      <c r="D175" s="265"/>
      <c r="E175" s="449"/>
      <c r="F175" s="459"/>
      <c r="G175" s="134"/>
      <c r="H175" s="187" t="s">
        <v>31</v>
      </c>
      <c r="I175" s="212"/>
      <c r="J175" s="213">
        <v>1</v>
      </c>
      <c r="K175" s="214">
        <v>1</v>
      </c>
      <c r="L175" s="212"/>
      <c r="M175" s="212"/>
      <c r="N175" s="212"/>
      <c r="O175" s="212">
        <v>1</v>
      </c>
      <c r="P175" s="212">
        <v>1</v>
      </c>
      <c r="Q175" s="213">
        <v>1</v>
      </c>
      <c r="R175" s="214">
        <v>1</v>
      </c>
      <c r="S175" s="242">
        <v>1</v>
      </c>
      <c r="T175" s="212">
        <v>1</v>
      </c>
      <c r="U175" s="212"/>
      <c r="V175" s="212"/>
      <c r="W175" s="212"/>
      <c r="X175" s="213">
        <v>1</v>
      </c>
      <c r="Y175" s="214">
        <v>1</v>
      </c>
      <c r="Z175" s="212">
        <v>1</v>
      </c>
      <c r="AA175" s="212"/>
      <c r="AB175" s="212"/>
      <c r="AC175" s="212">
        <v>1</v>
      </c>
      <c r="AD175" s="212">
        <v>1</v>
      </c>
      <c r="AE175" s="213">
        <v>1</v>
      </c>
      <c r="AF175" s="214">
        <v>1</v>
      </c>
      <c r="AG175" s="212">
        <v>1</v>
      </c>
      <c r="AH175" s="212"/>
      <c r="AI175" s="212">
        <v>1</v>
      </c>
      <c r="AJ175" s="212"/>
      <c r="AK175" s="242"/>
      <c r="AL175" s="213">
        <v>1</v>
      </c>
      <c r="AM175" s="214">
        <v>1</v>
      </c>
      <c r="AN175" s="266"/>
      <c r="AO175" s="108"/>
      <c r="AP175" s="108"/>
      <c r="AQ175" s="108"/>
      <c r="AR175" s="108"/>
      <c r="AS175" s="108"/>
      <c r="AT175" s="108"/>
      <c r="AU175" s="428"/>
      <c r="AV175" s="428"/>
      <c r="AW175" s="121"/>
      <c r="AX175" s="428"/>
    </row>
    <row r="176" spans="1:50" hidden="1">
      <c r="A176" s="492"/>
      <c r="B176" s="500"/>
      <c r="C176" s="459"/>
      <c r="D176" s="265"/>
      <c r="E176" s="449"/>
      <c r="F176" s="459"/>
      <c r="G176" s="134"/>
      <c r="H176" s="188" t="s">
        <v>15</v>
      </c>
      <c r="I176" s="215"/>
      <c r="J176" s="213"/>
      <c r="K176" s="214"/>
      <c r="L176" s="215"/>
      <c r="M176" s="215"/>
      <c r="N176" s="215"/>
      <c r="O176" s="215">
        <f>3733</f>
        <v>3733</v>
      </c>
      <c r="P176" s="215">
        <f>3733</f>
        <v>3733</v>
      </c>
      <c r="Q176" s="213"/>
      <c r="R176" s="214"/>
      <c r="S176" s="242"/>
      <c r="T176" s="215"/>
      <c r="U176" s="215"/>
      <c r="V176" s="215"/>
      <c r="W176" s="215"/>
      <c r="X176" s="213"/>
      <c r="Y176" s="214"/>
      <c r="Z176" s="215"/>
      <c r="AA176" s="215"/>
      <c r="AB176" s="215"/>
      <c r="AC176" s="215"/>
      <c r="AD176" s="215"/>
      <c r="AE176" s="213"/>
      <c r="AF176" s="214"/>
      <c r="AG176" s="215"/>
      <c r="AH176" s="215"/>
      <c r="AI176" s="215"/>
      <c r="AJ176" s="215"/>
      <c r="AK176" s="242"/>
      <c r="AL176" s="213"/>
      <c r="AM176" s="214"/>
      <c r="AN176" s="265">
        <f>SUM(I176:AM176)</f>
        <v>7466</v>
      </c>
      <c r="AO176" s="108"/>
      <c r="AP176" s="108"/>
      <c r="AQ176" s="108"/>
      <c r="AR176" s="108"/>
      <c r="AS176" s="108"/>
      <c r="AT176" s="108"/>
      <c r="AU176" s="428"/>
      <c r="AV176" s="428"/>
      <c r="AW176" s="121"/>
      <c r="AX176" s="428"/>
    </row>
    <row r="177" spans="1:50" hidden="1">
      <c r="A177" s="492"/>
      <c r="B177" s="500"/>
      <c r="C177" s="459"/>
      <c r="D177" s="265"/>
      <c r="E177" s="449"/>
      <c r="F177" s="459"/>
      <c r="G177" s="134"/>
      <c r="H177" s="187" t="s">
        <v>82</v>
      </c>
      <c r="I177" s="212"/>
      <c r="J177" s="213">
        <f t="shared" ref="J177:S177" si="109">$N$189/2</f>
        <v>6700</v>
      </c>
      <c r="K177" s="214">
        <f t="shared" si="109"/>
        <v>6700</v>
      </c>
      <c r="L177" s="212"/>
      <c r="M177" s="212"/>
      <c r="N177" s="212"/>
      <c r="O177" s="212">
        <f t="shared" si="109"/>
        <v>6700</v>
      </c>
      <c r="P177" s="212">
        <f t="shared" si="109"/>
        <v>6700</v>
      </c>
      <c r="Q177" s="213">
        <f t="shared" si="109"/>
        <v>6700</v>
      </c>
      <c r="R177" s="214">
        <f t="shared" si="109"/>
        <v>6700</v>
      </c>
      <c r="S177" s="242">
        <f t="shared" si="109"/>
        <v>6700</v>
      </c>
      <c r="T177" s="212">
        <f t="shared" ref="T177:Z177" si="110">$N$189/2</f>
        <v>6700</v>
      </c>
      <c r="U177" s="212"/>
      <c r="V177" s="212"/>
      <c r="W177" s="212"/>
      <c r="X177" s="213">
        <f t="shared" si="110"/>
        <v>6700</v>
      </c>
      <c r="Y177" s="214">
        <f t="shared" si="110"/>
        <v>6700</v>
      </c>
      <c r="Z177" s="212">
        <f t="shared" si="110"/>
        <v>6700</v>
      </c>
      <c r="AA177" s="212"/>
      <c r="AB177" s="212"/>
      <c r="AC177" s="212">
        <f t="shared" ref="AC177:AI177" si="111">$N$189/2</f>
        <v>6700</v>
      </c>
      <c r="AD177" s="212">
        <f t="shared" si="111"/>
        <v>6700</v>
      </c>
      <c r="AE177" s="213">
        <f t="shared" si="111"/>
        <v>6700</v>
      </c>
      <c r="AF177" s="214">
        <f t="shared" si="111"/>
        <v>6700</v>
      </c>
      <c r="AG177" s="212">
        <f t="shared" si="111"/>
        <v>6700</v>
      </c>
      <c r="AH177" s="212">
        <f t="shared" si="111"/>
        <v>6700</v>
      </c>
      <c r="AI177" s="212">
        <f t="shared" si="111"/>
        <v>6700</v>
      </c>
      <c r="AJ177" s="212"/>
      <c r="AK177" s="255"/>
      <c r="AL177" s="213">
        <f>$N$189/2</f>
        <v>6700</v>
      </c>
      <c r="AM177" s="214">
        <f>$N$189/2</f>
        <v>6700</v>
      </c>
      <c r="AN177" s="266">
        <f>SUM(I177:AM177)</f>
        <v>134000</v>
      </c>
      <c r="AO177" s="108"/>
      <c r="AP177" s="108"/>
      <c r="AQ177" s="108"/>
      <c r="AR177" s="108"/>
      <c r="AS177" s="108"/>
      <c r="AT177" s="108"/>
      <c r="AU177" s="428"/>
      <c r="AV177" s="428"/>
      <c r="AW177" s="121"/>
      <c r="AX177" s="428"/>
    </row>
    <row r="178" spans="1:50" hidden="1">
      <c r="A178" s="492"/>
      <c r="B178" s="500"/>
      <c r="C178" s="459"/>
      <c r="D178" s="265"/>
      <c r="E178" s="449"/>
      <c r="F178" s="459"/>
      <c r="G178" s="134"/>
      <c r="H178" s="187" t="s">
        <v>31</v>
      </c>
      <c r="I178" s="212"/>
      <c r="J178" s="213">
        <v>1</v>
      </c>
      <c r="K178" s="214">
        <v>1</v>
      </c>
      <c r="L178" s="212"/>
      <c r="M178" s="212"/>
      <c r="N178" s="212"/>
      <c r="O178" s="212">
        <v>1</v>
      </c>
      <c r="P178" s="212">
        <v>1</v>
      </c>
      <c r="Q178" s="213">
        <v>1</v>
      </c>
      <c r="R178" s="214">
        <v>1</v>
      </c>
      <c r="S178" s="242">
        <v>1</v>
      </c>
      <c r="T178" s="212">
        <v>1</v>
      </c>
      <c r="U178" s="212"/>
      <c r="V178" s="212"/>
      <c r="W178" s="212"/>
      <c r="X178" s="213">
        <v>1</v>
      </c>
      <c r="Y178" s="214">
        <v>1</v>
      </c>
      <c r="Z178" s="212">
        <v>1</v>
      </c>
      <c r="AA178" s="212"/>
      <c r="AB178" s="212"/>
      <c r="AC178" s="212">
        <v>1</v>
      </c>
      <c r="AD178" s="212">
        <v>1</v>
      </c>
      <c r="AE178" s="213">
        <v>1</v>
      </c>
      <c r="AF178" s="214">
        <v>1</v>
      </c>
      <c r="AG178" s="212">
        <v>1</v>
      </c>
      <c r="AH178" s="212">
        <v>1</v>
      </c>
      <c r="AI178" s="212">
        <v>1</v>
      </c>
      <c r="AJ178" s="212"/>
      <c r="AK178" s="255"/>
      <c r="AL178" s="213">
        <v>1</v>
      </c>
      <c r="AM178" s="214">
        <v>1</v>
      </c>
      <c r="AN178" s="266"/>
      <c r="AO178" s="108"/>
      <c r="AP178" s="108"/>
      <c r="AQ178" s="108"/>
      <c r="AR178" s="108"/>
      <c r="AS178" s="108"/>
      <c r="AT178" s="108"/>
      <c r="AU178" s="428"/>
      <c r="AV178" s="428"/>
      <c r="AW178" s="121"/>
      <c r="AX178" s="428"/>
    </row>
    <row r="179" spans="1:50" hidden="1">
      <c r="A179" s="492"/>
      <c r="B179" s="500"/>
      <c r="C179" s="459"/>
      <c r="D179" s="265"/>
      <c r="E179" s="449"/>
      <c r="F179" s="459"/>
      <c r="G179" s="134"/>
      <c r="H179" s="188" t="s">
        <v>15</v>
      </c>
      <c r="I179" s="215"/>
      <c r="J179" s="213">
        <f>4020+3800+667+4461+2637</f>
        <v>15585</v>
      </c>
      <c r="K179" s="214">
        <f>2033+3400+1268+3367</f>
        <v>10068</v>
      </c>
      <c r="L179" s="215">
        <f>750+4660+3310+1299+4565+3908</f>
        <v>18492</v>
      </c>
      <c r="M179" s="215">
        <f>750+4660+3310+1299+4565+3908</f>
        <v>18492</v>
      </c>
      <c r="N179" s="215">
        <f>1358+4669+1112+2778</f>
        <v>9917</v>
      </c>
      <c r="O179" s="215">
        <f>4020+1434+4667+649</f>
        <v>10770</v>
      </c>
      <c r="P179" s="215">
        <f>4020+1434+4667+649</f>
        <v>10770</v>
      </c>
      <c r="Q179" s="213">
        <f>4020+3800+667+4461+2637</f>
        <v>15585</v>
      </c>
      <c r="R179" s="214">
        <f>2033+3400+1268+3367</f>
        <v>10068</v>
      </c>
      <c r="S179" s="242"/>
      <c r="T179" s="215"/>
      <c r="U179" s="215"/>
      <c r="V179" s="215"/>
      <c r="W179" s="215"/>
      <c r="X179" s="213">
        <f>4020+3800+667+4461+2637</f>
        <v>15585</v>
      </c>
      <c r="Y179" s="214">
        <f>2033+3400+1268+3367</f>
        <v>10068</v>
      </c>
      <c r="Z179" s="215"/>
      <c r="AA179" s="215"/>
      <c r="AB179" s="215"/>
      <c r="AC179" s="215"/>
      <c r="AD179" s="215"/>
      <c r="AE179" s="213">
        <f>4020+3800+667+4461+2637</f>
        <v>15585</v>
      </c>
      <c r="AF179" s="214">
        <f>2033+3400+1268+3367</f>
        <v>10068</v>
      </c>
      <c r="AG179" s="215"/>
      <c r="AH179" s="215"/>
      <c r="AI179" s="215"/>
      <c r="AJ179" s="215"/>
      <c r="AK179" s="255"/>
      <c r="AL179" s="213">
        <f>4020+3800+667+4461+2637</f>
        <v>15585</v>
      </c>
      <c r="AM179" s="214">
        <f>2033+3400+1268+3367</f>
        <v>10068</v>
      </c>
      <c r="AN179" s="265">
        <f>SUM(I179:AM179)</f>
        <v>196706</v>
      </c>
      <c r="AO179" s="108"/>
      <c r="AP179" s="108"/>
      <c r="AQ179" s="108"/>
      <c r="AR179" s="108"/>
      <c r="AS179" s="108"/>
      <c r="AT179" s="108"/>
      <c r="AU179" s="428"/>
      <c r="AV179" s="428"/>
      <c r="AW179" s="121"/>
      <c r="AX179" s="428"/>
    </row>
    <row r="180" spans="1:50" hidden="1">
      <c r="A180" s="492"/>
      <c r="B180" s="500"/>
      <c r="C180" s="459"/>
      <c r="D180" s="265"/>
      <c r="E180" s="449"/>
      <c r="F180" s="459"/>
      <c r="G180" s="134"/>
      <c r="H180" s="187" t="s">
        <v>83</v>
      </c>
      <c r="I180" s="212">
        <f t="shared" ref="I180:L180" si="112">$N$186/4</f>
        <v>3350</v>
      </c>
      <c r="J180" s="213">
        <f t="shared" si="112"/>
        <v>3350</v>
      </c>
      <c r="K180" s="214">
        <f t="shared" si="112"/>
        <v>3350</v>
      </c>
      <c r="L180" s="212">
        <f t="shared" si="112"/>
        <v>3350</v>
      </c>
      <c r="M180" s="212">
        <f t="shared" ref="M180:S180" si="113">$N$186/4</f>
        <v>3350</v>
      </c>
      <c r="N180" s="212">
        <f t="shared" si="113"/>
        <v>3350</v>
      </c>
      <c r="O180" s="212">
        <f t="shared" si="113"/>
        <v>3350</v>
      </c>
      <c r="P180" s="212">
        <f t="shared" si="113"/>
        <v>3350</v>
      </c>
      <c r="Q180" s="213">
        <f t="shared" si="113"/>
        <v>3350</v>
      </c>
      <c r="R180" s="214">
        <f t="shared" si="113"/>
        <v>3350</v>
      </c>
      <c r="S180" s="242">
        <f t="shared" si="113"/>
        <v>3350</v>
      </c>
      <c r="T180" s="212">
        <f t="shared" ref="T180:Z180" si="114">$N$186/4</f>
        <v>3350</v>
      </c>
      <c r="U180" s="212">
        <f t="shared" si="114"/>
        <v>3350</v>
      </c>
      <c r="V180" s="212">
        <f t="shared" si="114"/>
        <v>3350</v>
      </c>
      <c r="W180" s="212">
        <f t="shared" si="114"/>
        <v>3350</v>
      </c>
      <c r="X180" s="213">
        <f t="shared" si="114"/>
        <v>3350</v>
      </c>
      <c r="Y180" s="214">
        <f t="shared" si="114"/>
        <v>3350</v>
      </c>
      <c r="Z180" s="212">
        <f t="shared" si="114"/>
        <v>3350</v>
      </c>
      <c r="AA180" s="212">
        <f t="shared" ref="AA180:AG180" si="115">$N$186/4</f>
        <v>3350</v>
      </c>
      <c r="AB180" s="212">
        <f t="shared" si="115"/>
        <v>3350</v>
      </c>
      <c r="AC180" s="212">
        <f t="shared" si="115"/>
        <v>3350</v>
      </c>
      <c r="AD180" s="212">
        <f t="shared" si="115"/>
        <v>3350</v>
      </c>
      <c r="AE180" s="213">
        <f t="shared" si="115"/>
        <v>3350</v>
      </c>
      <c r="AF180" s="214">
        <f t="shared" si="115"/>
        <v>3350</v>
      </c>
      <c r="AG180" s="212">
        <f t="shared" si="115"/>
        <v>3350</v>
      </c>
      <c r="AH180" s="212">
        <f t="shared" ref="AH180:AM180" si="116">$N$186/4</f>
        <v>3350</v>
      </c>
      <c r="AI180" s="212">
        <f t="shared" si="116"/>
        <v>3350</v>
      </c>
      <c r="AJ180" s="212">
        <f t="shared" si="116"/>
        <v>3350</v>
      </c>
      <c r="AK180" s="242"/>
      <c r="AL180" s="213">
        <f t="shared" si="116"/>
        <v>3350</v>
      </c>
      <c r="AM180" s="214">
        <f t="shared" si="116"/>
        <v>3350</v>
      </c>
      <c r="AN180" s="266">
        <f>SUM(I180:AM180)</f>
        <v>100500</v>
      </c>
      <c r="AO180" s="108"/>
      <c r="AP180" s="108"/>
      <c r="AQ180" s="108"/>
      <c r="AR180" s="108"/>
      <c r="AS180" s="108"/>
      <c r="AT180" s="108"/>
      <c r="AU180" s="428"/>
      <c r="AV180" s="428"/>
      <c r="AW180" s="121"/>
      <c r="AX180" s="428"/>
    </row>
    <row r="181" spans="1:50" hidden="1">
      <c r="A181" s="492"/>
      <c r="B181" s="500"/>
      <c r="C181" s="459"/>
      <c r="D181" s="265"/>
      <c r="E181" s="449"/>
      <c r="F181" s="459"/>
      <c r="G181" s="134"/>
      <c r="H181" s="187" t="s">
        <v>84</v>
      </c>
      <c r="I181" s="212">
        <v>3</v>
      </c>
      <c r="J181" s="213">
        <v>3</v>
      </c>
      <c r="K181" s="214">
        <v>3</v>
      </c>
      <c r="L181" s="212">
        <v>3</v>
      </c>
      <c r="M181" s="212">
        <v>3</v>
      </c>
      <c r="N181" s="212">
        <v>3</v>
      </c>
      <c r="O181" s="212">
        <v>3</v>
      </c>
      <c r="P181" s="212">
        <v>3</v>
      </c>
      <c r="Q181" s="213">
        <v>3</v>
      </c>
      <c r="R181" s="214">
        <v>3</v>
      </c>
      <c r="S181" s="242">
        <v>3</v>
      </c>
      <c r="T181" s="212">
        <v>3</v>
      </c>
      <c r="U181" s="212">
        <v>3</v>
      </c>
      <c r="V181" s="212">
        <v>3</v>
      </c>
      <c r="W181" s="212">
        <v>3</v>
      </c>
      <c r="X181" s="213">
        <v>3</v>
      </c>
      <c r="Y181" s="214">
        <v>3</v>
      </c>
      <c r="Z181" s="212">
        <v>3</v>
      </c>
      <c r="AA181" s="212">
        <v>3</v>
      </c>
      <c r="AB181" s="212">
        <v>3</v>
      </c>
      <c r="AC181" s="212">
        <v>3</v>
      </c>
      <c r="AD181" s="212">
        <v>3</v>
      </c>
      <c r="AE181" s="213">
        <v>3</v>
      </c>
      <c r="AF181" s="214">
        <v>3</v>
      </c>
      <c r="AG181" s="212">
        <v>3</v>
      </c>
      <c r="AH181" s="212">
        <v>3</v>
      </c>
      <c r="AI181" s="212">
        <v>3</v>
      </c>
      <c r="AJ181" s="212">
        <v>3</v>
      </c>
      <c r="AK181" s="242"/>
      <c r="AL181" s="213">
        <v>3</v>
      </c>
      <c r="AM181" s="214">
        <v>3</v>
      </c>
      <c r="AN181" s="266"/>
      <c r="AO181" s="108"/>
      <c r="AP181" s="108"/>
      <c r="AQ181" s="108"/>
      <c r="AR181" s="108"/>
      <c r="AS181" s="108"/>
      <c r="AT181" s="108"/>
      <c r="AU181" s="428"/>
      <c r="AV181" s="428"/>
      <c r="AW181" s="121"/>
      <c r="AX181" s="428"/>
    </row>
    <row r="182" spans="1:50" hidden="1">
      <c r="A182" s="492"/>
      <c r="B182" s="500"/>
      <c r="C182" s="459"/>
      <c r="D182" s="265"/>
      <c r="E182" s="449"/>
      <c r="F182" s="459"/>
      <c r="G182" s="134"/>
      <c r="H182" s="188" t="s">
        <v>15</v>
      </c>
      <c r="I182" s="215"/>
      <c r="J182" s="213"/>
      <c r="K182" s="214"/>
      <c r="L182" s="215"/>
      <c r="M182" s="215"/>
      <c r="N182" s="215"/>
      <c r="O182" s="215">
        <v>4018</v>
      </c>
      <c r="P182" s="215">
        <v>4018</v>
      </c>
      <c r="Q182" s="213"/>
      <c r="R182" s="214"/>
      <c r="S182" s="242">
        <f>1642+1377+1291+977+1326</f>
        <v>6613</v>
      </c>
      <c r="T182" s="215">
        <f>1642+1377+1291+977+1326</f>
        <v>6613</v>
      </c>
      <c r="U182" s="215">
        <f>1502+862</f>
        <v>2364</v>
      </c>
      <c r="V182" s="215">
        <f>1502+862</f>
        <v>2364</v>
      </c>
      <c r="W182" s="215"/>
      <c r="X182" s="213"/>
      <c r="Y182" s="214"/>
      <c r="Z182" s="215"/>
      <c r="AA182" s="215"/>
      <c r="AB182" s="215"/>
      <c r="AC182" s="215"/>
      <c r="AD182" s="215"/>
      <c r="AE182" s="213"/>
      <c r="AF182" s="214"/>
      <c r="AG182" s="215"/>
      <c r="AH182" s="215"/>
      <c r="AI182" s="215"/>
      <c r="AJ182" s="215"/>
      <c r="AK182" s="242"/>
      <c r="AL182" s="213"/>
      <c r="AM182" s="214"/>
      <c r="AN182" s="265">
        <f>SUM(I182:AM182)</f>
        <v>25990</v>
      </c>
      <c r="AO182" s="108"/>
      <c r="AP182" s="108"/>
      <c r="AQ182" s="108"/>
      <c r="AR182" s="428"/>
      <c r="AS182" s="108"/>
      <c r="AT182" s="108"/>
      <c r="AU182" s="428"/>
      <c r="AV182" s="428"/>
      <c r="AW182" s="121"/>
      <c r="AX182" s="428"/>
    </row>
    <row r="183" spans="1:50" hidden="1">
      <c r="A183" s="492"/>
      <c r="B183" s="500"/>
      <c r="C183" s="459"/>
      <c r="D183" s="265"/>
      <c r="E183" s="449"/>
      <c r="F183" s="459"/>
      <c r="G183" s="134"/>
      <c r="H183" s="187" t="s">
        <v>85</v>
      </c>
      <c r="I183" s="212">
        <f t="shared" ref="I183:L183" si="117">$N$189/4</f>
        <v>3350</v>
      </c>
      <c r="J183" s="213">
        <f t="shared" si="117"/>
        <v>3350</v>
      </c>
      <c r="K183" s="214">
        <f t="shared" si="117"/>
        <v>3350</v>
      </c>
      <c r="L183" s="212">
        <f t="shared" si="117"/>
        <v>3350</v>
      </c>
      <c r="M183" s="212">
        <f t="shared" ref="M183:S183" si="118">$N$189/4</f>
        <v>3350</v>
      </c>
      <c r="N183" s="212">
        <f t="shared" si="118"/>
        <v>3350</v>
      </c>
      <c r="O183" s="212">
        <f t="shared" si="118"/>
        <v>3350</v>
      </c>
      <c r="P183" s="212">
        <f t="shared" si="118"/>
        <v>3350</v>
      </c>
      <c r="Q183" s="213">
        <f t="shared" si="118"/>
        <v>3350</v>
      </c>
      <c r="R183" s="214">
        <f t="shared" si="118"/>
        <v>3350</v>
      </c>
      <c r="S183" s="242">
        <f t="shared" si="118"/>
        <v>3350</v>
      </c>
      <c r="T183" s="212">
        <f t="shared" ref="T183:Z183" si="119">$N$189/4</f>
        <v>3350</v>
      </c>
      <c r="U183" s="212">
        <f t="shared" si="119"/>
        <v>3350</v>
      </c>
      <c r="V183" s="212">
        <f t="shared" si="119"/>
        <v>3350</v>
      </c>
      <c r="W183" s="212">
        <f t="shared" si="119"/>
        <v>3350</v>
      </c>
      <c r="X183" s="213">
        <f t="shared" si="119"/>
        <v>3350</v>
      </c>
      <c r="Y183" s="214">
        <f t="shared" si="119"/>
        <v>3350</v>
      </c>
      <c r="Z183" s="212">
        <f t="shared" si="119"/>
        <v>3350</v>
      </c>
      <c r="AA183" s="212">
        <f t="shared" ref="AA183:AG183" si="120">$N$189/4</f>
        <v>3350</v>
      </c>
      <c r="AB183" s="212">
        <f t="shared" si="120"/>
        <v>3350</v>
      </c>
      <c r="AC183" s="212">
        <f t="shared" si="120"/>
        <v>3350</v>
      </c>
      <c r="AD183" s="212">
        <f t="shared" si="120"/>
        <v>3350</v>
      </c>
      <c r="AE183" s="213">
        <f t="shared" si="120"/>
        <v>3350</v>
      </c>
      <c r="AF183" s="214">
        <f t="shared" si="120"/>
        <v>3350</v>
      </c>
      <c r="AG183" s="212">
        <f t="shared" si="120"/>
        <v>3350</v>
      </c>
      <c r="AH183" s="212">
        <f t="shared" ref="AH183:AM183" si="121">$N$189/4</f>
        <v>3350</v>
      </c>
      <c r="AI183" s="212">
        <f t="shared" si="121"/>
        <v>3350</v>
      </c>
      <c r="AJ183" s="212">
        <f t="shared" si="121"/>
        <v>3350</v>
      </c>
      <c r="AK183" s="255"/>
      <c r="AL183" s="213">
        <f t="shared" si="121"/>
        <v>3350</v>
      </c>
      <c r="AM183" s="214">
        <f t="shared" si="121"/>
        <v>3350</v>
      </c>
      <c r="AN183" s="266">
        <f>SUM(I183:AM183)</f>
        <v>100500</v>
      </c>
      <c r="AO183" s="108"/>
      <c r="AP183" s="108"/>
      <c r="AQ183" s="108"/>
      <c r="AR183" s="428"/>
      <c r="AS183" s="108"/>
      <c r="AT183" s="108"/>
      <c r="AU183" s="428"/>
      <c r="AV183" s="428"/>
      <c r="AW183" s="121"/>
      <c r="AX183" s="428"/>
    </row>
    <row r="184" spans="1:50" hidden="1">
      <c r="A184" s="492"/>
      <c r="B184" s="500"/>
      <c r="C184" s="459"/>
      <c r="D184" s="265"/>
      <c r="E184" s="449"/>
      <c r="F184" s="459"/>
      <c r="G184" s="134"/>
      <c r="H184" s="187" t="s">
        <v>84</v>
      </c>
      <c r="I184" s="212">
        <v>3</v>
      </c>
      <c r="J184" s="213">
        <v>3</v>
      </c>
      <c r="K184" s="214">
        <v>3</v>
      </c>
      <c r="L184" s="212">
        <v>3</v>
      </c>
      <c r="M184" s="212">
        <v>3</v>
      </c>
      <c r="N184" s="212">
        <v>3</v>
      </c>
      <c r="O184" s="212">
        <v>3</v>
      </c>
      <c r="P184" s="212">
        <v>3</v>
      </c>
      <c r="Q184" s="213">
        <v>3</v>
      </c>
      <c r="R184" s="214">
        <v>3</v>
      </c>
      <c r="S184" s="242">
        <v>3</v>
      </c>
      <c r="T184" s="212">
        <v>3</v>
      </c>
      <c r="U184" s="212">
        <v>3</v>
      </c>
      <c r="V184" s="212">
        <v>3</v>
      </c>
      <c r="W184" s="212">
        <v>3</v>
      </c>
      <c r="X184" s="213">
        <v>3</v>
      </c>
      <c r="Y184" s="214">
        <v>3</v>
      </c>
      <c r="Z184" s="212">
        <v>3</v>
      </c>
      <c r="AA184" s="212">
        <v>3</v>
      </c>
      <c r="AB184" s="212">
        <v>3</v>
      </c>
      <c r="AC184" s="212">
        <v>3</v>
      </c>
      <c r="AD184" s="212">
        <v>3</v>
      </c>
      <c r="AE184" s="213">
        <v>3</v>
      </c>
      <c r="AF184" s="214">
        <v>3</v>
      </c>
      <c r="AG184" s="212">
        <v>3</v>
      </c>
      <c r="AH184" s="212">
        <v>3</v>
      </c>
      <c r="AI184" s="212">
        <v>3</v>
      </c>
      <c r="AJ184" s="212">
        <v>3</v>
      </c>
      <c r="AK184" s="255"/>
      <c r="AL184" s="213">
        <v>3</v>
      </c>
      <c r="AM184" s="214">
        <v>3</v>
      </c>
      <c r="AN184" s="266"/>
      <c r="AO184" s="108"/>
      <c r="AP184" s="108"/>
      <c r="AQ184" s="108"/>
      <c r="AR184" s="428"/>
      <c r="AS184" s="108"/>
      <c r="AT184" s="108"/>
      <c r="AU184" s="428"/>
      <c r="AV184" s="428"/>
      <c r="AW184" s="121"/>
      <c r="AX184" s="428"/>
    </row>
    <row r="185" spans="1:50" hidden="1">
      <c r="A185" s="492"/>
      <c r="B185" s="500"/>
      <c r="C185" s="459"/>
      <c r="D185" s="265"/>
      <c r="E185" s="449"/>
      <c r="F185" s="459"/>
      <c r="G185" s="134"/>
      <c r="H185" s="188" t="s">
        <v>15</v>
      </c>
      <c r="I185" s="215">
        <v>4456</v>
      </c>
      <c r="J185" s="213">
        <v>4536</v>
      </c>
      <c r="K185" s="214">
        <v>7057</v>
      </c>
      <c r="L185" s="215">
        <v>5034</v>
      </c>
      <c r="M185" s="215">
        <v>5034</v>
      </c>
      <c r="N185" s="215">
        <v>8037</v>
      </c>
      <c r="O185" s="215">
        <v>6729</v>
      </c>
      <c r="P185" s="215">
        <v>6729</v>
      </c>
      <c r="Q185" s="213">
        <v>4536</v>
      </c>
      <c r="R185" s="214">
        <v>7057</v>
      </c>
      <c r="S185" s="242">
        <v>7188</v>
      </c>
      <c r="T185" s="215">
        <v>7188</v>
      </c>
      <c r="U185" s="215">
        <v>7441</v>
      </c>
      <c r="V185" s="215">
        <v>7441</v>
      </c>
      <c r="W185" s="215">
        <f>1323+479+1189+1447+1464+1414</f>
        <v>7316</v>
      </c>
      <c r="X185" s="213">
        <v>4536</v>
      </c>
      <c r="Y185" s="214">
        <v>7057</v>
      </c>
      <c r="Z185" s="215"/>
      <c r="AA185" s="215"/>
      <c r="AB185" s="215"/>
      <c r="AC185" s="215"/>
      <c r="AD185" s="215"/>
      <c r="AE185" s="213">
        <v>4536</v>
      </c>
      <c r="AF185" s="214">
        <v>7057</v>
      </c>
      <c r="AG185" s="215"/>
      <c r="AH185" s="215"/>
      <c r="AI185" s="215"/>
      <c r="AJ185" s="215"/>
      <c r="AK185" s="255"/>
      <c r="AL185" s="213">
        <v>4536</v>
      </c>
      <c r="AM185" s="214">
        <v>7057</v>
      </c>
      <c r="AN185" s="265">
        <f>SUM(I185:AM185)</f>
        <v>130558</v>
      </c>
      <c r="AO185" s="108"/>
      <c r="AP185" s="108"/>
      <c r="AQ185" s="108"/>
      <c r="AR185" s="428"/>
      <c r="AS185" s="108"/>
      <c r="AT185" s="108"/>
      <c r="AU185" s="428"/>
      <c r="AV185" s="428"/>
      <c r="AW185" s="121"/>
      <c r="AX185" s="428"/>
    </row>
    <row r="186" spans="1:50" hidden="1">
      <c r="A186" s="492"/>
      <c r="B186" s="500"/>
      <c r="C186" s="459"/>
      <c r="D186" s="265"/>
      <c r="E186" s="449"/>
      <c r="F186" s="459"/>
      <c r="G186" s="134" t="s">
        <v>86</v>
      </c>
      <c r="H186" s="187" t="s">
        <v>32</v>
      </c>
      <c r="I186" s="212"/>
      <c r="J186" s="213"/>
      <c r="K186" s="214"/>
      <c r="L186" s="212"/>
      <c r="M186" s="212"/>
      <c r="N186" s="212">
        <f>3350*4</f>
        <v>13400</v>
      </c>
      <c r="O186" s="212"/>
      <c r="P186" s="212"/>
      <c r="Q186" s="213"/>
      <c r="R186" s="214"/>
      <c r="S186" s="242"/>
      <c r="T186" s="212"/>
      <c r="U186" s="212"/>
      <c r="V186" s="212"/>
      <c r="W186" s="212">
        <f>3350*4</f>
        <v>13400</v>
      </c>
      <c r="X186" s="213"/>
      <c r="Y186" s="214"/>
      <c r="Z186" s="212"/>
      <c r="AA186" s="212"/>
      <c r="AB186" s="212">
        <f>3350*4</f>
        <v>13400</v>
      </c>
      <c r="AC186" s="212"/>
      <c r="AD186" s="212"/>
      <c r="AE186" s="213"/>
      <c r="AF186" s="214"/>
      <c r="AG186" s="212"/>
      <c r="AH186" s="212"/>
      <c r="AI186" s="212"/>
      <c r="AJ186" s="212"/>
      <c r="AK186" s="242"/>
      <c r="AL186" s="213"/>
      <c r="AM186" s="214"/>
      <c r="AN186" s="266">
        <f>SUM(I186:AM186)</f>
        <v>40200</v>
      </c>
      <c r="AO186" s="108"/>
      <c r="AP186" s="108"/>
      <c r="AQ186" s="108"/>
      <c r="AR186" s="428"/>
      <c r="AS186" s="108"/>
      <c r="AT186" s="108"/>
      <c r="AU186" s="428"/>
      <c r="AV186" s="428"/>
      <c r="AW186" s="121"/>
      <c r="AX186" s="428"/>
    </row>
    <row r="187" spans="1:50" hidden="1">
      <c r="A187" s="492"/>
      <c r="B187" s="500"/>
      <c r="C187" s="459"/>
      <c r="D187" s="265"/>
      <c r="E187" s="449"/>
      <c r="F187" s="459"/>
      <c r="G187" s="134"/>
      <c r="H187" s="187" t="s">
        <v>51</v>
      </c>
      <c r="I187" s="212"/>
      <c r="J187" s="213"/>
      <c r="K187" s="214"/>
      <c r="L187" s="212"/>
      <c r="M187" s="212"/>
      <c r="N187" s="212">
        <v>1</v>
      </c>
      <c r="O187" s="212"/>
      <c r="P187" s="212"/>
      <c r="Q187" s="213"/>
      <c r="R187" s="214"/>
      <c r="S187" s="242"/>
      <c r="T187" s="212"/>
      <c r="U187" s="212"/>
      <c r="V187" s="212"/>
      <c r="W187" s="212">
        <v>1</v>
      </c>
      <c r="X187" s="213"/>
      <c r="Y187" s="214"/>
      <c r="Z187" s="212"/>
      <c r="AA187" s="212"/>
      <c r="AB187" s="212">
        <v>1</v>
      </c>
      <c r="AC187" s="212"/>
      <c r="AD187" s="212"/>
      <c r="AE187" s="213"/>
      <c r="AF187" s="214"/>
      <c r="AG187" s="212"/>
      <c r="AH187" s="212"/>
      <c r="AI187" s="212"/>
      <c r="AJ187" s="212"/>
      <c r="AK187" s="242"/>
      <c r="AL187" s="213"/>
      <c r="AM187" s="214"/>
      <c r="AN187" s="266"/>
      <c r="AO187" s="108"/>
      <c r="AP187" s="108"/>
      <c r="AQ187" s="108"/>
      <c r="AR187" s="428"/>
      <c r="AS187" s="108"/>
      <c r="AT187" s="108"/>
      <c r="AU187" s="428"/>
      <c r="AV187" s="428"/>
      <c r="AW187" s="121"/>
      <c r="AX187" s="428"/>
    </row>
    <row r="188" spans="1:50" hidden="1">
      <c r="A188" s="492"/>
      <c r="B188" s="500"/>
      <c r="C188" s="459"/>
      <c r="D188" s="265"/>
      <c r="E188" s="449"/>
      <c r="F188" s="459"/>
      <c r="G188" s="134"/>
      <c r="H188" s="188" t="s">
        <v>15</v>
      </c>
      <c r="I188" s="215"/>
      <c r="J188" s="213"/>
      <c r="K188" s="214"/>
      <c r="L188" s="215"/>
      <c r="M188" s="215"/>
      <c r="N188" s="215"/>
      <c r="O188" s="215"/>
      <c r="P188" s="215"/>
      <c r="Q188" s="213"/>
      <c r="R188" s="214"/>
      <c r="S188" s="242"/>
      <c r="T188" s="215"/>
      <c r="U188" s="215"/>
      <c r="V188" s="215"/>
      <c r="W188" s="215"/>
      <c r="X188" s="213"/>
      <c r="Y188" s="214"/>
      <c r="Z188" s="215"/>
      <c r="AA188" s="215"/>
      <c r="AB188" s="215"/>
      <c r="AC188" s="215"/>
      <c r="AD188" s="215"/>
      <c r="AE188" s="213"/>
      <c r="AF188" s="214"/>
      <c r="AG188" s="215"/>
      <c r="AH188" s="215"/>
      <c r="AI188" s="215"/>
      <c r="AJ188" s="215"/>
      <c r="AK188" s="242"/>
      <c r="AL188" s="213"/>
      <c r="AM188" s="214"/>
      <c r="AN188" s="265">
        <f>SUM(I188:AM188)</f>
        <v>0</v>
      </c>
      <c r="AO188" s="108"/>
      <c r="AP188" s="108"/>
      <c r="AQ188" s="108"/>
      <c r="AR188" s="428"/>
      <c r="AS188" s="108"/>
      <c r="AT188" s="108"/>
      <c r="AU188" s="428"/>
      <c r="AV188" s="428"/>
      <c r="AW188" s="121"/>
      <c r="AX188" s="428"/>
    </row>
    <row r="189" spans="1:50" hidden="1">
      <c r="A189" s="492"/>
      <c r="B189" s="500"/>
      <c r="C189" s="459"/>
      <c r="D189" s="265"/>
      <c r="E189" s="265"/>
      <c r="F189" s="459"/>
      <c r="G189" s="134" t="s">
        <v>87</v>
      </c>
      <c r="H189" s="187" t="s">
        <v>32</v>
      </c>
      <c r="I189" s="212"/>
      <c r="J189" s="213"/>
      <c r="K189" s="214"/>
      <c r="L189" s="212"/>
      <c r="M189" s="212"/>
      <c r="N189" s="212">
        <f>3350*4</f>
        <v>13400</v>
      </c>
      <c r="O189" s="212"/>
      <c r="P189" s="212"/>
      <c r="Q189" s="213"/>
      <c r="R189" s="214"/>
      <c r="S189" s="242"/>
      <c r="T189" s="212"/>
      <c r="U189" s="212"/>
      <c r="V189" s="212"/>
      <c r="W189" s="212">
        <f>3350*4</f>
        <v>13400</v>
      </c>
      <c r="X189" s="213"/>
      <c r="Y189" s="214"/>
      <c r="Z189" s="212"/>
      <c r="AA189" s="212"/>
      <c r="AB189" s="212">
        <f>3350*4</f>
        <v>13400</v>
      </c>
      <c r="AC189" s="212"/>
      <c r="AD189" s="212"/>
      <c r="AE189" s="213"/>
      <c r="AF189" s="214"/>
      <c r="AG189" s="212"/>
      <c r="AH189" s="212"/>
      <c r="AI189" s="212"/>
      <c r="AJ189" s="212"/>
      <c r="AK189" s="255"/>
      <c r="AL189" s="213"/>
      <c r="AM189" s="214"/>
      <c r="AN189" s="256">
        <f>SUM(I189:AM189)</f>
        <v>40200</v>
      </c>
      <c r="AO189" s="108"/>
      <c r="AP189" s="108"/>
      <c r="AQ189" s="108"/>
      <c r="AR189" s="108"/>
      <c r="AS189" s="108"/>
      <c r="AT189" s="108"/>
      <c r="AU189" s="108"/>
      <c r="AV189" s="108"/>
      <c r="AW189" s="121"/>
      <c r="AX189" s="108"/>
    </row>
    <row r="190" spans="1:50" hidden="1">
      <c r="A190" s="492"/>
      <c r="B190" s="500"/>
      <c r="C190" s="459"/>
      <c r="D190" s="265"/>
      <c r="E190" s="265"/>
      <c r="F190" s="459"/>
      <c r="G190" s="134"/>
      <c r="H190" s="187" t="s">
        <v>51</v>
      </c>
      <c r="I190" s="212"/>
      <c r="J190" s="213"/>
      <c r="K190" s="214"/>
      <c r="L190" s="212"/>
      <c r="M190" s="212"/>
      <c r="N190" s="212">
        <v>1</v>
      </c>
      <c r="O190" s="212"/>
      <c r="P190" s="212"/>
      <c r="Q190" s="213"/>
      <c r="R190" s="214"/>
      <c r="S190" s="242"/>
      <c r="T190" s="212"/>
      <c r="U190" s="212"/>
      <c r="V190" s="212"/>
      <c r="W190" s="212"/>
      <c r="X190" s="213"/>
      <c r="Y190" s="214"/>
      <c r="Z190" s="212"/>
      <c r="AA190" s="212"/>
      <c r="AB190" s="212"/>
      <c r="AC190" s="212"/>
      <c r="AD190" s="212"/>
      <c r="AE190" s="213"/>
      <c r="AF190" s="214"/>
      <c r="AG190" s="212"/>
      <c r="AH190" s="212"/>
      <c r="AI190" s="212"/>
      <c r="AJ190" s="212"/>
      <c r="AK190" s="255"/>
      <c r="AL190" s="213"/>
      <c r="AM190" s="214"/>
      <c r="AN190" s="256"/>
      <c r="AO190" s="108"/>
      <c r="AP190" s="108"/>
      <c r="AQ190" s="108"/>
      <c r="AR190" s="108"/>
      <c r="AS190" s="108"/>
      <c r="AT190" s="108"/>
      <c r="AU190" s="108"/>
      <c r="AV190" s="108"/>
      <c r="AW190" s="121"/>
      <c r="AX190" s="108"/>
    </row>
    <row r="191" spans="1:50" hidden="1">
      <c r="A191" s="493"/>
      <c r="B191" s="507"/>
      <c r="C191" s="460"/>
      <c r="D191" s="290"/>
      <c r="E191" s="138"/>
      <c r="F191" s="460"/>
      <c r="G191" s="135"/>
      <c r="H191" s="192" t="s">
        <v>15</v>
      </c>
      <c r="I191" s="220"/>
      <c r="J191" s="270"/>
      <c r="K191" s="271"/>
      <c r="L191" s="220"/>
      <c r="M191" s="220"/>
      <c r="N191" s="220"/>
      <c r="O191" s="220"/>
      <c r="P191" s="220"/>
      <c r="Q191" s="270"/>
      <c r="R191" s="271"/>
      <c r="S191" s="282"/>
      <c r="T191" s="220"/>
      <c r="U191" s="220"/>
      <c r="V191" s="220"/>
      <c r="W191" s="220"/>
      <c r="X191" s="270"/>
      <c r="Y191" s="271"/>
      <c r="Z191" s="220"/>
      <c r="AA191" s="220"/>
      <c r="AB191" s="220"/>
      <c r="AC191" s="220"/>
      <c r="AD191" s="220"/>
      <c r="AE191" s="270"/>
      <c r="AF191" s="271"/>
      <c r="AG191" s="220"/>
      <c r="AH191" s="220"/>
      <c r="AI191" s="220"/>
      <c r="AJ191" s="220"/>
      <c r="AK191" s="287"/>
      <c r="AL191" s="270"/>
      <c r="AM191" s="271"/>
      <c r="AN191" s="253">
        <f>SUM(I191:AM191)</f>
        <v>0</v>
      </c>
      <c r="AO191" s="108"/>
      <c r="AP191" s="108"/>
      <c r="AQ191" s="108"/>
      <c r="AR191" s="108"/>
      <c r="AS191" s="108"/>
      <c r="AT191" s="108"/>
      <c r="AU191" s="108"/>
      <c r="AV191" s="108"/>
      <c r="AW191" s="121"/>
      <c r="AX191" s="108"/>
    </row>
    <row r="192" spans="1:50" hidden="1">
      <c r="A192" s="494" t="s">
        <v>88</v>
      </c>
      <c r="B192" s="499" t="s">
        <v>89</v>
      </c>
      <c r="C192" s="463">
        <v>3350</v>
      </c>
      <c r="D192" s="467">
        <v>1.4750000000000001</v>
      </c>
      <c r="E192" s="61"/>
      <c r="F192" s="432" t="s">
        <v>90</v>
      </c>
      <c r="G192" s="132">
        <v>0.08</v>
      </c>
      <c r="H192" s="185" t="s">
        <v>12</v>
      </c>
      <c r="I192" s="275"/>
      <c r="J192" s="276"/>
      <c r="K192" s="277"/>
      <c r="L192" s="275"/>
      <c r="M192" s="275"/>
      <c r="N192" s="275"/>
      <c r="O192" s="275"/>
      <c r="P192" s="275"/>
      <c r="Q192" s="276"/>
      <c r="R192" s="277"/>
      <c r="S192" s="283"/>
      <c r="T192" s="275"/>
      <c r="U192" s="275"/>
      <c r="V192" s="275"/>
      <c r="W192" s="275">
        <f>24*3</f>
        <v>72</v>
      </c>
      <c r="X192" s="276"/>
      <c r="Y192" s="277"/>
      <c r="Z192" s="275"/>
      <c r="AA192" s="275">
        <f>24*3</f>
        <v>72</v>
      </c>
      <c r="AB192" s="291"/>
      <c r="AC192" s="275"/>
      <c r="AD192" s="275">
        <f>24*3</f>
        <v>72</v>
      </c>
      <c r="AE192" s="276"/>
      <c r="AF192" s="277"/>
      <c r="AG192" s="275"/>
      <c r="AH192" s="275">
        <f>24*3</f>
        <v>72</v>
      </c>
      <c r="AI192" s="291"/>
      <c r="AJ192" s="275"/>
      <c r="AK192" s="288"/>
      <c r="AL192" s="276"/>
      <c r="AM192" s="277"/>
      <c r="AN192" s="253"/>
      <c r="AO192" s="108"/>
      <c r="AP192" s="108"/>
      <c r="AQ192" s="108"/>
      <c r="AR192" s="108"/>
      <c r="AS192" s="108"/>
      <c r="AT192" s="108"/>
      <c r="AU192" s="428"/>
      <c r="AV192" s="428"/>
      <c r="AW192" s="121"/>
      <c r="AX192" s="428"/>
    </row>
    <row r="193" spans="1:50" hidden="1">
      <c r="A193" s="490"/>
      <c r="B193" s="500"/>
      <c r="C193" s="443"/>
      <c r="D193" s="468"/>
      <c r="E193" s="63"/>
      <c r="F193" s="433"/>
      <c r="G193" s="133"/>
      <c r="H193" s="187" t="s">
        <v>14</v>
      </c>
      <c r="I193" s="233"/>
      <c r="J193" s="273"/>
      <c r="K193" s="232"/>
      <c r="L193" s="233"/>
      <c r="M193" s="233"/>
      <c r="N193" s="233"/>
      <c r="O193" s="233"/>
      <c r="P193" s="233"/>
      <c r="Q193" s="273"/>
      <c r="R193" s="232"/>
      <c r="S193" s="247"/>
      <c r="T193" s="233"/>
      <c r="U193" s="233"/>
      <c r="V193" s="233"/>
      <c r="W193" s="233">
        <v>1</v>
      </c>
      <c r="X193" s="273"/>
      <c r="Y193" s="232"/>
      <c r="Z193" s="233"/>
      <c r="AA193" s="233">
        <v>1</v>
      </c>
      <c r="AB193" s="190"/>
      <c r="AC193" s="233"/>
      <c r="AD193" s="233">
        <v>1</v>
      </c>
      <c r="AE193" s="273"/>
      <c r="AF193" s="232"/>
      <c r="AG193" s="233"/>
      <c r="AH193" s="233">
        <v>1</v>
      </c>
      <c r="AI193" s="190"/>
      <c r="AJ193" s="233"/>
      <c r="AK193" s="262"/>
      <c r="AL193" s="273"/>
      <c r="AM193" s="232"/>
      <c r="AN193" s="253"/>
      <c r="AO193" s="108"/>
      <c r="AP193" s="108"/>
      <c r="AQ193" s="108"/>
      <c r="AR193" s="108"/>
      <c r="AS193" s="108"/>
      <c r="AT193" s="108"/>
      <c r="AU193" s="428"/>
      <c r="AV193" s="428"/>
      <c r="AW193" s="121"/>
      <c r="AX193" s="428"/>
    </row>
    <row r="194" spans="1:50" hidden="1">
      <c r="A194" s="490"/>
      <c r="B194" s="500"/>
      <c r="C194" s="443"/>
      <c r="D194" s="468"/>
      <c r="E194" s="63"/>
      <c r="F194" s="433"/>
      <c r="G194" s="133"/>
      <c r="H194" s="188" t="s">
        <v>15</v>
      </c>
      <c r="I194" s="278"/>
      <c r="J194" s="273"/>
      <c r="K194" s="232"/>
      <c r="L194" s="278"/>
      <c r="M194" s="278"/>
      <c r="N194" s="278"/>
      <c r="O194" s="278"/>
      <c r="P194" s="278"/>
      <c r="Q194" s="273"/>
      <c r="R194" s="232"/>
      <c r="S194" s="247"/>
      <c r="T194" s="278"/>
      <c r="U194" s="278"/>
      <c r="V194" s="278"/>
      <c r="W194" s="278"/>
      <c r="X194" s="273"/>
      <c r="Y194" s="232"/>
      <c r="Z194" s="278"/>
      <c r="AA194" s="278"/>
      <c r="AB194" s="215"/>
      <c r="AC194" s="278"/>
      <c r="AD194" s="278"/>
      <c r="AE194" s="273"/>
      <c r="AF194" s="232"/>
      <c r="AG194" s="278"/>
      <c r="AH194" s="278"/>
      <c r="AI194" s="215"/>
      <c r="AJ194" s="278"/>
      <c r="AK194" s="262"/>
      <c r="AL194" s="273"/>
      <c r="AM194" s="232"/>
      <c r="AN194" s="253"/>
      <c r="AO194" s="108"/>
      <c r="AP194" s="108"/>
      <c r="AQ194" s="108"/>
      <c r="AR194" s="108"/>
      <c r="AS194" s="108"/>
      <c r="AT194" s="108"/>
      <c r="AU194" s="428"/>
      <c r="AV194" s="428"/>
      <c r="AW194" s="121"/>
      <c r="AX194" s="428"/>
    </row>
    <row r="195" spans="1:50" hidden="1">
      <c r="A195" s="490"/>
      <c r="B195" s="500"/>
      <c r="C195" s="443"/>
      <c r="D195" s="468"/>
      <c r="E195" s="63"/>
      <c r="F195" s="433"/>
      <c r="G195" s="133">
        <v>0.254</v>
      </c>
      <c r="H195" s="189" t="s">
        <v>12</v>
      </c>
      <c r="I195" s="190"/>
      <c r="J195" s="273"/>
      <c r="K195" s="232"/>
      <c r="L195" s="233"/>
      <c r="M195" s="233"/>
      <c r="N195" s="233"/>
      <c r="O195" s="233"/>
      <c r="P195" s="233"/>
      <c r="Q195" s="273"/>
      <c r="R195" s="232"/>
      <c r="S195" s="247"/>
      <c r="T195" s="233"/>
      <c r="U195" s="233"/>
      <c r="V195" s="233"/>
      <c r="W195" s="233">
        <v>240</v>
      </c>
      <c r="X195" s="273"/>
      <c r="Y195" s="232"/>
      <c r="Z195" s="233"/>
      <c r="AA195" s="233"/>
      <c r="AB195" s="233"/>
      <c r="AC195" s="233"/>
      <c r="AD195" s="233"/>
      <c r="AE195" s="273"/>
      <c r="AF195" s="232"/>
      <c r="AG195" s="233"/>
      <c r="AH195" s="233"/>
      <c r="AI195" s="233"/>
      <c r="AJ195" s="233"/>
      <c r="AK195" s="262"/>
      <c r="AL195" s="273"/>
      <c r="AM195" s="232"/>
      <c r="AN195" s="253"/>
      <c r="AO195" s="108"/>
      <c r="AP195" s="108"/>
      <c r="AQ195" s="108"/>
      <c r="AR195" s="108"/>
      <c r="AS195" s="108"/>
      <c r="AT195" s="108"/>
      <c r="AU195" s="428"/>
      <c r="AV195" s="428"/>
      <c r="AW195" s="121"/>
      <c r="AX195" s="428"/>
    </row>
    <row r="196" spans="1:50" hidden="1">
      <c r="A196" s="490"/>
      <c r="B196" s="500"/>
      <c r="C196" s="443"/>
      <c r="D196" s="468"/>
      <c r="E196" s="63"/>
      <c r="F196" s="433"/>
      <c r="G196" s="133"/>
      <c r="H196" s="187" t="s">
        <v>14</v>
      </c>
      <c r="I196" s="190"/>
      <c r="J196" s="273"/>
      <c r="K196" s="232"/>
      <c r="L196" s="233"/>
      <c r="M196" s="233"/>
      <c r="N196" s="233"/>
      <c r="O196" s="233"/>
      <c r="P196" s="233"/>
      <c r="Q196" s="273"/>
      <c r="R196" s="232"/>
      <c r="S196" s="247"/>
      <c r="T196" s="233"/>
      <c r="U196" s="233"/>
      <c r="V196" s="233"/>
      <c r="W196" s="233">
        <v>1</v>
      </c>
      <c r="X196" s="273"/>
      <c r="Y196" s="232"/>
      <c r="Z196" s="233"/>
      <c r="AA196" s="233"/>
      <c r="AB196" s="233"/>
      <c r="AC196" s="233"/>
      <c r="AD196" s="233"/>
      <c r="AE196" s="273"/>
      <c r="AF196" s="232"/>
      <c r="AG196" s="233"/>
      <c r="AH196" s="233"/>
      <c r="AI196" s="233"/>
      <c r="AJ196" s="233"/>
      <c r="AK196" s="262"/>
      <c r="AL196" s="273"/>
      <c r="AM196" s="232"/>
      <c r="AN196" s="253"/>
      <c r="AO196" s="108"/>
      <c r="AP196" s="108"/>
      <c r="AQ196" s="108"/>
      <c r="AR196" s="108"/>
      <c r="AS196" s="108"/>
      <c r="AT196" s="108"/>
      <c r="AU196" s="428"/>
      <c r="AV196" s="428"/>
      <c r="AW196" s="121"/>
      <c r="AX196" s="428"/>
    </row>
    <row r="197" spans="1:50" hidden="1">
      <c r="A197" s="490"/>
      <c r="B197" s="500"/>
      <c r="C197" s="443"/>
      <c r="D197" s="468"/>
      <c r="E197" s="63"/>
      <c r="F197" s="433"/>
      <c r="G197" s="133"/>
      <c r="H197" s="188" t="s">
        <v>15</v>
      </c>
      <c r="I197" s="215"/>
      <c r="J197" s="273"/>
      <c r="K197" s="232"/>
      <c r="L197" s="278"/>
      <c r="M197" s="278"/>
      <c r="N197" s="278"/>
      <c r="O197" s="278"/>
      <c r="P197" s="278"/>
      <c r="Q197" s="273"/>
      <c r="R197" s="232"/>
      <c r="S197" s="247"/>
      <c r="T197" s="278"/>
      <c r="U197" s="278"/>
      <c r="V197" s="278"/>
      <c r="W197" s="278"/>
      <c r="X197" s="273"/>
      <c r="Y197" s="232"/>
      <c r="Z197" s="278"/>
      <c r="AA197" s="278"/>
      <c r="AB197" s="278"/>
      <c r="AC197" s="278"/>
      <c r="AD197" s="278"/>
      <c r="AE197" s="273"/>
      <c r="AF197" s="232"/>
      <c r="AG197" s="278"/>
      <c r="AH197" s="278"/>
      <c r="AI197" s="278"/>
      <c r="AJ197" s="278"/>
      <c r="AK197" s="262"/>
      <c r="AL197" s="273"/>
      <c r="AM197" s="232"/>
      <c r="AN197" s="253"/>
      <c r="AO197" s="108"/>
      <c r="AP197" s="108"/>
      <c r="AQ197" s="108"/>
      <c r="AR197" s="108"/>
      <c r="AS197" s="108"/>
      <c r="AT197" s="108"/>
      <c r="AU197" s="428"/>
      <c r="AV197" s="428"/>
      <c r="AW197" s="121"/>
      <c r="AX197" s="428"/>
    </row>
    <row r="198" spans="1:50" hidden="1">
      <c r="A198" s="490"/>
      <c r="B198" s="500"/>
      <c r="C198" s="443"/>
      <c r="D198" s="468"/>
      <c r="E198" s="63"/>
      <c r="F198" s="433"/>
      <c r="G198" s="133" t="s">
        <v>91</v>
      </c>
      <c r="H198" s="189" t="s">
        <v>92</v>
      </c>
      <c r="I198" s="233"/>
      <c r="J198" s="273"/>
      <c r="K198" s="232"/>
      <c r="L198" s="233"/>
      <c r="M198" s="233"/>
      <c r="N198" s="233"/>
      <c r="O198" s="190"/>
      <c r="P198" s="190"/>
      <c r="Q198" s="273"/>
      <c r="R198" s="232"/>
      <c r="S198" s="247"/>
      <c r="T198" s="233"/>
      <c r="U198" s="233"/>
      <c r="V198" s="233"/>
      <c r="W198" s="233">
        <v>60</v>
      </c>
      <c r="X198" s="273"/>
      <c r="Y198" s="232"/>
      <c r="Z198" s="233"/>
      <c r="AA198" s="233">
        <v>60</v>
      </c>
      <c r="AB198" s="233"/>
      <c r="AC198" s="233"/>
      <c r="AD198" s="233"/>
      <c r="AE198" s="273"/>
      <c r="AF198" s="232"/>
      <c r="AG198" s="233"/>
      <c r="AH198" s="233"/>
      <c r="AI198" s="233"/>
      <c r="AJ198" s="233"/>
      <c r="AK198" s="262"/>
      <c r="AL198" s="273"/>
      <c r="AM198" s="232"/>
      <c r="AN198" s="253"/>
      <c r="AO198" s="108"/>
      <c r="AP198" s="108"/>
      <c r="AQ198" s="108"/>
      <c r="AR198" s="108"/>
      <c r="AS198" s="108"/>
      <c r="AT198" s="108"/>
      <c r="AU198" s="428"/>
      <c r="AV198" s="428"/>
      <c r="AW198" s="121"/>
      <c r="AX198" s="428"/>
    </row>
    <row r="199" spans="1:50" hidden="1">
      <c r="A199" s="490"/>
      <c r="B199" s="500"/>
      <c r="C199" s="443"/>
      <c r="D199" s="468"/>
      <c r="E199" s="63"/>
      <c r="F199" s="433"/>
      <c r="G199" s="133"/>
      <c r="H199" s="187" t="s">
        <v>14</v>
      </c>
      <c r="I199" s="233"/>
      <c r="J199" s="273"/>
      <c r="K199" s="232"/>
      <c r="L199" s="233"/>
      <c r="M199" s="233"/>
      <c r="N199" s="233"/>
      <c r="O199" s="190"/>
      <c r="P199" s="190"/>
      <c r="Q199" s="273"/>
      <c r="R199" s="232"/>
      <c r="S199" s="247"/>
      <c r="T199" s="233"/>
      <c r="U199" s="233"/>
      <c r="V199" s="233"/>
      <c r="W199" s="233">
        <v>0.25</v>
      </c>
      <c r="X199" s="273"/>
      <c r="Y199" s="232"/>
      <c r="Z199" s="233"/>
      <c r="AA199" s="233">
        <v>0.25</v>
      </c>
      <c r="AB199" s="233"/>
      <c r="AC199" s="233"/>
      <c r="AD199" s="233"/>
      <c r="AE199" s="273"/>
      <c r="AF199" s="232"/>
      <c r="AG199" s="233"/>
      <c r="AH199" s="233"/>
      <c r="AI199" s="233"/>
      <c r="AJ199" s="233"/>
      <c r="AK199" s="262"/>
      <c r="AL199" s="273"/>
      <c r="AM199" s="232"/>
      <c r="AN199" s="253"/>
      <c r="AO199" s="108"/>
      <c r="AP199" s="108"/>
      <c r="AQ199" s="108"/>
      <c r="AR199" s="108"/>
      <c r="AS199" s="108"/>
      <c r="AT199" s="108"/>
      <c r="AU199" s="428"/>
      <c r="AV199" s="428"/>
      <c r="AW199" s="121"/>
      <c r="AX199" s="428"/>
    </row>
    <row r="200" spans="1:50" hidden="1">
      <c r="A200" s="490"/>
      <c r="B200" s="500"/>
      <c r="C200" s="443"/>
      <c r="D200" s="468"/>
      <c r="E200" s="63"/>
      <c r="F200" s="433"/>
      <c r="G200" s="133"/>
      <c r="H200" s="188" t="s">
        <v>15</v>
      </c>
      <c r="I200" s="278"/>
      <c r="J200" s="273"/>
      <c r="K200" s="232"/>
      <c r="L200" s="278"/>
      <c r="M200" s="278"/>
      <c r="N200" s="278"/>
      <c r="O200" s="215"/>
      <c r="P200" s="215"/>
      <c r="Q200" s="273"/>
      <c r="R200" s="232"/>
      <c r="S200" s="247"/>
      <c r="T200" s="278"/>
      <c r="U200" s="278"/>
      <c r="V200" s="278"/>
      <c r="W200" s="278"/>
      <c r="X200" s="273"/>
      <c r="Y200" s="232"/>
      <c r="Z200" s="278"/>
      <c r="AA200" s="278"/>
      <c r="AB200" s="278"/>
      <c r="AC200" s="278"/>
      <c r="AD200" s="278"/>
      <c r="AE200" s="273"/>
      <c r="AF200" s="232"/>
      <c r="AG200" s="278"/>
      <c r="AH200" s="278"/>
      <c r="AI200" s="278"/>
      <c r="AJ200" s="278"/>
      <c r="AK200" s="262"/>
      <c r="AL200" s="273"/>
      <c r="AM200" s="232"/>
      <c r="AN200" s="253"/>
      <c r="AO200" s="108"/>
      <c r="AP200" s="108"/>
      <c r="AQ200" s="108"/>
      <c r="AR200" s="108"/>
      <c r="AS200" s="108"/>
      <c r="AT200" s="108"/>
      <c r="AU200" s="428"/>
      <c r="AV200" s="428"/>
      <c r="AW200" s="121"/>
      <c r="AX200" s="428"/>
    </row>
    <row r="201" spans="1:50" hidden="1">
      <c r="A201" s="490"/>
      <c r="B201" s="500"/>
      <c r="C201" s="443"/>
      <c r="D201" s="468"/>
      <c r="E201" s="63"/>
      <c r="F201" s="433"/>
      <c r="G201" s="133" t="s">
        <v>93</v>
      </c>
      <c r="H201" s="189" t="s">
        <v>92</v>
      </c>
      <c r="I201" s="233"/>
      <c r="J201" s="273"/>
      <c r="K201" s="232"/>
      <c r="L201" s="233"/>
      <c r="M201" s="233"/>
      <c r="N201" s="233"/>
      <c r="O201" s="190"/>
      <c r="P201" s="190"/>
      <c r="Q201" s="273"/>
      <c r="R201" s="232"/>
      <c r="S201" s="243"/>
      <c r="T201" s="190"/>
      <c r="U201" s="190"/>
      <c r="V201" s="190"/>
      <c r="W201" s="233">
        <v>80</v>
      </c>
      <c r="X201" s="273"/>
      <c r="Y201" s="232"/>
      <c r="Z201" s="233">
        <v>80</v>
      </c>
      <c r="AA201" s="233"/>
      <c r="AB201" s="233"/>
      <c r="AC201" s="233"/>
      <c r="AD201" s="233"/>
      <c r="AE201" s="273"/>
      <c r="AF201" s="232"/>
      <c r="AG201" s="233">
        <v>80</v>
      </c>
      <c r="AH201" s="233"/>
      <c r="AI201" s="233"/>
      <c r="AJ201" s="233"/>
      <c r="AK201" s="262"/>
      <c r="AL201" s="273"/>
      <c r="AM201" s="232"/>
      <c r="AN201" s="253"/>
      <c r="AO201" s="108"/>
      <c r="AP201" s="108"/>
      <c r="AQ201" s="108"/>
      <c r="AR201" s="108"/>
      <c r="AS201" s="108"/>
      <c r="AT201" s="108"/>
      <c r="AU201" s="428"/>
      <c r="AV201" s="428"/>
      <c r="AW201" s="121"/>
      <c r="AX201" s="428"/>
    </row>
    <row r="202" spans="1:50" hidden="1">
      <c r="A202" s="490"/>
      <c r="B202" s="500"/>
      <c r="C202" s="443"/>
      <c r="D202" s="468"/>
      <c r="E202" s="63"/>
      <c r="F202" s="433"/>
      <c r="G202" s="133"/>
      <c r="H202" s="187" t="s">
        <v>14</v>
      </c>
      <c r="I202" s="233"/>
      <c r="J202" s="273"/>
      <c r="K202" s="232"/>
      <c r="L202" s="233"/>
      <c r="M202" s="233"/>
      <c r="N202" s="233"/>
      <c r="O202" s="190"/>
      <c r="P202" s="190"/>
      <c r="Q202" s="273"/>
      <c r="R202" s="232"/>
      <c r="S202" s="243"/>
      <c r="T202" s="190"/>
      <c r="U202" s="190"/>
      <c r="V202" s="190"/>
      <c r="W202" s="233">
        <v>0.25</v>
      </c>
      <c r="X202" s="273"/>
      <c r="Y202" s="232"/>
      <c r="Z202" s="233">
        <v>0.25</v>
      </c>
      <c r="AA202" s="233"/>
      <c r="AB202" s="233"/>
      <c r="AC202" s="233"/>
      <c r="AD202" s="233"/>
      <c r="AE202" s="273"/>
      <c r="AF202" s="232"/>
      <c r="AG202" s="233">
        <v>0.25</v>
      </c>
      <c r="AH202" s="233"/>
      <c r="AI202" s="233"/>
      <c r="AJ202" s="233"/>
      <c r="AK202" s="262"/>
      <c r="AL202" s="273"/>
      <c r="AM202" s="232"/>
      <c r="AN202" s="253"/>
      <c r="AO202" s="108"/>
      <c r="AP202" s="108"/>
      <c r="AQ202" s="108"/>
      <c r="AR202" s="108"/>
      <c r="AS202" s="108"/>
      <c r="AT202" s="108"/>
      <c r="AU202" s="428"/>
      <c r="AV202" s="428"/>
      <c r="AW202" s="121"/>
      <c r="AX202" s="428"/>
    </row>
    <row r="203" spans="1:50" hidden="1">
      <c r="A203" s="490"/>
      <c r="B203" s="500"/>
      <c r="C203" s="443"/>
      <c r="D203" s="468"/>
      <c r="E203" s="63"/>
      <c r="F203" s="433"/>
      <c r="G203" s="133"/>
      <c r="H203" s="188" t="s">
        <v>15</v>
      </c>
      <c r="I203" s="278"/>
      <c r="J203" s="273"/>
      <c r="K203" s="232"/>
      <c r="L203" s="278"/>
      <c r="M203" s="278"/>
      <c r="N203" s="278"/>
      <c r="O203" s="215"/>
      <c r="P203" s="215"/>
      <c r="Q203" s="273"/>
      <c r="R203" s="232"/>
      <c r="S203" s="247"/>
      <c r="T203" s="278"/>
      <c r="U203" s="278"/>
      <c r="V203" s="278"/>
      <c r="W203" s="278"/>
      <c r="X203" s="273"/>
      <c r="Y203" s="232"/>
      <c r="Z203" s="278"/>
      <c r="AA203" s="278"/>
      <c r="AB203" s="278"/>
      <c r="AC203" s="278"/>
      <c r="AD203" s="278"/>
      <c r="AE203" s="273"/>
      <c r="AF203" s="232"/>
      <c r="AG203" s="278"/>
      <c r="AH203" s="278"/>
      <c r="AI203" s="278"/>
      <c r="AJ203" s="278"/>
      <c r="AK203" s="262"/>
      <c r="AL203" s="273"/>
      <c r="AM203" s="232"/>
      <c r="AN203" s="253"/>
      <c r="AO203" s="108"/>
      <c r="AP203" s="108"/>
      <c r="AQ203" s="108"/>
      <c r="AR203" s="108"/>
      <c r="AS203" s="108"/>
      <c r="AT203" s="108"/>
      <c r="AU203" s="428"/>
      <c r="AV203" s="428"/>
      <c r="AW203" s="121"/>
      <c r="AX203" s="428"/>
    </row>
    <row r="204" spans="1:50" hidden="1">
      <c r="A204" s="490"/>
      <c r="B204" s="500"/>
      <c r="C204" s="443"/>
      <c r="D204" s="468"/>
      <c r="E204" s="63"/>
      <c r="F204" s="433"/>
      <c r="G204" s="133" t="s">
        <v>94</v>
      </c>
      <c r="H204" s="187" t="s">
        <v>95</v>
      </c>
      <c r="I204" s="293"/>
      <c r="J204" s="294"/>
      <c r="K204" s="295"/>
      <c r="L204" s="293"/>
      <c r="M204" s="293"/>
      <c r="N204" s="293"/>
      <c r="O204" s="293"/>
      <c r="P204" s="293"/>
      <c r="Q204" s="294"/>
      <c r="R204" s="295"/>
      <c r="S204" s="300">
        <f>($AM$233*$D$192/5)*7</f>
        <v>0</v>
      </c>
      <c r="T204" s="293">
        <f>($AM$233*$D$192/5)*7</f>
        <v>0</v>
      </c>
      <c r="U204" s="293">
        <f>($AM$233*$D$192/5)*7</f>
        <v>0</v>
      </c>
      <c r="V204" s="293">
        <f>($AM$233*$D$192/5)*7</f>
        <v>0</v>
      </c>
      <c r="W204" s="293">
        <f>($AM$233*$D$192/5)*7</f>
        <v>0</v>
      </c>
      <c r="X204" s="294"/>
      <c r="Y204" s="295"/>
      <c r="Z204" s="293">
        <f>($AM$233*$D$192/5)*14</f>
        <v>0</v>
      </c>
      <c r="AA204" s="293">
        <f>($AM$233*$D$192/5)*14</f>
        <v>0</v>
      </c>
      <c r="AB204" s="293">
        <f>($AM$233*$D$192/5)*14</f>
        <v>0</v>
      </c>
      <c r="AC204" s="293">
        <f>($AM$233*$D$192/5)*14</f>
        <v>0</v>
      </c>
      <c r="AD204" s="293">
        <f>($AM$233*$D$192/5)*14</f>
        <v>0</v>
      </c>
      <c r="AE204" s="294"/>
      <c r="AF204" s="295"/>
      <c r="AG204" s="293">
        <f>($AM$233*$D$192/5)*14</f>
        <v>0</v>
      </c>
      <c r="AH204" s="293">
        <f>($AM$233*$D$192/5)*14</f>
        <v>0</v>
      </c>
      <c r="AI204" s="293">
        <f>($AM$233*$D$192/5)*14</f>
        <v>0</v>
      </c>
      <c r="AJ204" s="293">
        <f>($AM$233*$D$192/5)*14</f>
        <v>0</v>
      </c>
      <c r="AK204" s="302"/>
      <c r="AL204" s="294"/>
      <c r="AM204" s="295"/>
      <c r="AN204" s="256">
        <f>SUM(I204:AM204)</f>
        <v>0</v>
      </c>
      <c r="AO204" s="108"/>
      <c r="AP204" s="108"/>
      <c r="AQ204" s="108"/>
      <c r="AR204" s="108"/>
      <c r="AS204" s="108"/>
      <c r="AT204" s="108"/>
      <c r="AU204" s="428"/>
      <c r="AV204" s="428"/>
      <c r="AW204" s="121"/>
      <c r="AX204" s="428"/>
    </row>
    <row r="205" spans="1:50" hidden="1">
      <c r="A205" s="490"/>
      <c r="B205" s="500"/>
      <c r="C205" s="443"/>
      <c r="D205" s="468"/>
      <c r="E205" s="63"/>
      <c r="F205" s="433"/>
      <c r="G205" s="133"/>
      <c r="H205" s="187" t="s">
        <v>96</v>
      </c>
      <c r="I205" s="233"/>
      <c r="J205" s="273"/>
      <c r="K205" s="232"/>
      <c r="L205" s="233"/>
      <c r="M205" s="233"/>
      <c r="N205" s="233"/>
      <c r="O205" s="233"/>
      <c r="P205" s="233"/>
      <c r="Q205" s="273"/>
      <c r="R205" s="232"/>
      <c r="S205" s="247">
        <v>2</v>
      </c>
      <c r="T205" s="233">
        <v>2</v>
      </c>
      <c r="U205" s="233">
        <v>2</v>
      </c>
      <c r="V205" s="233">
        <v>2</v>
      </c>
      <c r="W205" s="233">
        <v>2</v>
      </c>
      <c r="X205" s="273"/>
      <c r="Y205" s="232"/>
      <c r="Z205" s="233">
        <v>4</v>
      </c>
      <c r="AA205" s="233">
        <v>4</v>
      </c>
      <c r="AB205" s="233">
        <v>4</v>
      </c>
      <c r="AC205" s="233">
        <v>4</v>
      </c>
      <c r="AD205" s="233">
        <v>4</v>
      </c>
      <c r="AE205" s="273"/>
      <c r="AF205" s="232"/>
      <c r="AG205" s="233">
        <v>4</v>
      </c>
      <c r="AH205" s="233">
        <v>4</v>
      </c>
      <c r="AI205" s="233">
        <v>4</v>
      </c>
      <c r="AJ205" s="233">
        <v>4</v>
      </c>
      <c r="AK205" s="262"/>
      <c r="AL205" s="273"/>
      <c r="AM205" s="232"/>
      <c r="AN205" s="256"/>
      <c r="AO205" s="108"/>
      <c r="AP205" s="108"/>
      <c r="AQ205" s="108"/>
      <c r="AR205" s="108"/>
      <c r="AS205" s="108"/>
      <c r="AT205" s="108"/>
      <c r="AU205" s="428"/>
      <c r="AV205" s="428"/>
      <c r="AW205" s="121"/>
      <c r="AX205" s="428"/>
    </row>
    <row r="206" spans="1:50" hidden="1">
      <c r="A206" s="490"/>
      <c r="B206" s="500"/>
      <c r="C206" s="443"/>
      <c r="D206" s="468"/>
      <c r="E206" s="63"/>
      <c r="F206" s="433"/>
      <c r="G206" s="133"/>
      <c r="H206" s="188" t="s">
        <v>15</v>
      </c>
      <c r="I206" s="278"/>
      <c r="J206" s="273"/>
      <c r="K206" s="232"/>
      <c r="L206" s="278"/>
      <c r="M206" s="278"/>
      <c r="N206" s="278"/>
      <c r="O206" s="278"/>
      <c r="P206" s="278"/>
      <c r="Q206" s="273"/>
      <c r="R206" s="232"/>
      <c r="S206" s="247"/>
      <c r="T206" s="278"/>
      <c r="U206" s="278"/>
      <c r="V206" s="278"/>
      <c r="W206" s="278"/>
      <c r="X206" s="273"/>
      <c r="Y206" s="232"/>
      <c r="Z206" s="278"/>
      <c r="AA206" s="278"/>
      <c r="AB206" s="278"/>
      <c r="AC206" s="278"/>
      <c r="AD206" s="278"/>
      <c r="AE206" s="273"/>
      <c r="AF206" s="232"/>
      <c r="AG206" s="278"/>
      <c r="AH206" s="278"/>
      <c r="AI206" s="278"/>
      <c r="AJ206" s="278"/>
      <c r="AK206" s="262"/>
      <c r="AL206" s="273"/>
      <c r="AM206" s="232"/>
      <c r="AN206" s="253">
        <f>SUM(I206:AM206)</f>
        <v>0</v>
      </c>
      <c r="AO206" s="108"/>
      <c r="AP206" s="108"/>
      <c r="AQ206" s="108"/>
      <c r="AR206" s="108"/>
      <c r="AS206" s="108"/>
      <c r="AT206" s="108"/>
      <c r="AU206" s="428"/>
      <c r="AV206" s="428"/>
      <c r="AW206" s="121"/>
      <c r="AX206" s="428"/>
    </row>
    <row r="207" spans="1:50" hidden="1">
      <c r="A207" s="490"/>
      <c r="B207" s="500"/>
      <c r="C207" s="443"/>
      <c r="D207" s="468"/>
      <c r="E207" s="63"/>
      <c r="F207" s="433"/>
      <c r="G207" s="134" t="s">
        <v>97</v>
      </c>
      <c r="H207" s="187" t="s">
        <v>98</v>
      </c>
      <c r="I207" s="235"/>
      <c r="J207" s="236"/>
      <c r="K207" s="237"/>
      <c r="L207" s="235"/>
      <c r="M207" s="235"/>
      <c r="N207" s="235"/>
      <c r="O207" s="235"/>
      <c r="P207" s="235"/>
      <c r="Q207" s="236"/>
      <c r="R207" s="237"/>
      <c r="S207" s="249"/>
      <c r="T207" s="235"/>
      <c r="U207" s="235"/>
      <c r="V207" s="235"/>
      <c r="W207" s="235"/>
      <c r="X207" s="236"/>
      <c r="Y207" s="237"/>
      <c r="Z207" s="235"/>
      <c r="AA207" s="235"/>
      <c r="AB207" s="235"/>
      <c r="AC207" s="235">
        <f>($AM$233*$D$192/5)*5</f>
        <v>0</v>
      </c>
      <c r="AD207" s="235">
        <f>($AM$233*$D$192/5)*5</f>
        <v>0</v>
      </c>
      <c r="AE207" s="236"/>
      <c r="AF207" s="237"/>
      <c r="AG207" s="235"/>
      <c r="AH207" s="235">
        <f>($AM$233*$D$192/5)*5</f>
        <v>0</v>
      </c>
      <c r="AI207" s="235">
        <f>($AM$233*$D$192/5)*5</f>
        <v>0</v>
      </c>
      <c r="AJ207" s="235">
        <f>($AM$233*$D$192/5)*5</f>
        <v>0</v>
      </c>
      <c r="AK207" s="303"/>
      <c r="AL207" s="236"/>
      <c r="AM207" s="237"/>
      <c r="AN207" s="256">
        <f>SUM(I207:AM207)</f>
        <v>0</v>
      </c>
      <c r="AO207" s="108"/>
      <c r="AP207" s="108"/>
      <c r="AQ207" s="108"/>
      <c r="AR207" s="108"/>
      <c r="AS207" s="428"/>
      <c r="AT207" s="428"/>
      <c r="AU207" s="428"/>
      <c r="AV207" s="428"/>
      <c r="AW207" s="121"/>
      <c r="AX207" s="428"/>
    </row>
    <row r="208" spans="1:50" hidden="1">
      <c r="A208" s="490"/>
      <c r="B208" s="500"/>
      <c r="C208" s="443"/>
      <c r="D208" s="468"/>
      <c r="E208" s="63"/>
      <c r="F208" s="433"/>
      <c r="G208" s="134"/>
      <c r="H208" s="188" t="s">
        <v>15</v>
      </c>
      <c r="I208" s="269"/>
      <c r="J208" s="236"/>
      <c r="K208" s="237"/>
      <c r="L208" s="269"/>
      <c r="M208" s="269"/>
      <c r="N208" s="269"/>
      <c r="O208" s="269"/>
      <c r="P208" s="269"/>
      <c r="Q208" s="236"/>
      <c r="R208" s="237"/>
      <c r="S208" s="249"/>
      <c r="T208" s="269"/>
      <c r="U208" s="269"/>
      <c r="V208" s="269"/>
      <c r="W208" s="269"/>
      <c r="X208" s="236"/>
      <c r="Y208" s="237"/>
      <c r="Z208" s="269"/>
      <c r="AA208" s="269"/>
      <c r="AB208" s="269"/>
      <c r="AC208" s="269"/>
      <c r="AD208" s="269"/>
      <c r="AE208" s="236"/>
      <c r="AF208" s="237"/>
      <c r="AG208" s="269"/>
      <c r="AH208" s="269"/>
      <c r="AI208" s="269"/>
      <c r="AJ208" s="269"/>
      <c r="AK208" s="303"/>
      <c r="AL208" s="236"/>
      <c r="AM208" s="237"/>
      <c r="AN208" s="253">
        <f>SUM(I208:AM208)</f>
        <v>0</v>
      </c>
      <c r="AO208" s="108"/>
      <c r="AP208" s="108"/>
      <c r="AQ208" s="108"/>
      <c r="AR208" s="108"/>
      <c r="AS208" s="428"/>
      <c r="AT208" s="428"/>
      <c r="AU208" s="428"/>
      <c r="AV208" s="428"/>
      <c r="AW208" s="121"/>
      <c r="AX208" s="428"/>
    </row>
    <row r="209" spans="1:50" hidden="1">
      <c r="A209" s="490"/>
      <c r="B209" s="500"/>
      <c r="C209" s="443"/>
      <c r="D209" s="468"/>
      <c r="E209" s="63"/>
      <c r="F209" s="433"/>
      <c r="G209" s="134" t="s">
        <v>99</v>
      </c>
      <c r="H209" s="187" t="s">
        <v>100</v>
      </c>
      <c r="I209" s="235"/>
      <c r="J209" s="236"/>
      <c r="K209" s="237"/>
      <c r="L209" s="235"/>
      <c r="M209" s="235"/>
      <c r="N209" s="235"/>
      <c r="O209" s="235"/>
      <c r="P209" s="235"/>
      <c r="Q209" s="236"/>
      <c r="R209" s="237"/>
      <c r="S209" s="249"/>
      <c r="T209" s="235"/>
      <c r="U209" s="235"/>
      <c r="V209" s="235"/>
      <c r="W209" s="235"/>
      <c r="X209" s="236"/>
      <c r="Y209" s="237"/>
      <c r="Z209" s="235"/>
      <c r="AA209" s="235"/>
      <c r="AB209" s="235"/>
      <c r="AC209" s="235">
        <f>($AM$233*$D$192/5)*5</f>
        <v>0</v>
      </c>
      <c r="AD209" s="235">
        <f>($AM$233*$D$192/5)*5</f>
        <v>0</v>
      </c>
      <c r="AE209" s="236"/>
      <c r="AF209" s="237"/>
      <c r="AG209" s="235"/>
      <c r="AH209" s="235">
        <f>($AM$233*$D$192/5)*5</f>
        <v>0</v>
      </c>
      <c r="AI209" s="235">
        <f>($AM$233*$D$192/5)*5</f>
        <v>0</v>
      </c>
      <c r="AJ209" s="235">
        <f>($AM$233*$D$192/5)*5</f>
        <v>0</v>
      </c>
      <c r="AK209" s="303"/>
      <c r="AL209" s="236"/>
      <c r="AM209" s="237"/>
      <c r="AN209" s="256">
        <f>SUM(I209:AM209)</f>
        <v>0</v>
      </c>
      <c r="AO209" s="108"/>
      <c r="AP209" s="108"/>
      <c r="AQ209" s="108"/>
      <c r="AR209" s="108"/>
      <c r="AS209" s="428"/>
      <c r="AT209" s="428"/>
      <c r="AU209" s="428"/>
      <c r="AV209" s="428"/>
      <c r="AW209" s="121"/>
      <c r="AX209" s="428"/>
    </row>
    <row r="210" spans="1:50" hidden="1">
      <c r="A210" s="490"/>
      <c r="B210" s="500"/>
      <c r="C210" s="443"/>
      <c r="D210" s="468"/>
      <c r="E210" s="63"/>
      <c r="F210" s="433"/>
      <c r="G210" s="134"/>
      <c r="H210" s="187" t="s">
        <v>101</v>
      </c>
      <c r="I210" s="212"/>
      <c r="J210" s="213"/>
      <c r="K210" s="214"/>
      <c r="L210" s="212"/>
      <c r="M210" s="212"/>
      <c r="N210" s="212"/>
      <c r="O210" s="212"/>
      <c r="P210" s="212"/>
      <c r="Q210" s="213"/>
      <c r="R210" s="214"/>
      <c r="S210" s="242"/>
      <c r="T210" s="212"/>
      <c r="U210" s="212"/>
      <c r="V210" s="212"/>
      <c r="W210" s="212"/>
      <c r="X210" s="213"/>
      <c r="Y210" s="214"/>
      <c r="Z210" s="212"/>
      <c r="AA210" s="212"/>
      <c r="AB210" s="212"/>
      <c r="AC210" s="212">
        <v>1</v>
      </c>
      <c r="AD210" s="212">
        <v>1</v>
      </c>
      <c r="AE210" s="213"/>
      <c r="AF210" s="214"/>
      <c r="AG210" s="212"/>
      <c r="AH210" s="212">
        <v>1</v>
      </c>
      <c r="AI210" s="212">
        <v>1</v>
      </c>
      <c r="AJ210" s="212">
        <v>1</v>
      </c>
      <c r="AK210" s="255"/>
      <c r="AL210" s="213"/>
      <c r="AM210" s="214"/>
      <c r="AN210" s="256"/>
      <c r="AO210" s="108"/>
      <c r="AP210" s="108"/>
      <c r="AQ210" s="108"/>
      <c r="AR210" s="108"/>
      <c r="AS210" s="428"/>
      <c r="AT210" s="428"/>
      <c r="AU210" s="428"/>
      <c r="AV210" s="428"/>
      <c r="AW210" s="121"/>
      <c r="AX210" s="428"/>
    </row>
    <row r="211" spans="1:50" hidden="1">
      <c r="A211" s="490"/>
      <c r="B211" s="500"/>
      <c r="C211" s="443"/>
      <c r="D211" s="468"/>
      <c r="E211" s="63"/>
      <c r="F211" s="433"/>
      <c r="G211" s="134"/>
      <c r="H211" s="188" t="s">
        <v>15</v>
      </c>
      <c r="I211" s="215"/>
      <c r="J211" s="213"/>
      <c r="K211" s="214"/>
      <c r="L211" s="215"/>
      <c r="M211" s="215"/>
      <c r="N211" s="215"/>
      <c r="O211" s="215"/>
      <c r="P211" s="215"/>
      <c r="Q211" s="213"/>
      <c r="R211" s="214"/>
      <c r="S211" s="242"/>
      <c r="T211" s="215"/>
      <c r="U211" s="215"/>
      <c r="V211" s="215"/>
      <c r="W211" s="215"/>
      <c r="X211" s="213"/>
      <c r="Y211" s="214"/>
      <c r="Z211" s="215"/>
      <c r="AA211" s="215"/>
      <c r="AB211" s="215"/>
      <c r="AC211" s="215"/>
      <c r="AD211" s="215"/>
      <c r="AE211" s="213"/>
      <c r="AF211" s="214"/>
      <c r="AG211" s="215"/>
      <c r="AH211" s="215"/>
      <c r="AI211" s="215"/>
      <c r="AJ211" s="215"/>
      <c r="AK211" s="255"/>
      <c r="AL211" s="213"/>
      <c r="AM211" s="214"/>
      <c r="AN211" s="253">
        <f t="shared" ref="AN211:AN218" si="122">SUM(I211:AM211)</f>
        <v>0</v>
      </c>
      <c r="AO211" s="108"/>
      <c r="AP211" s="108"/>
      <c r="AQ211" s="108"/>
      <c r="AR211" s="428"/>
      <c r="AS211" s="428"/>
      <c r="AT211" s="428"/>
      <c r="AU211" s="428"/>
      <c r="AV211" s="428"/>
      <c r="AW211" s="121"/>
      <c r="AX211" s="428"/>
    </row>
    <row r="212" spans="1:50" hidden="1">
      <c r="A212" s="490"/>
      <c r="B212" s="500"/>
      <c r="C212" s="443"/>
      <c r="D212" s="468"/>
      <c r="E212" s="63"/>
      <c r="F212" s="433"/>
      <c r="G212" s="134" t="s">
        <v>23</v>
      </c>
      <c r="H212" s="187" t="s">
        <v>24</v>
      </c>
      <c r="I212" s="235"/>
      <c r="J212" s="236"/>
      <c r="K212" s="237"/>
      <c r="L212" s="235"/>
      <c r="M212" s="235"/>
      <c r="N212" s="235"/>
      <c r="O212" s="235"/>
      <c r="P212" s="235"/>
      <c r="Q212" s="236"/>
      <c r="R212" s="237"/>
      <c r="S212" s="249"/>
      <c r="T212" s="235"/>
      <c r="U212" s="235"/>
      <c r="V212" s="235"/>
      <c r="W212" s="235"/>
      <c r="X212" s="236"/>
      <c r="Y212" s="237"/>
      <c r="Z212" s="235"/>
      <c r="AA212" s="235"/>
      <c r="AB212" s="235"/>
      <c r="AC212" s="235">
        <f t="shared" ref="AC212:AC216" si="123">$AM$233*$D$192/5</f>
        <v>0</v>
      </c>
      <c r="AD212" s="235">
        <f t="shared" ref="AD212:AD216" si="124">$AM$233*$D$192/5</f>
        <v>0</v>
      </c>
      <c r="AE212" s="236"/>
      <c r="AF212" s="237"/>
      <c r="AG212" s="235"/>
      <c r="AH212" s="235">
        <f t="shared" ref="AH212:AH216" si="125">$AM$233*$D$192/5</f>
        <v>0</v>
      </c>
      <c r="AI212" s="235">
        <f t="shared" ref="AI212:AI216" si="126">$AM$233*$D$192/5</f>
        <v>0</v>
      </c>
      <c r="AJ212" s="235">
        <f t="shared" ref="AJ212:AJ216" si="127">$AM$233*$D$192/5</f>
        <v>0</v>
      </c>
      <c r="AK212" s="303"/>
      <c r="AL212" s="236"/>
      <c r="AM212" s="237"/>
      <c r="AN212" s="256">
        <f t="shared" si="122"/>
        <v>0</v>
      </c>
      <c r="AO212" s="108"/>
      <c r="AP212" s="108"/>
      <c r="AQ212" s="108"/>
      <c r="AR212" s="428"/>
      <c r="AS212" s="428"/>
      <c r="AT212" s="428"/>
      <c r="AU212" s="428"/>
      <c r="AV212" s="428"/>
      <c r="AW212" s="121"/>
      <c r="AX212" s="428"/>
    </row>
    <row r="213" spans="1:50" hidden="1">
      <c r="A213" s="490"/>
      <c r="B213" s="500"/>
      <c r="C213" s="443"/>
      <c r="D213" s="468"/>
      <c r="E213" s="63"/>
      <c r="F213" s="433"/>
      <c r="G213" s="134"/>
      <c r="H213" s="188" t="s">
        <v>15</v>
      </c>
      <c r="I213" s="269"/>
      <c r="J213" s="236"/>
      <c r="K213" s="237"/>
      <c r="L213" s="269"/>
      <c r="M213" s="269"/>
      <c r="N213" s="269"/>
      <c r="O213" s="269"/>
      <c r="P213" s="269"/>
      <c r="Q213" s="236"/>
      <c r="R213" s="237"/>
      <c r="S213" s="249"/>
      <c r="T213" s="269"/>
      <c r="U213" s="269"/>
      <c r="V213" s="269"/>
      <c r="W213" s="269"/>
      <c r="X213" s="236"/>
      <c r="Y213" s="237"/>
      <c r="Z213" s="269"/>
      <c r="AA213" s="269"/>
      <c r="AB213" s="269"/>
      <c r="AC213" s="269"/>
      <c r="AD213" s="269"/>
      <c r="AE213" s="236"/>
      <c r="AF213" s="237"/>
      <c r="AG213" s="269"/>
      <c r="AH213" s="269"/>
      <c r="AI213" s="269"/>
      <c r="AJ213" s="269"/>
      <c r="AK213" s="303"/>
      <c r="AL213" s="236"/>
      <c r="AM213" s="237"/>
      <c r="AN213" s="253">
        <f t="shared" si="122"/>
        <v>0</v>
      </c>
      <c r="AO213" s="108"/>
      <c r="AP213" s="108"/>
      <c r="AQ213" s="108"/>
      <c r="AR213" s="108"/>
      <c r="AS213" s="108"/>
      <c r="AT213" s="108"/>
      <c r="AU213" s="428"/>
      <c r="AV213" s="428"/>
      <c r="AW213" s="121"/>
      <c r="AX213" s="428"/>
    </row>
    <row r="214" spans="1:50" hidden="1">
      <c r="A214" s="490"/>
      <c r="B214" s="500"/>
      <c r="C214" s="443"/>
      <c r="D214" s="468"/>
      <c r="E214" s="63"/>
      <c r="F214" s="433"/>
      <c r="G214" s="134" t="s">
        <v>39</v>
      </c>
      <c r="H214" s="187" t="s">
        <v>40</v>
      </c>
      <c r="I214" s="235"/>
      <c r="J214" s="236"/>
      <c r="K214" s="237"/>
      <c r="L214" s="235"/>
      <c r="M214" s="235"/>
      <c r="N214" s="235"/>
      <c r="O214" s="235"/>
      <c r="P214" s="235"/>
      <c r="Q214" s="236"/>
      <c r="R214" s="237"/>
      <c r="S214" s="249"/>
      <c r="T214" s="235"/>
      <c r="U214" s="235"/>
      <c r="V214" s="235"/>
      <c r="W214" s="235"/>
      <c r="X214" s="236"/>
      <c r="Y214" s="237"/>
      <c r="Z214" s="235"/>
      <c r="AA214" s="235"/>
      <c r="AB214" s="235"/>
      <c r="AC214" s="235">
        <f t="shared" si="123"/>
        <v>0</v>
      </c>
      <c r="AD214" s="235">
        <f t="shared" si="124"/>
        <v>0</v>
      </c>
      <c r="AE214" s="236"/>
      <c r="AF214" s="237"/>
      <c r="AG214" s="235"/>
      <c r="AH214" s="235">
        <f t="shared" si="125"/>
        <v>0</v>
      </c>
      <c r="AI214" s="235">
        <f t="shared" si="126"/>
        <v>0</v>
      </c>
      <c r="AJ214" s="235">
        <f t="shared" si="127"/>
        <v>0</v>
      </c>
      <c r="AK214" s="303"/>
      <c r="AL214" s="236"/>
      <c r="AM214" s="237"/>
      <c r="AN214" s="256">
        <f t="shared" si="122"/>
        <v>0</v>
      </c>
      <c r="AO214" s="108"/>
      <c r="AP214" s="108"/>
      <c r="AQ214" s="108"/>
      <c r="AR214" s="428"/>
      <c r="AS214" s="108"/>
      <c r="AT214" s="108"/>
      <c r="AU214" s="428"/>
      <c r="AV214" s="428"/>
      <c r="AW214" s="121"/>
      <c r="AX214" s="428"/>
    </row>
    <row r="215" spans="1:50" hidden="1">
      <c r="A215" s="490"/>
      <c r="B215" s="500"/>
      <c r="C215" s="443"/>
      <c r="D215" s="468"/>
      <c r="E215" s="63"/>
      <c r="F215" s="433"/>
      <c r="G215" s="134"/>
      <c r="H215" s="188" t="s">
        <v>15</v>
      </c>
      <c r="I215" s="269"/>
      <c r="J215" s="236"/>
      <c r="K215" s="237"/>
      <c r="L215" s="269"/>
      <c r="M215" s="269"/>
      <c r="N215" s="269"/>
      <c r="O215" s="269"/>
      <c r="P215" s="269"/>
      <c r="Q215" s="236"/>
      <c r="R215" s="237"/>
      <c r="S215" s="249"/>
      <c r="T215" s="269"/>
      <c r="U215" s="269"/>
      <c r="V215" s="269"/>
      <c r="W215" s="269"/>
      <c r="X215" s="236"/>
      <c r="Y215" s="237"/>
      <c r="Z215" s="269"/>
      <c r="AA215" s="269"/>
      <c r="AB215" s="269"/>
      <c r="AC215" s="269"/>
      <c r="AD215" s="269"/>
      <c r="AE215" s="236"/>
      <c r="AF215" s="237"/>
      <c r="AG215" s="269"/>
      <c r="AH215" s="269"/>
      <c r="AI215" s="269"/>
      <c r="AJ215" s="269"/>
      <c r="AK215" s="303"/>
      <c r="AL215" s="236"/>
      <c r="AM215" s="237"/>
      <c r="AN215" s="253">
        <f t="shared" si="122"/>
        <v>0</v>
      </c>
      <c r="AO215" s="108"/>
      <c r="AP215" s="108"/>
      <c r="AQ215" s="108"/>
      <c r="AR215" s="428"/>
      <c r="AS215" s="108"/>
      <c r="AT215" s="108"/>
      <c r="AU215" s="428"/>
      <c r="AV215" s="428"/>
      <c r="AW215" s="121"/>
      <c r="AX215" s="428"/>
    </row>
    <row r="216" spans="1:50" hidden="1">
      <c r="A216" s="490"/>
      <c r="B216" s="500"/>
      <c r="C216" s="443"/>
      <c r="D216" s="468"/>
      <c r="E216" s="63"/>
      <c r="F216" s="433"/>
      <c r="G216" s="134" t="s">
        <v>102</v>
      </c>
      <c r="H216" s="187" t="s">
        <v>103</v>
      </c>
      <c r="I216" s="235"/>
      <c r="J216" s="236"/>
      <c r="K216" s="237"/>
      <c r="L216" s="235"/>
      <c r="M216" s="235"/>
      <c r="N216" s="235"/>
      <c r="O216" s="235"/>
      <c r="P216" s="235"/>
      <c r="Q216" s="236"/>
      <c r="R216" s="237"/>
      <c r="S216" s="249"/>
      <c r="T216" s="235"/>
      <c r="U216" s="235"/>
      <c r="V216" s="235"/>
      <c r="W216" s="235"/>
      <c r="X216" s="236"/>
      <c r="Y216" s="237"/>
      <c r="Z216" s="235"/>
      <c r="AA216" s="235"/>
      <c r="AB216" s="235"/>
      <c r="AC216" s="235">
        <f t="shared" si="123"/>
        <v>0</v>
      </c>
      <c r="AD216" s="235">
        <f t="shared" si="124"/>
        <v>0</v>
      </c>
      <c r="AE216" s="236"/>
      <c r="AF216" s="237"/>
      <c r="AG216" s="235"/>
      <c r="AH216" s="235">
        <f t="shared" si="125"/>
        <v>0</v>
      </c>
      <c r="AI216" s="235">
        <f t="shared" si="126"/>
        <v>0</v>
      </c>
      <c r="AJ216" s="235">
        <f t="shared" si="127"/>
        <v>0</v>
      </c>
      <c r="AK216" s="303"/>
      <c r="AL216" s="236"/>
      <c r="AM216" s="237"/>
      <c r="AN216" s="256">
        <f t="shared" si="122"/>
        <v>0</v>
      </c>
      <c r="AO216" s="108"/>
      <c r="AP216" s="108"/>
      <c r="AQ216" s="108"/>
      <c r="AR216" s="428"/>
      <c r="AS216" s="108"/>
      <c r="AT216" s="108"/>
      <c r="AU216" s="428"/>
      <c r="AV216" s="428"/>
      <c r="AW216" s="121"/>
      <c r="AX216" s="428"/>
    </row>
    <row r="217" spans="1:50" hidden="1">
      <c r="A217" s="490"/>
      <c r="B217" s="500"/>
      <c r="C217" s="443"/>
      <c r="D217" s="468"/>
      <c r="E217" s="63"/>
      <c r="F217" s="433"/>
      <c r="G217" s="134"/>
      <c r="H217" s="188" t="s">
        <v>15</v>
      </c>
      <c r="I217" s="269"/>
      <c r="J217" s="236"/>
      <c r="K217" s="237"/>
      <c r="L217" s="269"/>
      <c r="M217" s="269"/>
      <c r="N217" s="269"/>
      <c r="O217" s="269"/>
      <c r="P217" s="269"/>
      <c r="Q217" s="236"/>
      <c r="R217" s="237"/>
      <c r="S217" s="249"/>
      <c r="T217" s="269"/>
      <c r="U217" s="269"/>
      <c r="V217" s="269"/>
      <c r="W217" s="269"/>
      <c r="X217" s="236"/>
      <c r="Y217" s="237"/>
      <c r="Z217" s="269"/>
      <c r="AA217" s="269"/>
      <c r="AB217" s="269"/>
      <c r="AC217" s="269"/>
      <c r="AD217" s="269"/>
      <c r="AE217" s="236"/>
      <c r="AF217" s="237"/>
      <c r="AG217" s="269"/>
      <c r="AH217" s="269"/>
      <c r="AI217" s="269"/>
      <c r="AJ217" s="269"/>
      <c r="AK217" s="303"/>
      <c r="AL217" s="236"/>
      <c r="AM217" s="237"/>
      <c r="AN217" s="253">
        <f t="shared" si="122"/>
        <v>0</v>
      </c>
      <c r="AO217" s="108"/>
      <c r="AP217" s="108"/>
      <c r="AQ217" s="108"/>
      <c r="AR217" s="428"/>
      <c r="AS217" s="108"/>
      <c r="AT217" s="108"/>
      <c r="AU217" s="428"/>
      <c r="AV217" s="428"/>
      <c r="AW217" s="121"/>
      <c r="AX217" s="428"/>
    </row>
    <row r="218" spans="1:50" hidden="1">
      <c r="A218" s="490"/>
      <c r="B218" s="500"/>
      <c r="C218" s="443"/>
      <c r="D218" s="468"/>
      <c r="E218" s="63"/>
      <c r="F218" s="433"/>
      <c r="G218" s="134" t="s">
        <v>28</v>
      </c>
      <c r="H218" s="187" t="s">
        <v>29</v>
      </c>
      <c r="I218" s="235"/>
      <c r="J218" s="236"/>
      <c r="K218" s="237"/>
      <c r="L218" s="235"/>
      <c r="M218" s="235"/>
      <c r="N218" s="235"/>
      <c r="O218" s="235"/>
      <c r="P218" s="235"/>
      <c r="Q218" s="236"/>
      <c r="R218" s="237"/>
      <c r="S218" s="249"/>
      <c r="T218" s="235"/>
      <c r="U218" s="235"/>
      <c r="V218" s="235"/>
      <c r="W218" s="235"/>
      <c r="X218" s="236"/>
      <c r="Y218" s="237"/>
      <c r="Z218" s="235"/>
      <c r="AA218" s="235"/>
      <c r="AB218" s="235"/>
      <c r="AC218" s="235">
        <f>$AM$233*$D$192/5</f>
        <v>0</v>
      </c>
      <c r="AD218" s="235">
        <f>$AM$233*$D$192/5</f>
        <v>0</v>
      </c>
      <c r="AE218" s="236"/>
      <c r="AF218" s="237"/>
      <c r="AG218" s="235"/>
      <c r="AH218" s="235">
        <f>$AM$233*$D$192/5</f>
        <v>0</v>
      </c>
      <c r="AI218" s="235">
        <f>$AM$233*$D$192/5</f>
        <v>0</v>
      </c>
      <c r="AJ218" s="235">
        <f>$AM$233*$D$192/5</f>
        <v>0</v>
      </c>
      <c r="AK218" s="303"/>
      <c r="AL218" s="236"/>
      <c r="AM218" s="237"/>
      <c r="AN218" s="256">
        <f t="shared" si="122"/>
        <v>0</v>
      </c>
      <c r="AO218" s="108"/>
      <c r="AP218" s="108"/>
      <c r="AQ218" s="108"/>
      <c r="AR218" s="428"/>
      <c r="AS218" s="108"/>
      <c r="AT218" s="108"/>
      <c r="AU218" s="428"/>
      <c r="AV218" s="428"/>
      <c r="AW218" s="121"/>
      <c r="AX218" s="428"/>
    </row>
    <row r="219" spans="1:50" hidden="1">
      <c r="A219" s="490"/>
      <c r="B219" s="500"/>
      <c r="C219" s="443"/>
      <c r="D219" s="468"/>
      <c r="E219" s="63"/>
      <c r="F219" s="433"/>
      <c r="G219" s="134"/>
      <c r="H219" s="187" t="s">
        <v>27</v>
      </c>
      <c r="I219" s="296"/>
      <c r="J219" s="227"/>
      <c r="K219" s="228"/>
      <c r="L219" s="296"/>
      <c r="M219" s="296"/>
      <c r="N219" s="296"/>
      <c r="O219" s="296"/>
      <c r="P219" s="296"/>
      <c r="Q219" s="227"/>
      <c r="R219" s="228"/>
      <c r="S219" s="248"/>
      <c r="T219" s="296"/>
      <c r="U219" s="296"/>
      <c r="V219" s="296"/>
      <c r="W219" s="296"/>
      <c r="X219" s="227"/>
      <c r="Y219" s="228"/>
      <c r="Z219" s="296"/>
      <c r="AA219" s="296"/>
      <c r="AB219" s="296"/>
      <c r="AC219" s="296">
        <v>1</v>
      </c>
      <c r="AD219" s="296">
        <v>1</v>
      </c>
      <c r="AE219" s="227"/>
      <c r="AF219" s="228"/>
      <c r="AG219" s="296"/>
      <c r="AH219" s="296">
        <v>1</v>
      </c>
      <c r="AI219" s="296">
        <v>1</v>
      </c>
      <c r="AJ219" s="296">
        <v>1</v>
      </c>
      <c r="AK219" s="263"/>
      <c r="AL219" s="227"/>
      <c r="AM219" s="228"/>
      <c r="AN219" s="256"/>
      <c r="AO219" s="108"/>
      <c r="AP219" s="108"/>
      <c r="AQ219" s="108"/>
      <c r="AR219" s="428"/>
      <c r="AS219" s="108"/>
      <c r="AT219" s="108"/>
      <c r="AU219" s="428"/>
      <c r="AV219" s="428"/>
      <c r="AW219" s="121"/>
      <c r="AX219" s="428"/>
    </row>
    <row r="220" spans="1:50" hidden="1">
      <c r="A220" s="490"/>
      <c r="B220" s="500"/>
      <c r="C220" s="443"/>
      <c r="D220" s="468"/>
      <c r="E220" s="63"/>
      <c r="F220" s="433"/>
      <c r="G220" s="134"/>
      <c r="H220" s="188" t="s">
        <v>15</v>
      </c>
      <c r="I220" s="226"/>
      <c r="J220" s="227"/>
      <c r="K220" s="228"/>
      <c r="L220" s="226"/>
      <c r="M220" s="226"/>
      <c r="N220" s="226"/>
      <c r="O220" s="226"/>
      <c r="P220" s="226"/>
      <c r="Q220" s="227"/>
      <c r="R220" s="228"/>
      <c r="S220" s="248"/>
      <c r="T220" s="226"/>
      <c r="U220" s="226"/>
      <c r="V220" s="226"/>
      <c r="W220" s="226"/>
      <c r="X220" s="227"/>
      <c r="Y220" s="228"/>
      <c r="Z220" s="226"/>
      <c r="AA220" s="226"/>
      <c r="AB220" s="226"/>
      <c r="AC220" s="226"/>
      <c r="AD220" s="226"/>
      <c r="AE220" s="227"/>
      <c r="AF220" s="228"/>
      <c r="AG220" s="226"/>
      <c r="AH220" s="226"/>
      <c r="AI220" s="226"/>
      <c r="AJ220" s="226"/>
      <c r="AK220" s="263"/>
      <c r="AL220" s="227"/>
      <c r="AM220" s="228"/>
      <c r="AN220" s="253">
        <f>SUM(I220:AM220)</f>
        <v>0</v>
      </c>
      <c r="AO220" s="108"/>
      <c r="AP220" s="108"/>
      <c r="AQ220" s="108"/>
      <c r="AR220" s="428"/>
      <c r="AS220" s="108"/>
      <c r="AT220" s="108"/>
      <c r="AU220" s="428"/>
      <c r="AV220" s="428"/>
      <c r="AW220" s="121"/>
      <c r="AX220" s="428"/>
    </row>
    <row r="221" spans="1:50" hidden="1">
      <c r="A221" s="490"/>
      <c r="B221" s="500"/>
      <c r="C221" s="443"/>
      <c r="D221" s="468"/>
      <c r="E221" s="63"/>
      <c r="F221" s="433"/>
      <c r="G221" s="134"/>
      <c r="H221" s="187" t="s">
        <v>104</v>
      </c>
      <c r="I221" s="297"/>
      <c r="J221" s="298"/>
      <c r="K221" s="299"/>
      <c r="L221" s="297"/>
      <c r="M221" s="297"/>
      <c r="N221" s="297"/>
      <c r="O221" s="297"/>
      <c r="P221" s="297"/>
      <c r="Q221" s="298"/>
      <c r="R221" s="299"/>
      <c r="S221" s="301"/>
      <c r="T221" s="297"/>
      <c r="U221" s="297"/>
      <c r="V221" s="297"/>
      <c r="W221" s="297"/>
      <c r="X221" s="298"/>
      <c r="Y221" s="299"/>
      <c r="Z221" s="297"/>
      <c r="AA221" s="297"/>
      <c r="AB221" s="297"/>
      <c r="AC221" s="297">
        <f>($AM$233*$D$192/5)*5</f>
        <v>0</v>
      </c>
      <c r="AD221" s="297">
        <f>($AM$233*$D$192/5)*5</f>
        <v>0</v>
      </c>
      <c r="AE221" s="298"/>
      <c r="AF221" s="299"/>
      <c r="AG221" s="297"/>
      <c r="AH221" s="297">
        <f>($AM$233*$D$192/5)*5</f>
        <v>0</v>
      </c>
      <c r="AI221" s="297">
        <f>($AM$233*$D$192/5)*5</f>
        <v>0</v>
      </c>
      <c r="AJ221" s="297">
        <f>($AM$233*$D$192/5)*5</f>
        <v>0</v>
      </c>
      <c r="AK221" s="304"/>
      <c r="AL221" s="298"/>
      <c r="AM221" s="299"/>
      <c r="AN221" s="256">
        <f>SUM(I221:AM221)</f>
        <v>0</v>
      </c>
      <c r="AO221" s="108"/>
      <c r="AP221" s="108"/>
      <c r="AQ221" s="108"/>
      <c r="AR221" s="428"/>
      <c r="AS221" s="108"/>
      <c r="AT221" s="108"/>
      <c r="AU221" s="428"/>
      <c r="AV221" s="428"/>
      <c r="AW221" s="121"/>
      <c r="AX221" s="428"/>
    </row>
    <row r="222" spans="1:50" hidden="1">
      <c r="A222" s="490"/>
      <c r="B222" s="500"/>
      <c r="C222" s="443"/>
      <c r="D222" s="468"/>
      <c r="E222" s="63"/>
      <c r="F222" s="433"/>
      <c r="G222" s="195"/>
      <c r="H222" s="187" t="s">
        <v>105</v>
      </c>
      <c r="I222" s="296"/>
      <c r="J222" s="227"/>
      <c r="K222" s="228"/>
      <c r="L222" s="296"/>
      <c r="M222" s="296"/>
      <c r="N222" s="296"/>
      <c r="O222" s="296"/>
      <c r="P222" s="296"/>
      <c r="Q222" s="227"/>
      <c r="R222" s="228"/>
      <c r="S222" s="248"/>
      <c r="T222" s="296"/>
      <c r="U222" s="296"/>
      <c r="V222" s="296"/>
      <c r="W222" s="296"/>
      <c r="X222" s="227"/>
      <c r="Y222" s="228"/>
      <c r="Z222" s="296"/>
      <c r="AA222" s="296"/>
      <c r="AB222" s="296"/>
      <c r="AC222" s="296">
        <v>2</v>
      </c>
      <c r="AD222" s="296">
        <v>2</v>
      </c>
      <c r="AE222" s="227"/>
      <c r="AF222" s="228"/>
      <c r="AG222" s="296"/>
      <c r="AH222" s="296">
        <v>2</v>
      </c>
      <c r="AI222" s="296">
        <v>2</v>
      </c>
      <c r="AJ222" s="296">
        <v>2</v>
      </c>
      <c r="AK222" s="263"/>
      <c r="AL222" s="227"/>
      <c r="AM222" s="228"/>
      <c r="AN222" s="256"/>
      <c r="AO222" s="108"/>
      <c r="AP222" s="108"/>
      <c r="AQ222" s="108"/>
      <c r="AR222" s="428"/>
      <c r="AS222" s="108"/>
      <c r="AT222" s="108"/>
      <c r="AU222" s="428"/>
      <c r="AV222" s="428"/>
      <c r="AW222" s="121"/>
      <c r="AX222" s="428"/>
    </row>
    <row r="223" spans="1:50" hidden="1">
      <c r="A223" s="490"/>
      <c r="B223" s="500"/>
      <c r="C223" s="443"/>
      <c r="D223" s="468"/>
      <c r="E223" s="63"/>
      <c r="F223" s="433"/>
      <c r="G223" s="195"/>
      <c r="H223" s="188" t="s">
        <v>15</v>
      </c>
      <c r="I223" s="226"/>
      <c r="J223" s="227"/>
      <c r="K223" s="228"/>
      <c r="L223" s="226"/>
      <c r="M223" s="226"/>
      <c r="N223" s="226"/>
      <c r="O223" s="226"/>
      <c r="P223" s="226"/>
      <c r="Q223" s="227"/>
      <c r="R223" s="228"/>
      <c r="S223" s="248"/>
      <c r="T223" s="226"/>
      <c r="U223" s="226"/>
      <c r="V223" s="226"/>
      <c r="W223" s="226"/>
      <c r="X223" s="227"/>
      <c r="Y223" s="228"/>
      <c r="Z223" s="226"/>
      <c r="AA223" s="226"/>
      <c r="AB223" s="226"/>
      <c r="AC223" s="226"/>
      <c r="AD223" s="226"/>
      <c r="AE223" s="227"/>
      <c r="AF223" s="228"/>
      <c r="AG223" s="226"/>
      <c r="AH223" s="226"/>
      <c r="AI223" s="226"/>
      <c r="AJ223" s="226"/>
      <c r="AK223" s="263"/>
      <c r="AL223" s="227"/>
      <c r="AM223" s="228"/>
      <c r="AN223" s="253">
        <f>SUM(I223:AM223)</f>
        <v>0</v>
      </c>
      <c r="AO223" s="108"/>
      <c r="AP223" s="108"/>
      <c r="AQ223" s="108"/>
      <c r="AR223" s="428"/>
      <c r="AS223" s="108"/>
      <c r="AT223" s="108"/>
      <c r="AU223" s="428"/>
      <c r="AV223" s="428"/>
      <c r="AW223" s="121"/>
      <c r="AX223" s="428"/>
    </row>
    <row r="224" spans="1:50" hidden="1">
      <c r="A224" s="490"/>
      <c r="B224" s="500"/>
      <c r="C224" s="443"/>
      <c r="D224" s="468"/>
      <c r="E224" s="63"/>
      <c r="F224" s="433"/>
      <c r="G224" s="195"/>
      <c r="H224" s="187" t="s">
        <v>106</v>
      </c>
      <c r="I224" s="297"/>
      <c r="J224" s="298"/>
      <c r="K224" s="299"/>
      <c r="L224" s="297"/>
      <c r="M224" s="297"/>
      <c r="N224" s="297"/>
      <c r="O224" s="297"/>
      <c r="P224" s="297"/>
      <c r="Q224" s="298"/>
      <c r="R224" s="299"/>
      <c r="S224" s="301"/>
      <c r="T224" s="297"/>
      <c r="U224" s="297"/>
      <c r="V224" s="297"/>
      <c r="W224" s="297"/>
      <c r="X224" s="298"/>
      <c r="Y224" s="299"/>
      <c r="Z224" s="297"/>
      <c r="AA224" s="297"/>
      <c r="AB224" s="297"/>
      <c r="AC224" s="297">
        <f>($AM$233*$D$192/5)*5</f>
        <v>0</v>
      </c>
      <c r="AD224" s="297">
        <f>($AM$233*$D$192/5)*5</f>
        <v>0</v>
      </c>
      <c r="AE224" s="298"/>
      <c r="AF224" s="299"/>
      <c r="AG224" s="297"/>
      <c r="AH224" s="297">
        <f>($AM$233*$D$192/5)*5</f>
        <v>0</v>
      </c>
      <c r="AI224" s="297">
        <f>($AM$233*$D$192/5)*5</f>
        <v>0</v>
      </c>
      <c r="AJ224" s="297">
        <f>($AM$233*$D$192/5)*5</f>
        <v>0</v>
      </c>
      <c r="AK224" s="304"/>
      <c r="AL224" s="298"/>
      <c r="AM224" s="299"/>
      <c r="AN224" s="256">
        <f>SUM(I224:AM224)</f>
        <v>0</v>
      </c>
      <c r="AO224" s="108"/>
      <c r="AP224" s="108"/>
      <c r="AQ224" s="108"/>
      <c r="AR224" s="428"/>
      <c r="AS224" s="108"/>
      <c r="AT224" s="108"/>
      <c r="AU224" s="428"/>
      <c r="AV224" s="428"/>
      <c r="AW224" s="121"/>
      <c r="AX224" s="428"/>
    </row>
    <row r="225" spans="1:50" hidden="1">
      <c r="A225" s="490"/>
      <c r="B225" s="500"/>
      <c r="C225" s="443"/>
      <c r="D225" s="468"/>
      <c r="E225" s="63"/>
      <c r="F225" s="433"/>
      <c r="G225" s="195"/>
      <c r="H225" s="187" t="s">
        <v>107</v>
      </c>
      <c r="I225" s="296"/>
      <c r="J225" s="227"/>
      <c r="K225" s="228"/>
      <c r="L225" s="296"/>
      <c r="M225" s="296"/>
      <c r="N225" s="296"/>
      <c r="O225" s="296"/>
      <c r="P225" s="296"/>
      <c r="Q225" s="227"/>
      <c r="R225" s="228"/>
      <c r="S225" s="248"/>
      <c r="T225" s="296"/>
      <c r="U225" s="296"/>
      <c r="V225" s="296"/>
      <c r="W225" s="296"/>
      <c r="X225" s="227"/>
      <c r="Y225" s="228"/>
      <c r="Z225" s="296"/>
      <c r="AA225" s="296"/>
      <c r="AB225" s="296"/>
      <c r="AC225" s="296">
        <v>5</v>
      </c>
      <c r="AD225" s="296">
        <v>5</v>
      </c>
      <c r="AE225" s="227"/>
      <c r="AF225" s="228"/>
      <c r="AG225" s="296"/>
      <c r="AH225" s="296">
        <v>5</v>
      </c>
      <c r="AI225" s="296">
        <v>5</v>
      </c>
      <c r="AJ225" s="296">
        <v>5</v>
      </c>
      <c r="AK225" s="263"/>
      <c r="AL225" s="227"/>
      <c r="AM225" s="228"/>
      <c r="AN225" s="256"/>
      <c r="AO225" s="108"/>
      <c r="AP225" s="108"/>
      <c r="AQ225" s="108"/>
      <c r="AR225" s="428"/>
      <c r="AS225" s="108"/>
      <c r="AT225" s="108"/>
      <c r="AU225" s="428"/>
      <c r="AV225" s="428"/>
      <c r="AW225" s="121"/>
      <c r="AX225" s="428"/>
    </row>
    <row r="226" spans="1:50" hidden="1">
      <c r="A226" s="490"/>
      <c r="B226" s="500"/>
      <c r="C226" s="443"/>
      <c r="D226" s="468"/>
      <c r="E226" s="63"/>
      <c r="F226" s="433"/>
      <c r="G226" s="195"/>
      <c r="H226" s="188" t="s">
        <v>15</v>
      </c>
      <c r="I226" s="226"/>
      <c r="J226" s="227"/>
      <c r="K226" s="228"/>
      <c r="L226" s="226"/>
      <c r="M226" s="226"/>
      <c r="N226" s="226"/>
      <c r="O226" s="226"/>
      <c r="P226" s="226"/>
      <c r="Q226" s="227"/>
      <c r="R226" s="228"/>
      <c r="S226" s="248"/>
      <c r="T226" s="226"/>
      <c r="U226" s="226"/>
      <c r="V226" s="226"/>
      <c r="W226" s="226"/>
      <c r="X226" s="227"/>
      <c r="Y226" s="228"/>
      <c r="Z226" s="226"/>
      <c r="AA226" s="226"/>
      <c r="AB226" s="226"/>
      <c r="AC226" s="226"/>
      <c r="AD226" s="226"/>
      <c r="AE226" s="227"/>
      <c r="AF226" s="228"/>
      <c r="AG226" s="226"/>
      <c r="AH226" s="226"/>
      <c r="AI226" s="226"/>
      <c r="AJ226" s="226"/>
      <c r="AK226" s="263"/>
      <c r="AL226" s="227"/>
      <c r="AM226" s="228"/>
      <c r="AN226" s="253">
        <f>SUM(I226:AM226)</f>
        <v>0</v>
      </c>
      <c r="AO226" s="108"/>
      <c r="AP226" s="108"/>
      <c r="AQ226" s="108"/>
      <c r="AR226" s="428"/>
      <c r="AS226" s="108"/>
      <c r="AT226" s="108"/>
      <c r="AU226" s="428"/>
      <c r="AV226" s="428"/>
      <c r="AW226" s="121"/>
      <c r="AX226" s="428"/>
    </row>
    <row r="227" spans="1:50" hidden="1">
      <c r="A227" s="490"/>
      <c r="B227" s="500"/>
      <c r="C227" s="443"/>
      <c r="D227" s="468"/>
      <c r="E227" s="63"/>
      <c r="F227" s="433"/>
      <c r="G227" s="195"/>
      <c r="H227" s="187" t="s">
        <v>108</v>
      </c>
      <c r="I227" s="297"/>
      <c r="J227" s="298"/>
      <c r="K227" s="299"/>
      <c r="L227" s="297"/>
      <c r="M227" s="297"/>
      <c r="N227" s="297"/>
      <c r="O227" s="297"/>
      <c r="P227" s="297"/>
      <c r="Q227" s="298"/>
      <c r="R227" s="299"/>
      <c r="S227" s="301"/>
      <c r="T227" s="297"/>
      <c r="U227" s="297"/>
      <c r="V227" s="297"/>
      <c r="W227" s="297"/>
      <c r="X227" s="298"/>
      <c r="Y227" s="299"/>
      <c r="Z227" s="297"/>
      <c r="AA227" s="297"/>
      <c r="AB227" s="297"/>
      <c r="AC227" s="297">
        <f>$AM$233*$D$192/5</f>
        <v>0</v>
      </c>
      <c r="AD227" s="297">
        <f>$AM$233*$D$192/5</f>
        <v>0</v>
      </c>
      <c r="AE227" s="298"/>
      <c r="AF227" s="299"/>
      <c r="AG227" s="297"/>
      <c r="AH227" s="297">
        <f>$AM$233*$D$192/5</f>
        <v>0</v>
      </c>
      <c r="AI227" s="297">
        <f>$AM$233*$D$192/5</f>
        <v>0</v>
      </c>
      <c r="AJ227" s="297">
        <f>$AM$233*$D$192/5</f>
        <v>0</v>
      </c>
      <c r="AK227" s="304"/>
      <c r="AL227" s="298"/>
      <c r="AM227" s="299"/>
      <c r="AN227" s="256">
        <f>SUM(I227:AM227)</f>
        <v>0</v>
      </c>
      <c r="AO227" s="108"/>
      <c r="AP227" s="108"/>
      <c r="AQ227" s="108"/>
      <c r="AR227" s="428"/>
      <c r="AS227" s="108"/>
      <c r="AT227" s="108"/>
      <c r="AU227" s="428"/>
      <c r="AV227" s="428"/>
      <c r="AW227" s="121"/>
      <c r="AX227" s="428"/>
    </row>
    <row r="228" spans="1:50" hidden="1">
      <c r="A228" s="490"/>
      <c r="B228" s="500"/>
      <c r="C228" s="443"/>
      <c r="D228" s="468"/>
      <c r="E228" s="63"/>
      <c r="F228" s="433"/>
      <c r="G228" s="195"/>
      <c r="H228" s="187" t="s">
        <v>31</v>
      </c>
      <c r="I228" s="296"/>
      <c r="J228" s="227"/>
      <c r="K228" s="228"/>
      <c r="L228" s="296"/>
      <c r="M228" s="296"/>
      <c r="N228" s="296"/>
      <c r="O228" s="296"/>
      <c r="P228" s="296"/>
      <c r="Q228" s="227"/>
      <c r="R228" s="228"/>
      <c r="S228" s="248"/>
      <c r="T228" s="296"/>
      <c r="U228" s="296"/>
      <c r="V228" s="296"/>
      <c r="W228" s="296"/>
      <c r="X228" s="227"/>
      <c r="Y228" s="228"/>
      <c r="Z228" s="296"/>
      <c r="AA228" s="296"/>
      <c r="AB228" s="296"/>
      <c r="AC228" s="296">
        <v>1</v>
      </c>
      <c r="AD228" s="296">
        <v>1</v>
      </c>
      <c r="AE228" s="227"/>
      <c r="AF228" s="228"/>
      <c r="AG228" s="296"/>
      <c r="AH228" s="296">
        <v>1</v>
      </c>
      <c r="AI228" s="296">
        <v>1</v>
      </c>
      <c r="AJ228" s="296">
        <v>1</v>
      </c>
      <c r="AK228" s="263"/>
      <c r="AL228" s="227"/>
      <c r="AM228" s="228"/>
      <c r="AN228" s="256"/>
      <c r="AO228" s="108"/>
      <c r="AP228" s="108"/>
      <c r="AQ228" s="108"/>
      <c r="AR228" s="428"/>
      <c r="AS228" s="108"/>
      <c r="AT228" s="108"/>
      <c r="AU228" s="428"/>
      <c r="AV228" s="428"/>
      <c r="AW228" s="121"/>
      <c r="AX228" s="428"/>
    </row>
    <row r="229" spans="1:50" hidden="1">
      <c r="A229" s="490"/>
      <c r="B229" s="500"/>
      <c r="C229" s="443"/>
      <c r="D229" s="468"/>
      <c r="E229" s="63"/>
      <c r="F229" s="433"/>
      <c r="G229" s="195"/>
      <c r="H229" s="188" t="s">
        <v>15</v>
      </c>
      <c r="I229" s="226"/>
      <c r="J229" s="227"/>
      <c r="K229" s="228"/>
      <c r="L229" s="226"/>
      <c r="M229" s="226"/>
      <c r="N229" s="226"/>
      <c r="O229" s="226"/>
      <c r="P229" s="226"/>
      <c r="Q229" s="227"/>
      <c r="R229" s="228"/>
      <c r="S229" s="248"/>
      <c r="T229" s="226"/>
      <c r="U229" s="226"/>
      <c r="V229" s="226"/>
      <c r="W229" s="226"/>
      <c r="X229" s="227"/>
      <c r="Y229" s="228"/>
      <c r="Z229" s="226"/>
      <c r="AA229" s="226"/>
      <c r="AB229" s="226"/>
      <c r="AC229" s="226"/>
      <c r="AD229" s="226"/>
      <c r="AE229" s="227"/>
      <c r="AF229" s="228"/>
      <c r="AG229" s="226"/>
      <c r="AH229" s="226"/>
      <c r="AI229" s="226"/>
      <c r="AJ229" s="226"/>
      <c r="AK229" s="263"/>
      <c r="AL229" s="227"/>
      <c r="AM229" s="228"/>
      <c r="AN229" s="253">
        <f>SUM(I229:AM229)</f>
        <v>0</v>
      </c>
      <c r="AO229" s="108"/>
      <c r="AP229" s="108"/>
      <c r="AQ229" s="108"/>
      <c r="AR229" s="428"/>
      <c r="AS229" s="108"/>
      <c r="AT229" s="108"/>
      <c r="AU229" s="428"/>
      <c r="AV229" s="428"/>
      <c r="AW229" s="121"/>
      <c r="AX229" s="428"/>
    </row>
    <row r="230" spans="1:50" hidden="1">
      <c r="A230" s="490"/>
      <c r="B230" s="500"/>
      <c r="C230" s="443"/>
      <c r="D230" s="468"/>
      <c r="E230" s="63"/>
      <c r="F230" s="433"/>
      <c r="G230" s="195"/>
      <c r="H230" s="187" t="s">
        <v>109</v>
      </c>
      <c r="I230" s="297"/>
      <c r="J230" s="298"/>
      <c r="K230" s="299"/>
      <c r="L230" s="297"/>
      <c r="M230" s="297"/>
      <c r="N230" s="297"/>
      <c r="O230" s="297"/>
      <c r="P230" s="297"/>
      <c r="Q230" s="298"/>
      <c r="R230" s="299"/>
      <c r="S230" s="301"/>
      <c r="T230" s="297"/>
      <c r="U230" s="297"/>
      <c r="V230" s="297"/>
      <c r="W230" s="297"/>
      <c r="X230" s="298"/>
      <c r="Y230" s="299"/>
      <c r="Z230" s="297"/>
      <c r="AA230" s="297"/>
      <c r="AB230" s="297"/>
      <c r="AC230" s="297">
        <f>$AM$233*$D$192/5</f>
        <v>0</v>
      </c>
      <c r="AD230" s="297">
        <f>$AM$233*$D$192/5</f>
        <v>0</v>
      </c>
      <c r="AE230" s="298"/>
      <c r="AF230" s="299"/>
      <c r="AG230" s="297"/>
      <c r="AH230" s="297">
        <f>$AM$233*$D$192/5</f>
        <v>0</v>
      </c>
      <c r="AI230" s="297">
        <f>$AM$233*$D$192/5</f>
        <v>0</v>
      </c>
      <c r="AJ230" s="297">
        <f>$AM$233*$D$192/5</f>
        <v>0</v>
      </c>
      <c r="AK230" s="304"/>
      <c r="AL230" s="298"/>
      <c r="AM230" s="299"/>
      <c r="AN230" s="256">
        <f>SUM(I230:AM230)</f>
        <v>0</v>
      </c>
      <c r="AO230" s="108"/>
      <c r="AP230" s="108"/>
      <c r="AQ230" s="108"/>
      <c r="AR230" s="428"/>
      <c r="AS230" s="108"/>
      <c r="AT230" s="108"/>
      <c r="AU230" s="428"/>
      <c r="AV230" s="428"/>
      <c r="AW230" s="121"/>
      <c r="AX230" s="428"/>
    </row>
    <row r="231" spans="1:50" hidden="1">
      <c r="A231" s="490"/>
      <c r="B231" s="500"/>
      <c r="C231" s="443"/>
      <c r="D231" s="468"/>
      <c r="E231" s="63"/>
      <c r="F231" s="433"/>
      <c r="G231" s="195"/>
      <c r="H231" s="187" t="s">
        <v>84</v>
      </c>
      <c r="I231" s="296"/>
      <c r="J231" s="227"/>
      <c r="K231" s="228"/>
      <c r="L231" s="296"/>
      <c r="M231" s="296"/>
      <c r="N231" s="296"/>
      <c r="O231" s="296"/>
      <c r="P231" s="296"/>
      <c r="Q231" s="227"/>
      <c r="R231" s="228"/>
      <c r="S231" s="248"/>
      <c r="T231" s="296"/>
      <c r="U231" s="296"/>
      <c r="V231" s="296"/>
      <c r="W231" s="296"/>
      <c r="X231" s="227"/>
      <c r="Y231" s="228"/>
      <c r="Z231" s="296"/>
      <c r="AA231" s="296"/>
      <c r="AB231" s="296"/>
      <c r="AC231" s="296">
        <v>1</v>
      </c>
      <c r="AD231" s="296">
        <v>1</v>
      </c>
      <c r="AE231" s="227"/>
      <c r="AF231" s="228"/>
      <c r="AG231" s="296"/>
      <c r="AH231" s="296">
        <v>1</v>
      </c>
      <c r="AI231" s="296">
        <v>1</v>
      </c>
      <c r="AJ231" s="296">
        <v>1</v>
      </c>
      <c r="AK231" s="263"/>
      <c r="AL231" s="227"/>
      <c r="AM231" s="228"/>
      <c r="AN231" s="256"/>
      <c r="AO231" s="108"/>
      <c r="AP231" s="108"/>
      <c r="AQ231" s="108"/>
      <c r="AR231" s="428"/>
      <c r="AS231" s="108"/>
      <c r="AT231" s="108"/>
      <c r="AU231" s="428"/>
      <c r="AV231" s="428"/>
      <c r="AW231" s="121"/>
      <c r="AX231" s="428"/>
    </row>
    <row r="232" spans="1:50" hidden="1">
      <c r="A232" s="490"/>
      <c r="B232" s="500"/>
      <c r="C232" s="443"/>
      <c r="D232" s="468"/>
      <c r="E232" s="63"/>
      <c r="F232" s="433"/>
      <c r="G232" s="195"/>
      <c r="H232" s="188" t="s">
        <v>15</v>
      </c>
      <c r="I232" s="226"/>
      <c r="J232" s="227"/>
      <c r="K232" s="228"/>
      <c r="L232" s="226"/>
      <c r="M232" s="226"/>
      <c r="N232" s="226"/>
      <c r="O232" s="215"/>
      <c r="P232" s="215"/>
      <c r="Q232" s="227"/>
      <c r="R232" s="228"/>
      <c r="S232" s="248"/>
      <c r="T232" s="226"/>
      <c r="U232" s="226"/>
      <c r="V232" s="226"/>
      <c r="W232" s="226"/>
      <c r="X232" s="227"/>
      <c r="Y232" s="228"/>
      <c r="Z232" s="215"/>
      <c r="AA232" s="226"/>
      <c r="AB232" s="226"/>
      <c r="AC232" s="226"/>
      <c r="AD232" s="226"/>
      <c r="AE232" s="227"/>
      <c r="AF232" s="228"/>
      <c r="AG232" s="215"/>
      <c r="AH232" s="226"/>
      <c r="AI232" s="226"/>
      <c r="AJ232" s="226"/>
      <c r="AK232" s="263"/>
      <c r="AL232" s="227"/>
      <c r="AM232" s="228"/>
      <c r="AN232" s="253">
        <f>SUM(I232:AM232)</f>
        <v>0</v>
      </c>
      <c r="AO232" s="108"/>
      <c r="AP232" s="108"/>
      <c r="AQ232" s="108"/>
      <c r="AR232" s="428"/>
      <c r="AS232" s="108"/>
      <c r="AT232" s="108"/>
      <c r="AU232" s="428"/>
      <c r="AV232" s="428"/>
      <c r="AW232" s="121"/>
      <c r="AX232" s="428"/>
    </row>
    <row r="233" spans="1:50" hidden="1">
      <c r="A233" s="490"/>
      <c r="B233" s="500"/>
      <c r="C233" s="443"/>
      <c r="D233" s="468"/>
      <c r="E233" s="63"/>
      <c r="F233" s="433"/>
      <c r="G233" s="195"/>
      <c r="H233" s="187" t="s">
        <v>32</v>
      </c>
      <c r="I233" s="296"/>
      <c r="J233" s="227"/>
      <c r="K233" s="228"/>
      <c r="L233" s="296"/>
      <c r="M233" s="296"/>
      <c r="N233" s="296"/>
      <c r="O233" s="190"/>
      <c r="P233" s="190"/>
      <c r="Q233" s="227"/>
      <c r="R233" s="228"/>
      <c r="S233" s="248"/>
      <c r="T233" s="296"/>
      <c r="U233" s="296"/>
      <c r="V233" s="296"/>
      <c r="W233" s="296"/>
      <c r="X233" s="227"/>
      <c r="Y233" s="228"/>
      <c r="Z233" s="190"/>
      <c r="AA233" s="296"/>
      <c r="AB233" s="296"/>
      <c r="AC233" s="296"/>
      <c r="AD233" s="296"/>
      <c r="AE233" s="227"/>
      <c r="AF233" s="228"/>
      <c r="AG233" s="190"/>
      <c r="AH233" s="296"/>
      <c r="AI233" s="296"/>
      <c r="AJ233" s="296"/>
      <c r="AK233" s="263"/>
      <c r="AL233" s="227"/>
      <c r="AM233" s="228"/>
      <c r="AN233" s="256">
        <f>SUM(I233:AM233)</f>
        <v>0</v>
      </c>
      <c r="AO233" s="108"/>
      <c r="AP233" s="108"/>
      <c r="AQ233" s="108"/>
      <c r="AR233" s="428"/>
      <c r="AS233" s="108"/>
      <c r="AT233" s="108"/>
      <c r="AU233" s="428"/>
      <c r="AV233" s="428"/>
      <c r="AW233" s="121"/>
      <c r="AX233" s="428"/>
    </row>
    <row r="234" spans="1:50" hidden="1">
      <c r="A234" s="490"/>
      <c r="B234" s="500"/>
      <c r="C234" s="443"/>
      <c r="D234" s="468"/>
      <c r="E234" s="63"/>
      <c r="F234" s="433"/>
      <c r="G234" s="195"/>
      <c r="H234" s="187" t="s">
        <v>33</v>
      </c>
      <c r="I234" s="296"/>
      <c r="J234" s="227"/>
      <c r="K234" s="228"/>
      <c r="L234" s="296"/>
      <c r="M234" s="296"/>
      <c r="N234" s="296"/>
      <c r="O234" s="190"/>
      <c r="P234" s="190"/>
      <c r="Q234" s="227"/>
      <c r="R234" s="228"/>
      <c r="S234" s="248"/>
      <c r="T234" s="296"/>
      <c r="U234" s="296"/>
      <c r="V234" s="296"/>
      <c r="W234" s="296"/>
      <c r="X234" s="227"/>
      <c r="Y234" s="228"/>
      <c r="Z234" s="190"/>
      <c r="AA234" s="296"/>
      <c r="AB234" s="296"/>
      <c r="AC234" s="296"/>
      <c r="AD234" s="296"/>
      <c r="AE234" s="227"/>
      <c r="AF234" s="228"/>
      <c r="AG234" s="190"/>
      <c r="AH234" s="296"/>
      <c r="AI234" s="296"/>
      <c r="AJ234" s="296"/>
      <c r="AK234" s="263"/>
      <c r="AL234" s="227"/>
      <c r="AM234" s="228"/>
      <c r="AN234" s="256"/>
      <c r="AO234" s="108"/>
      <c r="AP234" s="108"/>
      <c r="AQ234" s="108"/>
      <c r="AR234" s="428"/>
      <c r="AS234" s="108"/>
      <c r="AT234" s="108"/>
      <c r="AU234" s="428"/>
      <c r="AV234" s="428"/>
      <c r="AW234" s="121"/>
      <c r="AX234" s="428"/>
    </row>
    <row r="235" spans="1:50" hidden="1">
      <c r="A235" s="495"/>
      <c r="B235" s="507"/>
      <c r="C235" s="444"/>
      <c r="D235" s="480"/>
      <c r="E235" s="125"/>
      <c r="F235" s="434"/>
      <c r="G235" s="135"/>
      <c r="H235" s="192" t="s">
        <v>15</v>
      </c>
      <c r="I235" s="220"/>
      <c r="J235" s="270"/>
      <c r="K235" s="271"/>
      <c r="L235" s="220"/>
      <c r="M235" s="220"/>
      <c r="N235" s="220"/>
      <c r="O235" s="220"/>
      <c r="P235" s="220"/>
      <c r="Q235" s="270"/>
      <c r="R235" s="271"/>
      <c r="S235" s="282"/>
      <c r="T235" s="220"/>
      <c r="U235" s="220"/>
      <c r="V235" s="220"/>
      <c r="W235" s="220"/>
      <c r="X235" s="270"/>
      <c r="Y235" s="271"/>
      <c r="Z235" s="220"/>
      <c r="AA235" s="220"/>
      <c r="AB235" s="220"/>
      <c r="AC235" s="220"/>
      <c r="AD235" s="220"/>
      <c r="AE235" s="270"/>
      <c r="AF235" s="271"/>
      <c r="AG235" s="220"/>
      <c r="AH235" s="220"/>
      <c r="AI235" s="220"/>
      <c r="AJ235" s="220"/>
      <c r="AK235" s="287"/>
      <c r="AL235" s="270"/>
      <c r="AM235" s="271"/>
      <c r="AN235" s="305">
        <f>SUM(I235:AM235)</f>
        <v>0</v>
      </c>
      <c r="AO235" s="108"/>
      <c r="AP235" s="108"/>
      <c r="AQ235" s="108"/>
      <c r="AR235" s="428"/>
      <c r="AS235" s="108"/>
      <c r="AT235" s="108"/>
      <c r="AU235" s="428"/>
      <c r="AV235" s="428"/>
      <c r="AW235" s="121"/>
      <c r="AX235" s="428"/>
    </row>
    <row r="236" spans="1:50" hidden="1">
      <c r="C236" s="21"/>
      <c r="D236" s="21"/>
      <c r="E236" s="21"/>
      <c r="F236" s="21"/>
      <c r="AO236" s="309"/>
      <c r="AP236" s="310"/>
      <c r="AQ236" s="309"/>
      <c r="AR236" s="309"/>
      <c r="AS236" s="309"/>
      <c r="AT236" s="309"/>
      <c r="AU236" s="309"/>
      <c r="AV236" s="309"/>
      <c r="AW236" s="309"/>
      <c r="AX236" s="309"/>
    </row>
    <row r="237" spans="1:50" ht="30" customHeight="1">
      <c r="C237" s="21"/>
      <c r="D237" s="21"/>
      <c r="E237" s="21"/>
      <c r="F237" s="21"/>
      <c r="G237" s="292" t="s">
        <v>7</v>
      </c>
      <c r="H237" s="42" t="s">
        <v>8</v>
      </c>
      <c r="I237" s="38">
        <v>1</v>
      </c>
      <c r="J237" s="200">
        <v>2</v>
      </c>
      <c r="K237" s="65">
        <v>3</v>
      </c>
      <c r="L237" s="38">
        <v>4</v>
      </c>
      <c r="M237" s="38">
        <v>5</v>
      </c>
      <c r="N237" s="38">
        <v>6</v>
      </c>
      <c r="O237" s="38">
        <v>7</v>
      </c>
      <c r="P237" s="38">
        <v>8</v>
      </c>
      <c r="Q237" s="200">
        <v>9</v>
      </c>
      <c r="R237" s="65">
        <v>10</v>
      </c>
      <c r="S237" s="238">
        <v>11</v>
      </c>
      <c r="T237" s="38">
        <v>12</v>
      </c>
      <c r="U237" s="38">
        <v>13</v>
      </c>
      <c r="V237" s="38">
        <v>14</v>
      </c>
      <c r="W237" s="38">
        <v>15</v>
      </c>
      <c r="X237" s="200">
        <v>16</v>
      </c>
      <c r="Y237" s="65">
        <v>17</v>
      </c>
      <c r="Z237" s="38">
        <v>18</v>
      </c>
      <c r="AA237" s="38">
        <v>19</v>
      </c>
      <c r="AB237" s="38">
        <v>20</v>
      </c>
      <c r="AC237" s="38">
        <v>21</v>
      </c>
      <c r="AD237" s="38">
        <v>22</v>
      </c>
      <c r="AE237" s="200">
        <v>23</v>
      </c>
      <c r="AF237" s="65">
        <v>24</v>
      </c>
      <c r="AG237" s="38">
        <v>25</v>
      </c>
      <c r="AH237" s="38">
        <v>26</v>
      </c>
      <c r="AI237" s="38">
        <v>27</v>
      </c>
      <c r="AJ237" s="38">
        <v>28</v>
      </c>
      <c r="AK237" s="238">
        <v>29</v>
      </c>
      <c r="AL237" s="200">
        <v>30</v>
      </c>
      <c r="AM237" s="65">
        <v>31</v>
      </c>
      <c r="AN237" s="38" t="s">
        <v>9</v>
      </c>
      <c r="AO237" s="309"/>
      <c r="AP237" s="310"/>
      <c r="AQ237" s="309"/>
      <c r="AR237" s="309"/>
      <c r="AS237" s="309"/>
      <c r="AT237" s="309"/>
      <c r="AU237" s="309"/>
      <c r="AV237" s="309"/>
      <c r="AW237" s="309"/>
      <c r="AX237" s="309"/>
    </row>
    <row r="238" spans="1:50">
      <c r="C238" s="21"/>
      <c r="D238" s="21"/>
      <c r="E238" s="21"/>
      <c r="F238" s="21"/>
      <c r="G238" s="435">
        <v>0.08</v>
      </c>
      <c r="H238" s="185" t="s">
        <v>129</v>
      </c>
      <c r="I238" s="201">
        <v>386</v>
      </c>
      <c r="J238" s="202">
        <v>216</v>
      </c>
      <c r="K238" s="203">
        <v>0</v>
      </c>
      <c r="L238" s="201">
        <v>386</v>
      </c>
      <c r="M238" s="201">
        <v>386</v>
      </c>
      <c r="N238" s="201">
        <v>386</v>
      </c>
      <c r="O238" s="201">
        <v>386</v>
      </c>
      <c r="P238" s="201">
        <v>386</v>
      </c>
      <c r="Q238" s="202">
        <v>216</v>
      </c>
      <c r="R238" s="203">
        <v>0</v>
      </c>
      <c r="S238" s="239">
        <v>0</v>
      </c>
      <c r="T238" s="201">
        <v>386</v>
      </c>
      <c r="U238" s="201">
        <v>386</v>
      </c>
      <c r="V238" s="201">
        <v>386</v>
      </c>
      <c r="W238" s="201">
        <v>386</v>
      </c>
      <c r="X238" s="202">
        <v>216</v>
      </c>
      <c r="Y238" s="203">
        <v>0</v>
      </c>
      <c r="Z238" s="201">
        <v>428</v>
      </c>
      <c r="AA238" s="201">
        <v>428</v>
      </c>
      <c r="AB238" s="201">
        <v>428</v>
      </c>
      <c r="AC238" s="201">
        <v>428</v>
      </c>
      <c r="AD238" s="201">
        <v>428</v>
      </c>
      <c r="AE238" s="202">
        <v>258</v>
      </c>
      <c r="AF238" s="203">
        <v>0</v>
      </c>
      <c r="AG238" s="201">
        <v>428</v>
      </c>
      <c r="AH238" s="201">
        <v>428</v>
      </c>
      <c r="AI238" s="201">
        <v>428</v>
      </c>
      <c r="AJ238" s="201">
        <v>428</v>
      </c>
      <c r="AK238" s="239">
        <v>0</v>
      </c>
      <c r="AL238" s="202">
        <v>0</v>
      </c>
      <c r="AM238" s="203">
        <v>0</v>
      </c>
      <c r="AN238" s="306">
        <f>SUM(I238:AM238)</f>
        <v>8618</v>
      </c>
      <c r="AO238" s="309"/>
      <c r="AP238" s="310"/>
      <c r="AQ238" s="309"/>
      <c r="AR238" s="309"/>
      <c r="AS238" s="309"/>
      <c r="AT238" s="309"/>
      <c r="AU238" s="309"/>
      <c r="AV238" s="309"/>
      <c r="AW238" s="309"/>
      <c r="AX238" s="309"/>
    </row>
    <row r="239" spans="1:50">
      <c r="C239" s="21"/>
      <c r="D239" s="21"/>
      <c r="E239" s="21"/>
      <c r="F239" s="21"/>
      <c r="G239" s="436"/>
      <c r="H239" s="188" t="s">
        <v>15</v>
      </c>
      <c r="I239" s="209">
        <v>464.01</v>
      </c>
      <c r="J239" s="207">
        <v>250.22</v>
      </c>
      <c r="K239" s="208"/>
      <c r="L239" s="209">
        <v>474.89</v>
      </c>
      <c r="M239" s="209">
        <v>457.3</v>
      </c>
      <c r="N239" s="209"/>
      <c r="O239" s="209"/>
      <c r="P239" s="209"/>
      <c r="Q239" s="207"/>
      <c r="R239" s="208"/>
      <c r="S239" s="241"/>
      <c r="T239" s="209"/>
      <c r="U239" s="209"/>
      <c r="V239" s="209"/>
      <c r="W239" s="209"/>
      <c r="X239" s="207"/>
      <c r="Y239" s="208"/>
      <c r="Z239" s="209"/>
      <c r="AA239" s="209"/>
      <c r="AB239" s="209"/>
      <c r="AC239" s="209"/>
      <c r="AD239" s="209"/>
      <c r="AE239" s="207"/>
      <c r="AF239" s="208"/>
      <c r="AG239" s="209"/>
      <c r="AH239" s="209"/>
      <c r="AI239" s="209"/>
      <c r="AJ239" s="209"/>
      <c r="AK239" s="254"/>
      <c r="AL239" s="207"/>
      <c r="AM239" s="208"/>
      <c r="AN239" s="307">
        <f>SUM(I239:AM239)</f>
        <v>1646.4199999999998</v>
      </c>
      <c r="AO239" s="309"/>
      <c r="AP239" s="310"/>
      <c r="AQ239" s="309"/>
      <c r="AR239" s="309"/>
      <c r="AS239" s="309"/>
      <c r="AT239" s="309"/>
      <c r="AU239" s="309"/>
      <c r="AV239" s="309"/>
      <c r="AW239" s="309"/>
      <c r="AX239" s="309"/>
    </row>
    <row r="240" spans="1:50">
      <c r="C240" s="21"/>
      <c r="D240" s="21"/>
      <c r="E240" s="21"/>
      <c r="F240" s="21"/>
      <c r="G240" s="437"/>
      <c r="H240" s="188" t="s">
        <v>110</v>
      </c>
      <c r="I240" s="209">
        <f>I239-I238</f>
        <v>78.009999999999991</v>
      </c>
      <c r="J240" s="423">
        <f>I240+(J239-J238)</f>
        <v>112.22999999999999</v>
      </c>
      <c r="K240" s="208"/>
      <c r="L240" s="209">
        <f>J240+(L239-L238)</f>
        <v>201.11999999999998</v>
      </c>
      <c r="M240" s="209">
        <f>L240+(M239-M238)</f>
        <v>272.41999999999996</v>
      </c>
      <c r="N240" s="209"/>
      <c r="O240" s="209"/>
      <c r="P240" s="209"/>
      <c r="Q240" s="207"/>
      <c r="R240" s="208"/>
      <c r="S240" s="241"/>
      <c r="T240" s="209"/>
      <c r="U240" s="209"/>
      <c r="V240" s="209"/>
      <c r="W240" s="209"/>
      <c r="X240" s="207"/>
      <c r="Y240" s="208"/>
      <c r="Z240" s="209"/>
      <c r="AA240" s="209"/>
      <c r="AB240" s="209"/>
      <c r="AC240" s="209"/>
      <c r="AD240" s="209"/>
      <c r="AE240" s="207"/>
      <c r="AF240" s="208"/>
      <c r="AG240" s="209"/>
      <c r="AH240" s="209"/>
      <c r="AI240" s="209"/>
      <c r="AJ240" s="209"/>
      <c r="AK240" s="254"/>
      <c r="AL240" s="207">
        <f>AK240+(AL239-AL238)</f>
        <v>0</v>
      </c>
      <c r="AM240" s="208">
        <v>0</v>
      </c>
      <c r="AN240" s="307">
        <v>0</v>
      </c>
      <c r="AO240" s="309"/>
      <c r="AP240" s="310"/>
      <c r="AQ240" s="309"/>
      <c r="AR240" s="309"/>
      <c r="AS240" s="309"/>
      <c r="AT240" s="309"/>
      <c r="AU240" s="309"/>
      <c r="AV240" s="309"/>
      <c r="AW240" s="309"/>
      <c r="AX240" s="309"/>
    </row>
    <row r="241" spans="3:50">
      <c r="C241" s="21"/>
      <c r="D241" s="21"/>
      <c r="E241" s="21"/>
      <c r="F241" s="21"/>
      <c r="G241" s="438">
        <v>0.16</v>
      </c>
      <c r="H241" s="187" t="s">
        <v>129</v>
      </c>
      <c r="I241" s="210">
        <v>0</v>
      </c>
      <c r="J241" s="207">
        <v>0</v>
      </c>
      <c r="K241" s="208">
        <v>0</v>
      </c>
      <c r="L241" s="210">
        <v>0</v>
      </c>
      <c r="M241" s="210">
        <v>100</v>
      </c>
      <c r="N241" s="210">
        <v>100</v>
      </c>
      <c r="O241" s="210">
        <v>100</v>
      </c>
      <c r="P241" s="210">
        <v>100</v>
      </c>
      <c r="Q241" s="207">
        <v>50</v>
      </c>
      <c r="R241" s="208">
        <v>0</v>
      </c>
      <c r="S241" s="241">
        <v>0</v>
      </c>
      <c r="T241" s="210">
        <v>100</v>
      </c>
      <c r="U241" s="210">
        <v>100</v>
      </c>
      <c r="V241" s="210">
        <v>100</v>
      </c>
      <c r="W241" s="210">
        <v>100</v>
      </c>
      <c r="X241" s="207">
        <v>50</v>
      </c>
      <c r="Y241" s="208">
        <v>0</v>
      </c>
      <c r="Z241" s="210">
        <v>100</v>
      </c>
      <c r="AA241" s="210">
        <v>100</v>
      </c>
      <c r="AB241" s="210">
        <v>100</v>
      </c>
      <c r="AC241" s="210">
        <v>100</v>
      </c>
      <c r="AD241" s="210">
        <v>100</v>
      </c>
      <c r="AE241" s="207">
        <v>50</v>
      </c>
      <c r="AF241" s="208">
        <v>0</v>
      </c>
      <c r="AG241" s="210">
        <v>0</v>
      </c>
      <c r="AH241" s="210">
        <v>0</v>
      </c>
      <c r="AI241" s="210">
        <v>0</v>
      </c>
      <c r="AJ241" s="210">
        <v>0</v>
      </c>
      <c r="AK241" s="254"/>
      <c r="AL241" s="207">
        <v>0</v>
      </c>
      <c r="AM241" s="208">
        <v>0</v>
      </c>
      <c r="AN241" s="308">
        <f>SUM(I241:AM241)</f>
        <v>1450</v>
      </c>
      <c r="AO241" s="309"/>
      <c r="AP241" s="310"/>
      <c r="AQ241" s="309"/>
      <c r="AR241" s="309"/>
      <c r="AS241" s="309"/>
      <c r="AT241" s="309"/>
      <c r="AU241" s="309"/>
      <c r="AV241" s="309"/>
      <c r="AW241" s="309"/>
      <c r="AX241" s="309"/>
    </row>
    <row r="242" spans="3:50">
      <c r="C242" s="21"/>
      <c r="D242" s="21"/>
      <c r="E242" s="21"/>
      <c r="F242" s="21"/>
      <c r="G242" s="436"/>
      <c r="H242" s="188" t="s">
        <v>15</v>
      </c>
      <c r="I242" s="209"/>
      <c r="J242" s="207"/>
      <c r="K242" s="208"/>
      <c r="L242" s="209"/>
      <c r="M242" s="209">
        <v>119.18</v>
      </c>
      <c r="N242" s="209"/>
      <c r="O242" s="209"/>
      <c r="P242" s="209"/>
      <c r="Q242" s="207"/>
      <c r="R242" s="208"/>
      <c r="S242" s="241"/>
      <c r="T242" s="209"/>
      <c r="U242" s="209"/>
      <c r="V242" s="209"/>
      <c r="W242" s="209"/>
      <c r="X242" s="207"/>
      <c r="Y242" s="208"/>
      <c r="Z242" s="209"/>
      <c r="AA242" s="209"/>
      <c r="AB242" s="209"/>
      <c r="AC242" s="209"/>
      <c r="AD242" s="209"/>
      <c r="AE242" s="207"/>
      <c r="AF242" s="208"/>
      <c r="AG242" s="209"/>
      <c r="AH242" s="209"/>
      <c r="AI242" s="209"/>
      <c r="AJ242" s="209"/>
      <c r="AK242" s="254"/>
      <c r="AL242" s="207"/>
      <c r="AM242" s="208"/>
      <c r="AN242" s="307">
        <f>SUM(I242:AM242)</f>
        <v>119.18</v>
      </c>
      <c r="AO242" s="309"/>
      <c r="AP242" s="310"/>
      <c r="AQ242" s="309"/>
      <c r="AR242" s="309"/>
      <c r="AS242" s="309"/>
      <c r="AT242" s="309"/>
      <c r="AU242" s="309"/>
      <c r="AV242" s="309"/>
      <c r="AW242" s="309"/>
      <c r="AX242" s="309"/>
    </row>
    <row r="243" spans="3:50">
      <c r="C243" s="21"/>
      <c r="D243" s="21"/>
      <c r="E243" s="21"/>
      <c r="F243" s="21"/>
      <c r="G243" s="437"/>
      <c r="H243" s="188" t="s">
        <v>110</v>
      </c>
      <c r="I243" s="209">
        <f>I242-I241</f>
        <v>0</v>
      </c>
      <c r="J243" s="207">
        <f t="shared" ref="J243:R243" si="128">I243+(J242-J241)</f>
        <v>0</v>
      </c>
      <c r="K243" s="208">
        <f t="shared" si="128"/>
        <v>0</v>
      </c>
      <c r="L243" s="209">
        <f>J243+(L242-L241)</f>
        <v>0</v>
      </c>
      <c r="M243" s="209">
        <f>L243+(M242-M241)</f>
        <v>19.180000000000007</v>
      </c>
      <c r="N243" s="209">
        <f t="shared" si="128"/>
        <v>-80.819999999999993</v>
      </c>
      <c r="O243" s="209">
        <f t="shared" si="128"/>
        <v>-180.82</v>
      </c>
      <c r="P243" s="209">
        <f t="shared" si="128"/>
        <v>-280.82</v>
      </c>
      <c r="Q243" s="207">
        <f t="shared" si="128"/>
        <v>-330.82</v>
      </c>
      <c r="R243" s="208">
        <f t="shared" si="128"/>
        <v>-330.82</v>
      </c>
      <c r="S243" s="241">
        <f>N243+(S242-S241)</f>
        <v>-80.819999999999993</v>
      </c>
      <c r="T243" s="209">
        <f>O243+(T242-T241)</f>
        <v>-280.82</v>
      </c>
      <c r="U243" s="209">
        <f t="shared" ref="U243:Z243" si="129">T243+(U242-U241)</f>
        <v>-380.82</v>
      </c>
      <c r="V243" s="209">
        <f t="shared" si="129"/>
        <v>-480.82</v>
      </c>
      <c r="W243" s="209">
        <f>U243+(W242-W241)</f>
        <v>-480.82</v>
      </c>
      <c r="X243" s="207">
        <f>W243+(X242-X241)</f>
        <v>-530.81999999999994</v>
      </c>
      <c r="Y243" s="208">
        <f>X243+(Y242-Y241)</f>
        <v>-530.81999999999994</v>
      </c>
      <c r="Z243" s="209">
        <f t="shared" si="129"/>
        <v>-630.81999999999994</v>
      </c>
      <c r="AA243" s="209">
        <f>Y243+(AA242-AA241)</f>
        <v>-630.81999999999994</v>
      </c>
      <c r="AB243" s="209">
        <f t="shared" ref="AB243:AG243" si="130">AA243+(AB242-AB241)</f>
        <v>-730.81999999999994</v>
      </c>
      <c r="AC243" s="209">
        <f t="shared" si="130"/>
        <v>-830.81999999999994</v>
      </c>
      <c r="AD243" s="209"/>
      <c r="AE243" s="207">
        <f t="shared" si="130"/>
        <v>-50</v>
      </c>
      <c r="AF243" s="208">
        <f t="shared" si="130"/>
        <v>-50</v>
      </c>
      <c r="AG243" s="209">
        <f t="shared" si="130"/>
        <v>-50</v>
      </c>
      <c r="AH243" s="209">
        <f>AF243+(AH242-AH241)</f>
        <v>-50</v>
      </c>
      <c r="AI243" s="209"/>
      <c r="AJ243" s="209"/>
      <c r="AK243" s="254"/>
      <c r="AL243" s="207">
        <f>AK243+(AL242-AL241)</f>
        <v>0</v>
      </c>
      <c r="AM243" s="208">
        <f>AL243+(AM242-AM241)</f>
        <v>0</v>
      </c>
      <c r="AN243" s="307"/>
      <c r="AO243" s="309"/>
      <c r="AP243" s="310"/>
      <c r="AQ243" s="309"/>
      <c r="AR243" s="309"/>
      <c r="AS243" s="309"/>
      <c r="AT243" s="309"/>
      <c r="AU243" s="309"/>
      <c r="AV243" s="309"/>
      <c r="AW243" s="309"/>
      <c r="AX243" s="309"/>
    </row>
    <row r="244" spans="3:50">
      <c r="C244" s="21"/>
      <c r="D244" s="21"/>
      <c r="E244" s="21"/>
      <c r="F244" s="21"/>
      <c r="G244" s="438">
        <v>0.127</v>
      </c>
      <c r="H244" s="187" t="s">
        <v>129</v>
      </c>
      <c r="I244" s="229">
        <v>0</v>
      </c>
      <c r="J244" s="230">
        <v>0</v>
      </c>
      <c r="K244" s="231">
        <v>0</v>
      </c>
      <c r="L244" s="229">
        <v>0</v>
      </c>
      <c r="M244" s="229">
        <v>0</v>
      </c>
      <c r="N244" s="229">
        <v>0</v>
      </c>
      <c r="O244" s="229">
        <v>0</v>
      </c>
      <c r="P244" s="229">
        <v>0</v>
      </c>
      <c r="Q244" s="230">
        <v>0</v>
      </c>
      <c r="R244" s="231">
        <v>0</v>
      </c>
      <c r="S244" s="246">
        <v>0</v>
      </c>
      <c r="T244" s="229">
        <v>0</v>
      </c>
      <c r="U244" s="229">
        <v>0</v>
      </c>
      <c r="V244" s="229">
        <v>0</v>
      </c>
      <c r="W244" s="229">
        <v>0</v>
      </c>
      <c r="X244" s="230">
        <v>0</v>
      </c>
      <c r="Y244" s="231">
        <v>0</v>
      </c>
      <c r="Z244" s="229">
        <v>0</v>
      </c>
      <c r="AA244" s="229">
        <v>0</v>
      </c>
      <c r="AB244" s="229">
        <v>0</v>
      </c>
      <c r="AC244" s="229">
        <v>0</v>
      </c>
      <c r="AD244" s="229">
        <v>0</v>
      </c>
      <c r="AE244" s="230">
        <v>0</v>
      </c>
      <c r="AF244" s="231">
        <v>0</v>
      </c>
      <c r="AG244" s="229">
        <v>0</v>
      </c>
      <c r="AH244" s="229">
        <v>0</v>
      </c>
      <c r="AI244" s="229">
        <v>0</v>
      </c>
      <c r="AJ244" s="229">
        <v>0</v>
      </c>
      <c r="AK244" s="261"/>
      <c r="AL244" s="230">
        <v>0</v>
      </c>
      <c r="AM244" s="231">
        <v>0</v>
      </c>
      <c r="AN244" s="308">
        <f>SUM(I244:AM244)</f>
        <v>0</v>
      </c>
      <c r="AO244" s="309"/>
      <c r="AP244" s="310"/>
      <c r="AQ244" s="309"/>
      <c r="AR244" s="309"/>
      <c r="AS244" s="309"/>
      <c r="AT244" s="309"/>
      <c r="AU244" s="309"/>
      <c r="AV244" s="309"/>
      <c r="AW244" s="309"/>
      <c r="AX244" s="309"/>
    </row>
    <row r="245" spans="3:50">
      <c r="C245" s="21"/>
      <c r="D245" s="21"/>
      <c r="E245" s="21"/>
      <c r="F245" s="21"/>
      <c r="G245" s="436"/>
      <c r="H245" s="188" t="s">
        <v>15</v>
      </c>
      <c r="I245" s="209"/>
      <c r="J245" s="207"/>
      <c r="K245" s="208"/>
      <c r="L245" s="209"/>
      <c r="M245" s="209"/>
      <c r="N245" s="209"/>
      <c r="O245" s="209"/>
      <c r="P245" s="209"/>
      <c r="Q245" s="207"/>
      <c r="R245" s="208"/>
      <c r="S245" s="241"/>
      <c r="T245" s="209"/>
      <c r="U245" s="209"/>
      <c r="V245" s="209"/>
      <c r="W245" s="209"/>
      <c r="X245" s="207"/>
      <c r="Y245" s="208"/>
      <c r="Z245" s="209"/>
      <c r="AA245" s="209"/>
      <c r="AB245" s="209"/>
      <c r="AC245" s="209"/>
      <c r="AD245" s="209"/>
      <c r="AE245" s="207"/>
      <c r="AF245" s="208"/>
      <c r="AG245" s="209"/>
      <c r="AH245" s="209"/>
      <c r="AI245" s="209"/>
      <c r="AJ245" s="209"/>
      <c r="AK245" s="254"/>
      <c r="AL245" s="207"/>
      <c r="AM245" s="208"/>
      <c r="AN245" s="307">
        <f>SUM(I245:AM245)</f>
        <v>0</v>
      </c>
      <c r="AO245" s="309"/>
      <c r="AP245" s="310"/>
      <c r="AQ245" s="309"/>
      <c r="AR245" s="309"/>
      <c r="AS245" s="309"/>
      <c r="AT245" s="309"/>
      <c r="AU245" s="309"/>
      <c r="AV245" s="309"/>
      <c r="AW245" s="309"/>
      <c r="AX245" s="309"/>
    </row>
    <row r="246" spans="3:50">
      <c r="C246" s="21"/>
      <c r="D246" s="21"/>
      <c r="E246" s="21"/>
      <c r="F246" s="21"/>
      <c r="G246" s="437"/>
      <c r="H246" s="188" t="s">
        <v>110</v>
      </c>
      <c r="I246" s="209">
        <f>I245-I244</f>
        <v>0</v>
      </c>
      <c r="J246" s="207">
        <f t="shared" ref="J246:R246" si="131">I246+(J245-J244)</f>
        <v>0</v>
      </c>
      <c r="K246" s="208">
        <f t="shared" si="131"/>
        <v>0</v>
      </c>
      <c r="L246" s="209">
        <f>J246+(L245-L244)</f>
        <v>0</v>
      </c>
      <c r="M246" s="209">
        <f>K246+(M245-M244)</f>
        <v>0</v>
      </c>
      <c r="N246" s="209">
        <f t="shared" si="131"/>
        <v>0</v>
      </c>
      <c r="O246" s="209">
        <f t="shared" si="131"/>
        <v>0</v>
      </c>
      <c r="P246" s="209">
        <f t="shared" si="131"/>
        <v>0</v>
      </c>
      <c r="Q246" s="207">
        <f t="shared" si="131"/>
        <v>0</v>
      </c>
      <c r="R246" s="208">
        <f t="shared" si="131"/>
        <v>0</v>
      </c>
      <c r="S246" s="241">
        <f>N246+(S245-S244)</f>
        <v>0</v>
      </c>
      <c r="T246" s="209">
        <f>O246+(T245-T244)</f>
        <v>0</v>
      </c>
      <c r="U246" s="209">
        <f t="shared" ref="U246:Z246" si="132">T246+(U245-U244)</f>
        <v>0</v>
      </c>
      <c r="V246" s="209">
        <f t="shared" si="132"/>
        <v>0</v>
      </c>
      <c r="W246" s="209">
        <f>U246+(W245-W244)</f>
        <v>0</v>
      </c>
      <c r="X246" s="207">
        <f>W246+(X245-X244)</f>
        <v>0</v>
      </c>
      <c r="Y246" s="208">
        <f>X246+(Y245-Y244)</f>
        <v>0</v>
      </c>
      <c r="Z246" s="209">
        <f t="shared" si="132"/>
        <v>0</v>
      </c>
      <c r="AA246" s="209">
        <f>Y246+(AA245-AA244)</f>
        <v>0</v>
      </c>
      <c r="AB246" s="209">
        <f t="shared" ref="AB246:AG246" si="133">AA246+(AB245-AB244)</f>
        <v>0</v>
      </c>
      <c r="AC246" s="209">
        <f t="shared" si="133"/>
        <v>0</v>
      </c>
      <c r="AD246" s="209">
        <f t="shared" si="133"/>
        <v>0</v>
      </c>
      <c r="AE246" s="207">
        <f t="shared" si="133"/>
        <v>0</v>
      </c>
      <c r="AF246" s="208">
        <f t="shared" si="133"/>
        <v>0</v>
      </c>
      <c r="AG246" s="209">
        <f t="shared" si="133"/>
        <v>0</v>
      </c>
      <c r="AH246" s="209">
        <f>AF246+(AH245-AH244)</f>
        <v>0</v>
      </c>
      <c r="AI246" s="209"/>
      <c r="AJ246" s="209"/>
      <c r="AK246" s="254"/>
      <c r="AL246" s="207">
        <f>AK246+(AL245-AL244)</f>
        <v>0</v>
      </c>
      <c r="AM246" s="208">
        <f>AL246+(AM245-AM244)</f>
        <v>0</v>
      </c>
      <c r="AN246" s="307"/>
      <c r="AO246" s="309"/>
      <c r="AP246" s="310"/>
      <c r="AQ246" s="309"/>
      <c r="AR246" s="309"/>
      <c r="AS246" s="309"/>
      <c r="AT246" s="309"/>
      <c r="AU246" s="309"/>
      <c r="AV246" s="309"/>
      <c r="AW246" s="309"/>
      <c r="AX246" s="309"/>
    </row>
    <row r="247" spans="3:50">
      <c r="C247" s="21"/>
      <c r="D247" s="21"/>
      <c r="E247" s="21"/>
      <c r="F247" s="21"/>
      <c r="G247" s="438">
        <v>0.12</v>
      </c>
      <c r="H247" s="187" t="s">
        <v>129</v>
      </c>
      <c r="I247" s="229">
        <v>0</v>
      </c>
      <c r="J247" s="230">
        <v>0</v>
      </c>
      <c r="K247" s="231">
        <v>0</v>
      </c>
      <c r="L247" s="229">
        <v>0</v>
      </c>
      <c r="M247" s="229">
        <v>0</v>
      </c>
      <c r="N247" s="229">
        <v>0</v>
      </c>
      <c r="O247" s="229">
        <v>0</v>
      </c>
      <c r="P247" s="229">
        <v>0</v>
      </c>
      <c r="Q247" s="230">
        <v>0</v>
      </c>
      <c r="R247" s="231">
        <v>0</v>
      </c>
      <c r="S247" s="246">
        <v>0</v>
      </c>
      <c r="T247" s="229">
        <v>0</v>
      </c>
      <c r="U247" s="229">
        <v>0</v>
      </c>
      <c r="V247" s="229">
        <v>0</v>
      </c>
      <c r="W247" s="229">
        <v>0</v>
      </c>
      <c r="X247" s="230">
        <v>0</v>
      </c>
      <c r="Y247" s="231">
        <v>0</v>
      </c>
      <c r="Z247" s="229">
        <v>0</v>
      </c>
      <c r="AA247" s="229">
        <v>0</v>
      </c>
      <c r="AB247" s="229">
        <v>0</v>
      </c>
      <c r="AC247" s="229">
        <v>0</v>
      </c>
      <c r="AD247" s="229">
        <v>0</v>
      </c>
      <c r="AE247" s="230">
        <v>0</v>
      </c>
      <c r="AF247" s="231">
        <v>0</v>
      </c>
      <c r="AG247" s="229">
        <v>0</v>
      </c>
      <c r="AH247" s="229">
        <v>0</v>
      </c>
      <c r="AI247" s="229">
        <v>0</v>
      </c>
      <c r="AJ247" s="229">
        <v>0</v>
      </c>
      <c r="AK247" s="261"/>
      <c r="AL247" s="230">
        <v>0</v>
      </c>
      <c r="AM247" s="231">
        <v>0</v>
      </c>
      <c r="AN247" s="308">
        <f>SUM(I247:AM247)</f>
        <v>0</v>
      </c>
      <c r="AO247" s="309"/>
      <c r="AP247" s="310"/>
      <c r="AQ247" s="309"/>
      <c r="AR247" s="309"/>
      <c r="AS247" s="309"/>
      <c r="AT247" s="309"/>
      <c r="AU247" s="309"/>
      <c r="AV247" s="309"/>
      <c r="AW247" s="309"/>
      <c r="AX247" s="309"/>
    </row>
    <row r="248" spans="3:50">
      <c r="C248" s="21"/>
      <c r="D248" s="21"/>
      <c r="E248" s="21"/>
      <c r="F248" s="21"/>
      <c r="G248" s="436"/>
      <c r="H248" s="188" t="s">
        <v>15</v>
      </c>
      <c r="I248" s="209"/>
      <c r="J248" s="207"/>
      <c r="K248" s="208"/>
      <c r="L248" s="209"/>
      <c r="M248" s="209"/>
      <c r="N248" s="209"/>
      <c r="O248" s="209"/>
      <c r="P248" s="209"/>
      <c r="Q248" s="207"/>
      <c r="R248" s="208"/>
      <c r="S248" s="241"/>
      <c r="T248" s="209"/>
      <c r="U248" s="209"/>
      <c r="V248" s="209"/>
      <c r="W248" s="209"/>
      <c r="X248" s="207"/>
      <c r="Y248" s="208"/>
      <c r="Z248" s="209"/>
      <c r="AA248" s="209"/>
      <c r="AB248" s="209"/>
      <c r="AC248" s="209"/>
      <c r="AD248" s="209"/>
      <c r="AE248" s="207"/>
      <c r="AF248" s="208"/>
      <c r="AG248" s="209"/>
      <c r="AH248" s="209"/>
      <c r="AI248" s="209"/>
      <c r="AJ248" s="209"/>
      <c r="AK248" s="254"/>
      <c r="AL248" s="207"/>
      <c r="AM248" s="208"/>
      <c r="AN248" s="307">
        <f>SUM(I248:AM248)</f>
        <v>0</v>
      </c>
      <c r="AO248" s="309"/>
      <c r="AP248" s="310"/>
      <c r="AQ248" s="309"/>
      <c r="AR248" s="309"/>
      <c r="AS248" s="309"/>
      <c r="AT248" s="309"/>
      <c r="AU248" s="309"/>
      <c r="AV248" s="309"/>
      <c r="AW248" s="309"/>
      <c r="AX248" s="309"/>
    </row>
    <row r="249" spans="3:50">
      <c r="C249" s="21"/>
      <c r="D249" s="21"/>
      <c r="E249" s="21"/>
      <c r="F249" s="21"/>
      <c r="G249" s="437"/>
      <c r="H249" s="188" t="s">
        <v>110</v>
      </c>
      <c r="I249" s="209">
        <f>I248-I247</f>
        <v>0</v>
      </c>
      <c r="J249" s="207">
        <f t="shared" ref="J249:R249" si="134">I249+(J248-J247)</f>
        <v>0</v>
      </c>
      <c r="K249" s="208">
        <f t="shared" si="134"/>
        <v>0</v>
      </c>
      <c r="L249" s="209">
        <f>J249+(L248-L247)</f>
        <v>0</v>
      </c>
      <c r="M249" s="209">
        <f>K249+(M248-M247)</f>
        <v>0</v>
      </c>
      <c r="N249" s="209">
        <f t="shared" si="134"/>
        <v>0</v>
      </c>
      <c r="O249" s="209">
        <f t="shared" si="134"/>
        <v>0</v>
      </c>
      <c r="P249" s="209">
        <f t="shared" si="134"/>
        <v>0</v>
      </c>
      <c r="Q249" s="207">
        <f t="shared" si="134"/>
        <v>0</v>
      </c>
      <c r="R249" s="208">
        <f t="shared" si="134"/>
        <v>0</v>
      </c>
      <c r="S249" s="241">
        <f>N249+(S248-S247)</f>
        <v>0</v>
      </c>
      <c r="T249" s="209">
        <f>O249+(T248-T247)</f>
        <v>0</v>
      </c>
      <c r="U249" s="209">
        <f t="shared" ref="U249:Z249" si="135">T249+(U248-U247)</f>
        <v>0</v>
      </c>
      <c r="V249" s="209">
        <f t="shared" si="135"/>
        <v>0</v>
      </c>
      <c r="W249" s="209">
        <f>U249+(W248-W247)</f>
        <v>0</v>
      </c>
      <c r="X249" s="207">
        <f>W249+(X248-X247)</f>
        <v>0</v>
      </c>
      <c r="Y249" s="208">
        <f>X249+(Y248-Y247)</f>
        <v>0</v>
      </c>
      <c r="Z249" s="209">
        <f t="shared" si="135"/>
        <v>0</v>
      </c>
      <c r="AA249" s="209">
        <f>Y249+(AA248-AA247)</f>
        <v>0</v>
      </c>
      <c r="AB249" s="209">
        <f t="shared" ref="AB249:AG249" si="136">AA249+(AB248-AB247)</f>
        <v>0</v>
      </c>
      <c r="AC249" s="209">
        <f t="shared" si="136"/>
        <v>0</v>
      </c>
      <c r="AD249" s="209">
        <f t="shared" si="136"/>
        <v>0</v>
      </c>
      <c r="AE249" s="207">
        <f t="shared" si="136"/>
        <v>0</v>
      </c>
      <c r="AF249" s="208">
        <f t="shared" si="136"/>
        <v>0</v>
      </c>
      <c r="AG249" s="209">
        <f t="shared" si="136"/>
        <v>0</v>
      </c>
      <c r="AH249" s="209"/>
      <c r="AI249" s="209"/>
      <c r="AJ249" s="209"/>
      <c r="AK249" s="254"/>
      <c r="AL249" s="207">
        <f>AK249+(AL248-AL247)</f>
        <v>0</v>
      </c>
      <c r="AM249" s="208">
        <f>AL249+(AM248-AM247)</f>
        <v>0</v>
      </c>
      <c r="AN249" s="307"/>
      <c r="AO249" s="309"/>
      <c r="AP249" s="310"/>
      <c r="AQ249" s="309"/>
      <c r="AR249" s="309"/>
      <c r="AS249" s="309"/>
      <c r="AT249" s="309"/>
      <c r="AU249" s="309"/>
      <c r="AV249" s="309"/>
      <c r="AW249" s="309"/>
      <c r="AX249" s="309"/>
    </row>
    <row r="250" spans="3:50">
      <c r="C250" s="21"/>
      <c r="D250" s="21"/>
      <c r="E250" s="21"/>
      <c r="F250" s="21"/>
      <c r="G250" s="438">
        <v>0.1</v>
      </c>
      <c r="H250" s="187" t="s">
        <v>129</v>
      </c>
      <c r="I250" s="229">
        <v>0</v>
      </c>
      <c r="J250" s="230">
        <v>0</v>
      </c>
      <c r="K250" s="231">
        <v>0</v>
      </c>
      <c r="L250" s="229">
        <v>0</v>
      </c>
      <c r="M250" s="229">
        <v>0</v>
      </c>
      <c r="N250" s="229">
        <v>0</v>
      </c>
      <c r="O250" s="229">
        <v>0</v>
      </c>
      <c r="P250" s="229">
        <v>0</v>
      </c>
      <c r="Q250" s="230">
        <v>0</v>
      </c>
      <c r="R250" s="231">
        <v>0</v>
      </c>
      <c r="S250" s="246">
        <v>0</v>
      </c>
      <c r="T250" s="229">
        <v>0</v>
      </c>
      <c r="U250" s="229">
        <v>0</v>
      </c>
      <c r="V250" s="229">
        <v>0</v>
      </c>
      <c r="W250" s="229">
        <v>0</v>
      </c>
      <c r="X250" s="230">
        <v>0</v>
      </c>
      <c r="Y250" s="231">
        <v>0</v>
      </c>
      <c r="Z250" s="229">
        <v>0</v>
      </c>
      <c r="AA250" s="229">
        <v>0</v>
      </c>
      <c r="AB250" s="229">
        <v>0</v>
      </c>
      <c r="AC250" s="210">
        <v>0</v>
      </c>
      <c r="AD250" s="210">
        <v>0</v>
      </c>
      <c r="AE250" s="230">
        <v>0</v>
      </c>
      <c r="AF250" s="231">
        <v>0</v>
      </c>
      <c r="AG250" s="229">
        <v>0</v>
      </c>
      <c r="AH250" s="210">
        <v>0</v>
      </c>
      <c r="AI250" s="210">
        <v>0</v>
      </c>
      <c r="AJ250" s="210">
        <v>0</v>
      </c>
      <c r="AK250" s="254"/>
      <c r="AL250" s="230">
        <v>0</v>
      </c>
      <c r="AM250" s="231">
        <v>0</v>
      </c>
      <c r="AN250" s="308">
        <f>SUM(I250:AM250)</f>
        <v>0</v>
      </c>
      <c r="AO250" s="309"/>
      <c r="AP250" s="310"/>
      <c r="AQ250" s="309"/>
      <c r="AR250" s="309"/>
      <c r="AS250" s="309"/>
      <c r="AT250" s="309"/>
      <c r="AU250" s="309"/>
      <c r="AV250" s="309"/>
      <c r="AW250" s="309"/>
      <c r="AX250" s="309"/>
    </row>
    <row r="251" spans="3:50">
      <c r="C251" s="21"/>
      <c r="D251" s="21"/>
      <c r="E251" s="21"/>
      <c r="F251" s="21"/>
      <c r="G251" s="436"/>
      <c r="H251" s="188" t="s">
        <v>15</v>
      </c>
      <c r="I251" s="209"/>
      <c r="J251" s="207"/>
      <c r="K251" s="208"/>
      <c r="L251" s="209"/>
      <c r="M251" s="209"/>
      <c r="N251" s="209"/>
      <c r="O251" s="209"/>
      <c r="P251" s="209"/>
      <c r="Q251" s="207"/>
      <c r="R251" s="208"/>
      <c r="S251" s="241"/>
      <c r="T251" s="209"/>
      <c r="U251" s="209"/>
      <c r="V251" s="209"/>
      <c r="W251" s="209"/>
      <c r="X251" s="207"/>
      <c r="Y251" s="208"/>
      <c r="Z251" s="209"/>
      <c r="AA251" s="209"/>
      <c r="AB251" s="209"/>
      <c r="AC251" s="209">
        <v>0</v>
      </c>
      <c r="AD251" s="209">
        <v>0</v>
      </c>
      <c r="AE251" s="207"/>
      <c r="AF251" s="208"/>
      <c r="AG251" s="209"/>
      <c r="AH251" s="209"/>
      <c r="AI251" s="209"/>
      <c r="AJ251" s="209"/>
      <c r="AK251" s="254"/>
      <c r="AL251" s="207"/>
      <c r="AM251" s="208"/>
      <c r="AN251" s="307">
        <f>SUM(I251:AM251)</f>
        <v>0</v>
      </c>
      <c r="AO251" s="309"/>
      <c r="AP251" s="310"/>
      <c r="AQ251" s="309"/>
      <c r="AR251" s="309"/>
      <c r="AS251" s="309"/>
      <c r="AT251" s="309"/>
      <c r="AU251" s="309"/>
      <c r="AV251" s="309"/>
      <c r="AW251" s="309"/>
      <c r="AX251" s="309"/>
    </row>
    <row r="252" spans="3:50">
      <c r="C252" s="21"/>
      <c r="D252" s="21"/>
      <c r="E252" s="21"/>
      <c r="F252" s="21"/>
      <c r="G252" s="437"/>
      <c r="H252" s="188" t="s">
        <v>110</v>
      </c>
      <c r="I252" s="209">
        <f>I251-I250</f>
        <v>0</v>
      </c>
      <c r="J252" s="207">
        <f t="shared" ref="J252:R252" si="137">I252+(J251-J250)</f>
        <v>0</v>
      </c>
      <c r="K252" s="208">
        <f t="shared" si="137"/>
        <v>0</v>
      </c>
      <c r="L252" s="209">
        <f>J252+(L251-L250)</f>
        <v>0</v>
      </c>
      <c r="M252" s="209">
        <f>K252+(M251-M250)</f>
        <v>0</v>
      </c>
      <c r="N252" s="209">
        <f t="shared" si="137"/>
        <v>0</v>
      </c>
      <c r="O252" s="209">
        <f t="shared" si="137"/>
        <v>0</v>
      </c>
      <c r="P252" s="209">
        <f t="shared" si="137"/>
        <v>0</v>
      </c>
      <c r="Q252" s="207">
        <f t="shared" si="137"/>
        <v>0</v>
      </c>
      <c r="R252" s="208">
        <f t="shared" si="137"/>
        <v>0</v>
      </c>
      <c r="S252" s="241">
        <f>N252+(S251-S250)</f>
        <v>0</v>
      </c>
      <c r="T252" s="209">
        <f>O252+(T251-T250)</f>
        <v>0</v>
      </c>
      <c r="U252" s="209">
        <f t="shared" ref="U252:Z252" si="138">T252+(U251-U250)</f>
        <v>0</v>
      </c>
      <c r="V252" s="209">
        <f t="shared" si="138"/>
        <v>0</v>
      </c>
      <c r="W252" s="209">
        <f>U252+(W251-W250)</f>
        <v>0</v>
      </c>
      <c r="X252" s="207">
        <f>W252+(X251-X250)</f>
        <v>0</v>
      </c>
      <c r="Y252" s="208">
        <f>X252+(Y251-Y250)</f>
        <v>0</v>
      </c>
      <c r="Z252" s="209">
        <f t="shared" si="138"/>
        <v>0</v>
      </c>
      <c r="AA252" s="209">
        <f>Y252+(AA251-AA250)</f>
        <v>0</v>
      </c>
      <c r="AB252" s="209">
        <f t="shared" ref="AB252:AG252" si="139">AA252+(AB251-AB250)</f>
        <v>0</v>
      </c>
      <c r="AC252" s="209">
        <f t="shared" si="139"/>
        <v>0</v>
      </c>
      <c r="AD252" s="209">
        <f t="shared" si="139"/>
        <v>0</v>
      </c>
      <c r="AE252" s="207">
        <f t="shared" si="139"/>
        <v>0</v>
      </c>
      <c r="AF252" s="208">
        <f t="shared" si="139"/>
        <v>0</v>
      </c>
      <c r="AG252" s="209">
        <f t="shared" si="139"/>
        <v>0</v>
      </c>
      <c r="AH252" s="209"/>
      <c r="AI252" s="209"/>
      <c r="AJ252" s="209"/>
      <c r="AK252" s="254"/>
      <c r="AL252" s="207">
        <f>AK252+(AL251-AL250)</f>
        <v>0</v>
      </c>
      <c r="AM252" s="208">
        <f>AL252+(AM251-AM250)</f>
        <v>0</v>
      </c>
      <c r="AN252" s="307"/>
      <c r="AO252" s="309"/>
      <c r="AP252" s="310"/>
      <c r="AQ252" s="309"/>
      <c r="AR252" s="309"/>
      <c r="AS252" s="309"/>
      <c r="AT252" s="309"/>
      <c r="AU252" s="309"/>
      <c r="AV252" s="309"/>
      <c r="AW252" s="309"/>
      <c r="AX252" s="309"/>
    </row>
    <row r="253" spans="3:50">
      <c r="C253" s="21"/>
      <c r="D253" s="21"/>
      <c r="E253" s="21"/>
      <c r="F253" s="21"/>
      <c r="G253" s="438">
        <v>0.2</v>
      </c>
      <c r="H253" s="187" t="s">
        <v>129</v>
      </c>
      <c r="I253" s="229">
        <v>0</v>
      </c>
      <c r="J253" s="230">
        <v>0</v>
      </c>
      <c r="K253" s="231">
        <v>0</v>
      </c>
      <c r="L253" s="229">
        <v>0</v>
      </c>
      <c r="M253" s="229">
        <v>0</v>
      </c>
      <c r="N253" s="210">
        <v>0</v>
      </c>
      <c r="O253" s="210">
        <v>0</v>
      </c>
      <c r="P253" s="210">
        <v>0</v>
      </c>
      <c r="Q253" s="230">
        <v>0</v>
      </c>
      <c r="R253" s="231">
        <v>0</v>
      </c>
      <c r="S253" s="241">
        <v>0</v>
      </c>
      <c r="T253" s="210">
        <v>0</v>
      </c>
      <c r="U253" s="210">
        <v>0</v>
      </c>
      <c r="V253" s="210">
        <v>0</v>
      </c>
      <c r="W253" s="229">
        <v>0</v>
      </c>
      <c r="X253" s="230">
        <v>0</v>
      </c>
      <c r="Y253" s="231">
        <v>0</v>
      </c>
      <c r="Z253" s="229">
        <v>0</v>
      </c>
      <c r="AA253" s="229">
        <v>0</v>
      </c>
      <c r="AB253" s="229">
        <v>0</v>
      </c>
      <c r="AC253" s="229">
        <v>0</v>
      </c>
      <c r="AD253" s="229">
        <v>0</v>
      </c>
      <c r="AE253" s="230">
        <v>0</v>
      </c>
      <c r="AF253" s="231">
        <v>0</v>
      </c>
      <c r="AG253" s="229">
        <v>0</v>
      </c>
      <c r="AH253" s="210">
        <v>0</v>
      </c>
      <c r="AI253" s="210">
        <v>0</v>
      </c>
      <c r="AJ253" s="210">
        <v>0</v>
      </c>
      <c r="AK253" s="254"/>
      <c r="AL253" s="230">
        <v>0</v>
      </c>
      <c r="AM253" s="231">
        <v>0</v>
      </c>
      <c r="AN253" s="308">
        <f>SUM(I253:AM253)</f>
        <v>0</v>
      </c>
      <c r="AO253" s="309"/>
      <c r="AP253" s="310"/>
      <c r="AQ253" s="309"/>
      <c r="AR253" s="309"/>
      <c r="AS253" s="309"/>
      <c r="AT253" s="309"/>
      <c r="AU253" s="309"/>
      <c r="AV253" s="309"/>
      <c r="AW253" s="309"/>
      <c r="AX253" s="309"/>
    </row>
    <row r="254" spans="3:50">
      <c r="C254" s="21"/>
      <c r="D254" s="21"/>
      <c r="E254" s="21"/>
      <c r="F254" s="21"/>
      <c r="G254" s="436"/>
      <c r="H254" s="188" t="s">
        <v>15</v>
      </c>
      <c r="I254" s="209"/>
      <c r="J254" s="207"/>
      <c r="K254" s="208"/>
      <c r="L254" s="209"/>
      <c r="M254" s="209"/>
      <c r="N254" s="215"/>
      <c r="O254" s="215"/>
      <c r="P254" s="215"/>
      <c r="Q254" s="207"/>
      <c r="R254" s="208"/>
      <c r="S254" s="242"/>
      <c r="T254" s="215"/>
      <c r="U254" s="215"/>
      <c r="V254" s="215"/>
      <c r="W254" s="209"/>
      <c r="X254" s="207"/>
      <c r="Y254" s="208"/>
      <c r="Z254" s="209"/>
      <c r="AA254" s="209"/>
      <c r="AB254" s="209"/>
      <c r="AC254" s="209"/>
      <c r="AD254" s="209"/>
      <c r="AE254" s="207"/>
      <c r="AF254" s="208"/>
      <c r="AG254" s="209"/>
      <c r="AH254" s="209"/>
      <c r="AI254" s="209"/>
      <c r="AJ254" s="209"/>
      <c r="AK254" s="254"/>
      <c r="AL254" s="207"/>
      <c r="AM254" s="208"/>
      <c r="AN254" s="307">
        <f>SUM(I254:AM254)</f>
        <v>0</v>
      </c>
      <c r="AO254" s="309"/>
      <c r="AP254" s="310"/>
      <c r="AQ254" s="309"/>
      <c r="AR254" s="309"/>
      <c r="AS254" s="309"/>
      <c r="AT254" s="309"/>
      <c r="AU254" s="309"/>
      <c r="AV254" s="309"/>
      <c r="AW254" s="309"/>
      <c r="AX254" s="309"/>
    </row>
    <row r="255" spans="3:50">
      <c r="C255" s="21"/>
      <c r="D255" s="21"/>
      <c r="E255" s="21"/>
      <c r="F255" s="21"/>
      <c r="G255" s="437"/>
      <c r="H255" s="188" t="s">
        <v>110</v>
      </c>
      <c r="I255" s="209">
        <f>I254-I253</f>
        <v>0</v>
      </c>
      <c r="J255" s="207">
        <f t="shared" ref="J255:R255" si="140">I255+(J254-J253)</f>
        <v>0</v>
      </c>
      <c r="K255" s="208">
        <f t="shared" si="140"/>
        <v>0</v>
      </c>
      <c r="L255" s="209">
        <f>J255+(L254-L253)</f>
        <v>0</v>
      </c>
      <c r="M255" s="209">
        <f>K255+(M254-M253)</f>
        <v>0</v>
      </c>
      <c r="N255" s="209">
        <f t="shared" si="140"/>
        <v>0</v>
      </c>
      <c r="O255" s="209">
        <f t="shared" si="140"/>
        <v>0</v>
      </c>
      <c r="P255" s="209">
        <f t="shared" si="140"/>
        <v>0</v>
      </c>
      <c r="Q255" s="207">
        <f t="shared" si="140"/>
        <v>0</v>
      </c>
      <c r="R255" s="208">
        <f t="shared" si="140"/>
        <v>0</v>
      </c>
      <c r="S255" s="241">
        <f>N255+(S254-S253)</f>
        <v>0</v>
      </c>
      <c r="T255" s="209">
        <f>O255+(T254-T253)</f>
        <v>0</v>
      </c>
      <c r="U255" s="209">
        <f t="shared" ref="U255:Y255" si="141">T255+(U254-U253)</f>
        <v>0</v>
      </c>
      <c r="V255" s="209">
        <f t="shared" si="141"/>
        <v>0</v>
      </c>
      <c r="W255" s="209">
        <f>U255+(W254-W253)</f>
        <v>0</v>
      </c>
      <c r="X255" s="207">
        <f t="shared" si="141"/>
        <v>0</v>
      </c>
      <c r="Y255" s="208">
        <f t="shared" si="141"/>
        <v>0</v>
      </c>
      <c r="Z255" s="209"/>
      <c r="AA255" s="209"/>
      <c r="AB255" s="209"/>
      <c r="AC255" s="209"/>
      <c r="AD255" s="209"/>
      <c r="AE255" s="207">
        <f>AD255+(AE254-AE253)</f>
        <v>0</v>
      </c>
      <c r="AF255" s="208">
        <f>AE255+(AF254-AF253)</f>
        <v>0</v>
      </c>
      <c r="AG255" s="209"/>
      <c r="AH255" s="209"/>
      <c r="AI255" s="209"/>
      <c r="AJ255" s="209"/>
      <c r="AK255" s="254"/>
      <c r="AL255" s="207">
        <f>AK255+(AL254-AL253)</f>
        <v>0</v>
      </c>
      <c r="AM255" s="208">
        <f>AL255+(AM254-AM253)</f>
        <v>0</v>
      </c>
      <c r="AN255" s="307"/>
      <c r="AO255" s="309"/>
      <c r="AP255" s="310"/>
      <c r="AQ255" s="309"/>
      <c r="AR255" s="309"/>
      <c r="AS255" s="309"/>
      <c r="AT255" s="309"/>
      <c r="AU255" s="309"/>
      <c r="AV255" s="309"/>
      <c r="AW255" s="309"/>
      <c r="AX255" s="309"/>
    </row>
    <row r="256" spans="3:50">
      <c r="C256" s="21"/>
      <c r="D256" s="21"/>
      <c r="E256" s="21"/>
      <c r="F256" s="21"/>
      <c r="G256" s="438">
        <v>0.254</v>
      </c>
      <c r="H256" s="187" t="s">
        <v>129</v>
      </c>
      <c r="I256" s="229">
        <v>0</v>
      </c>
      <c r="J256" s="230">
        <v>0</v>
      </c>
      <c r="K256" s="231">
        <v>0</v>
      </c>
      <c r="L256" s="229">
        <v>0</v>
      </c>
      <c r="M256" s="229">
        <v>0</v>
      </c>
      <c r="N256" s="229">
        <v>0</v>
      </c>
      <c r="O256" s="229">
        <v>0</v>
      </c>
      <c r="P256" s="229">
        <v>0</v>
      </c>
      <c r="Q256" s="230">
        <v>0</v>
      </c>
      <c r="R256" s="231">
        <v>0</v>
      </c>
      <c r="S256" s="246">
        <v>0</v>
      </c>
      <c r="T256" s="229">
        <v>0</v>
      </c>
      <c r="U256" s="229">
        <v>0</v>
      </c>
      <c r="V256" s="229">
        <v>0</v>
      </c>
      <c r="W256" s="229">
        <v>0</v>
      </c>
      <c r="X256" s="230">
        <v>0</v>
      </c>
      <c r="Y256" s="231">
        <v>0</v>
      </c>
      <c r="Z256" s="229">
        <v>0</v>
      </c>
      <c r="AA256" s="229">
        <v>0</v>
      </c>
      <c r="AB256" s="229">
        <v>0</v>
      </c>
      <c r="AC256" s="229">
        <v>0</v>
      </c>
      <c r="AD256" s="229">
        <v>0</v>
      </c>
      <c r="AE256" s="230">
        <v>0</v>
      </c>
      <c r="AF256" s="231">
        <v>0</v>
      </c>
      <c r="AG256" s="229">
        <v>0</v>
      </c>
      <c r="AH256" s="210">
        <v>0</v>
      </c>
      <c r="AI256" s="210">
        <v>0</v>
      </c>
      <c r="AJ256" s="210">
        <v>0</v>
      </c>
      <c r="AK256" s="254"/>
      <c r="AL256" s="230">
        <v>0</v>
      </c>
      <c r="AM256" s="231">
        <v>0</v>
      </c>
      <c r="AN256" s="308">
        <f>SUM(I256:AM256)</f>
        <v>0</v>
      </c>
      <c r="AO256" s="309"/>
      <c r="AP256" s="310"/>
      <c r="AQ256" s="309"/>
      <c r="AR256" s="309"/>
      <c r="AS256" s="309"/>
      <c r="AT256" s="309"/>
      <c r="AU256" s="309"/>
      <c r="AV256" s="309"/>
      <c r="AW256" s="309"/>
      <c r="AX256" s="309"/>
    </row>
    <row r="257" spans="3:50">
      <c r="C257" s="21"/>
      <c r="D257" s="21"/>
      <c r="E257" s="21"/>
      <c r="F257" s="21"/>
      <c r="G257" s="436"/>
      <c r="H257" s="188" t="s">
        <v>15</v>
      </c>
      <c r="I257" s="209"/>
      <c r="J257" s="207"/>
      <c r="K257" s="208"/>
      <c r="L257" s="209"/>
      <c r="M257" s="209"/>
      <c r="N257" s="209"/>
      <c r="O257" s="209"/>
      <c r="P257" s="209"/>
      <c r="Q257" s="207"/>
      <c r="R257" s="208"/>
      <c r="S257" s="241"/>
      <c r="T257" s="209"/>
      <c r="U257" s="209"/>
      <c r="V257" s="209"/>
      <c r="W257" s="209"/>
      <c r="X257" s="207"/>
      <c r="Y257" s="208"/>
      <c r="Z257" s="209"/>
      <c r="AA257" s="209"/>
      <c r="AB257" s="209"/>
      <c r="AC257" s="209"/>
      <c r="AD257" s="209"/>
      <c r="AE257" s="207"/>
      <c r="AF257" s="208"/>
      <c r="AG257" s="209"/>
      <c r="AH257" s="209"/>
      <c r="AI257" s="209"/>
      <c r="AJ257" s="209"/>
      <c r="AK257" s="254"/>
      <c r="AL257" s="207"/>
      <c r="AM257" s="208"/>
      <c r="AN257" s="307">
        <f>SUM(I257:AM257)</f>
        <v>0</v>
      </c>
      <c r="AO257" s="309"/>
      <c r="AP257" s="310"/>
      <c r="AQ257" s="309"/>
      <c r="AR257" s="309"/>
      <c r="AS257" s="309"/>
      <c r="AT257" s="309"/>
      <c r="AU257" s="309"/>
      <c r="AV257" s="309"/>
      <c r="AW257" s="309"/>
      <c r="AX257" s="309"/>
    </row>
    <row r="258" spans="3:50">
      <c r="C258" s="21"/>
      <c r="D258" s="21"/>
      <c r="E258" s="21"/>
      <c r="F258" s="21"/>
      <c r="G258" s="439"/>
      <c r="H258" s="196" t="s">
        <v>110</v>
      </c>
      <c r="I258" s="211">
        <f>I257-I256</f>
        <v>0</v>
      </c>
      <c r="J258" s="321">
        <f t="shared" ref="J258:R258" si="142">I258+(J257-J256)</f>
        <v>0</v>
      </c>
      <c r="K258" s="322">
        <f t="shared" si="142"/>
        <v>0</v>
      </c>
      <c r="L258" s="211">
        <f>J258+(L257-L256)</f>
        <v>0</v>
      </c>
      <c r="M258" s="211">
        <f>K258+(M257-M256)</f>
        <v>0</v>
      </c>
      <c r="N258" s="211">
        <f t="shared" si="142"/>
        <v>0</v>
      </c>
      <c r="O258" s="211">
        <f t="shared" si="142"/>
        <v>0</v>
      </c>
      <c r="P258" s="211">
        <f t="shared" si="142"/>
        <v>0</v>
      </c>
      <c r="Q258" s="321">
        <f t="shared" si="142"/>
        <v>0</v>
      </c>
      <c r="R258" s="322">
        <f t="shared" si="142"/>
        <v>0</v>
      </c>
      <c r="S258" s="346">
        <f>N258+(S257-S256)</f>
        <v>0</v>
      </c>
      <c r="T258" s="211">
        <f>O258+(T257-T256)</f>
        <v>0</v>
      </c>
      <c r="U258" s="211">
        <f t="shared" ref="U258:Z258" si="143">T258+(U257-U256)</f>
        <v>0</v>
      </c>
      <c r="V258" s="211">
        <f t="shared" si="143"/>
        <v>0</v>
      </c>
      <c r="W258" s="211">
        <f>U258+(W257-W256)</f>
        <v>0</v>
      </c>
      <c r="X258" s="321">
        <f>W258+(X257-X256)</f>
        <v>0</v>
      </c>
      <c r="Y258" s="322">
        <f>X258+(Y257-Y256)</f>
        <v>0</v>
      </c>
      <c r="Z258" s="211">
        <f t="shared" si="143"/>
        <v>0</v>
      </c>
      <c r="AA258" s="211">
        <f>Y258+(AA257-AA256)</f>
        <v>0</v>
      </c>
      <c r="AB258" s="211">
        <f t="shared" ref="AB258:AG258" si="144">AA258+(AB257-AB256)</f>
        <v>0</v>
      </c>
      <c r="AC258" s="211">
        <f t="shared" si="144"/>
        <v>0</v>
      </c>
      <c r="AD258" s="211">
        <f t="shared" si="144"/>
        <v>0</v>
      </c>
      <c r="AE258" s="321">
        <f t="shared" si="144"/>
        <v>0</v>
      </c>
      <c r="AF258" s="322">
        <f t="shared" si="144"/>
        <v>0</v>
      </c>
      <c r="AG258" s="211">
        <f t="shared" si="144"/>
        <v>0</v>
      </c>
      <c r="AH258" s="356"/>
      <c r="AI258" s="356"/>
      <c r="AJ258" s="356"/>
      <c r="AK258" s="357"/>
      <c r="AL258" s="321">
        <f>AK258+(AL257-AL256)</f>
        <v>0</v>
      </c>
      <c r="AM258" s="322">
        <f>AL258+(AM257-AM256)</f>
        <v>0</v>
      </c>
      <c r="AN258" s="358"/>
      <c r="AO258" s="309"/>
      <c r="AP258" s="310"/>
      <c r="AQ258" s="309"/>
      <c r="AR258" s="309"/>
      <c r="AS258" s="309"/>
      <c r="AT258" s="309"/>
      <c r="AU258" s="309"/>
      <c r="AV258" s="309"/>
      <c r="AW258" s="309"/>
      <c r="AX258" s="309"/>
    </row>
    <row r="259" spans="3:50">
      <c r="C259" s="21"/>
      <c r="D259" s="21"/>
      <c r="E259" s="21"/>
      <c r="F259" s="21"/>
      <c r="G259" s="311"/>
      <c r="H259" s="312" t="s">
        <v>111</v>
      </c>
      <c r="I259" s="323">
        <f t="shared" ref="I259:L259" si="145">I238+I241+I244+I247+I250+I253+I256</f>
        <v>386</v>
      </c>
      <c r="J259" s="324">
        <f t="shared" si="145"/>
        <v>216</v>
      </c>
      <c r="K259" s="325">
        <f t="shared" si="145"/>
        <v>0</v>
      </c>
      <c r="L259" s="326">
        <f t="shared" si="145"/>
        <v>386</v>
      </c>
      <c r="M259" s="326">
        <f t="shared" ref="M259:S259" si="146">M238+M241+M244+M247+M250+M253+M256</f>
        <v>486</v>
      </c>
      <c r="N259" s="326">
        <f t="shared" si="146"/>
        <v>486</v>
      </c>
      <c r="O259" s="326">
        <f t="shared" si="146"/>
        <v>486</v>
      </c>
      <c r="P259" s="326">
        <f t="shared" si="146"/>
        <v>486</v>
      </c>
      <c r="Q259" s="324">
        <f t="shared" si="146"/>
        <v>266</v>
      </c>
      <c r="R259" s="325">
        <f t="shared" si="146"/>
        <v>0</v>
      </c>
      <c r="S259" s="347">
        <f t="shared" si="146"/>
        <v>0</v>
      </c>
      <c r="T259" s="326">
        <f t="shared" ref="T259:Z259" si="147">T238+T241+T244+T247+T250+T253+T256</f>
        <v>486</v>
      </c>
      <c r="U259" s="326">
        <f t="shared" si="147"/>
        <v>486</v>
      </c>
      <c r="V259" s="326">
        <f t="shared" si="147"/>
        <v>486</v>
      </c>
      <c r="W259" s="326">
        <f t="shared" si="147"/>
        <v>486</v>
      </c>
      <c r="X259" s="324">
        <f t="shared" si="147"/>
        <v>266</v>
      </c>
      <c r="Y259" s="325">
        <f t="shared" si="147"/>
        <v>0</v>
      </c>
      <c r="Z259" s="326">
        <f t="shared" si="147"/>
        <v>528</v>
      </c>
      <c r="AA259" s="326">
        <f t="shared" ref="AA259:AG259" si="148">AA238+AA241+AA244+AA247+AA250+AA253+AA256</f>
        <v>528</v>
      </c>
      <c r="AB259" s="326">
        <f t="shared" si="148"/>
        <v>528</v>
      </c>
      <c r="AC259" s="326">
        <f t="shared" si="148"/>
        <v>528</v>
      </c>
      <c r="AD259" s="326">
        <f t="shared" si="148"/>
        <v>528</v>
      </c>
      <c r="AE259" s="324">
        <f t="shared" si="148"/>
        <v>308</v>
      </c>
      <c r="AF259" s="325">
        <f t="shared" si="148"/>
        <v>0</v>
      </c>
      <c r="AG259" s="326">
        <f t="shared" si="148"/>
        <v>428</v>
      </c>
      <c r="AH259" s="326">
        <f t="shared" ref="AH259:AM259" si="149">AH238+AH241+AH244+AH247+AH250+AH253+AH256</f>
        <v>428</v>
      </c>
      <c r="AI259" s="326">
        <f t="shared" si="149"/>
        <v>428</v>
      </c>
      <c r="AJ259" s="326">
        <f t="shared" si="149"/>
        <v>428</v>
      </c>
      <c r="AK259" s="359"/>
      <c r="AL259" s="324">
        <f t="shared" si="149"/>
        <v>0</v>
      </c>
      <c r="AM259" s="325">
        <f t="shared" si="149"/>
        <v>0</v>
      </c>
      <c r="AN259" s="306">
        <f>SUM(I259:AM259)</f>
        <v>10068</v>
      </c>
      <c r="AO259" s="309"/>
      <c r="AP259" s="310"/>
      <c r="AQ259" s="309"/>
      <c r="AR259" s="309"/>
      <c r="AS259" s="309"/>
      <c r="AT259" s="309"/>
      <c r="AU259" s="309"/>
      <c r="AV259" s="309"/>
      <c r="AW259" s="309"/>
      <c r="AX259" s="309"/>
    </row>
    <row r="260" spans="3:50">
      <c r="C260" s="21"/>
      <c r="D260" s="21"/>
      <c r="E260" s="21"/>
      <c r="F260" s="21"/>
      <c r="G260" s="311"/>
      <c r="H260" s="313" t="s">
        <v>112</v>
      </c>
      <c r="I260" s="327">
        <f t="shared" ref="I260:L260" si="150">I239+I242+I245+I248+I251+I254+I257</f>
        <v>464.01</v>
      </c>
      <c r="J260" s="328">
        <f t="shared" si="150"/>
        <v>250.22</v>
      </c>
      <c r="K260" s="329">
        <f t="shared" si="150"/>
        <v>0</v>
      </c>
      <c r="L260" s="330">
        <f t="shared" si="150"/>
        <v>474.89</v>
      </c>
      <c r="M260" s="330">
        <f t="shared" ref="M260:S260" si="151">M239+M242+M245+M248+M251+M254+M257</f>
        <v>576.48</v>
      </c>
      <c r="N260" s="330">
        <f t="shared" si="151"/>
        <v>0</v>
      </c>
      <c r="O260" s="330">
        <f t="shared" si="151"/>
        <v>0</v>
      </c>
      <c r="P260" s="330">
        <f t="shared" si="151"/>
        <v>0</v>
      </c>
      <c r="Q260" s="328">
        <f t="shared" si="151"/>
        <v>0</v>
      </c>
      <c r="R260" s="329">
        <f t="shared" si="151"/>
        <v>0</v>
      </c>
      <c r="S260" s="348">
        <f t="shared" si="151"/>
        <v>0</v>
      </c>
      <c r="T260" s="330">
        <f t="shared" ref="T260:Z260" si="152">T239+T242+T245+T248+T251+T254+T257</f>
        <v>0</v>
      </c>
      <c r="U260" s="330">
        <f t="shared" si="152"/>
        <v>0</v>
      </c>
      <c r="V260" s="330">
        <f t="shared" si="152"/>
        <v>0</v>
      </c>
      <c r="W260" s="330">
        <f t="shared" si="152"/>
        <v>0</v>
      </c>
      <c r="X260" s="328">
        <f t="shared" si="152"/>
        <v>0</v>
      </c>
      <c r="Y260" s="329">
        <f t="shared" si="152"/>
        <v>0</v>
      </c>
      <c r="Z260" s="330">
        <f t="shared" si="152"/>
        <v>0</v>
      </c>
      <c r="AA260" s="330">
        <f t="shared" ref="AA260:AG260" si="153">AA239+AA242+AA245+AA248+AA251+AA254+AA257</f>
        <v>0</v>
      </c>
      <c r="AB260" s="330">
        <f t="shared" si="153"/>
        <v>0</v>
      </c>
      <c r="AC260" s="330">
        <f t="shared" si="153"/>
        <v>0</v>
      </c>
      <c r="AD260" s="330">
        <f t="shared" si="153"/>
        <v>0</v>
      </c>
      <c r="AE260" s="328">
        <f t="shared" si="153"/>
        <v>0</v>
      </c>
      <c r="AF260" s="329">
        <f t="shared" si="153"/>
        <v>0</v>
      </c>
      <c r="AG260" s="330">
        <f t="shared" si="153"/>
        <v>0</v>
      </c>
      <c r="AH260" s="330">
        <f t="shared" ref="AH260:AM260" si="154">AH239+AH242+AH245+AH248+AH251+AH254+AH257</f>
        <v>0</v>
      </c>
      <c r="AI260" s="330">
        <f t="shared" si="154"/>
        <v>0</v>
      </c>
      <c r="AJ260" s="330">
        <f t="shared" si="154"/>
        <v>0</v>
      </c>
      <c r="AK260" s="360"/>
      <c r="AL260" s="328">
        <f t="shared" si="154"/>
        <v>0</v>
      </c>
      <c r="AM260" s="329">
        <f t="shared" si="154"/>
        <v>0</v>
      </c>
      <c r="AN260" s="361">
        <f>SUM(I260:AM260)</f>
        <v>1765.6</v>
      </c>
      <c r="AO260" s="309"/>
      <c r="AP260" s="310"/>
      <c r="AQ260" s="309"/>
      <c r="AR260" s="309"/>
      <c r="AS260" s="309"/>
      <c r="AT260" s="309"/>
      <c r="AU260" s="309"/>
      <c r="AV260" s="309"/>
      <c r="AW260" s="309"/>
      <c r="AX260" s="309"/>
    </row>
    <row r="261" spans="3:50">
      <c r="C261" s="21"/>
      <c r="D261" s="21"/>
      <c r="E261" s="21"/>
      <c r="F261" s="21"/>
      <c r="AO261" s="309"/>
      <c r="AP261" s="310"/>
      <c r="AQ261" s="309"/>
      <c r="AR261" s="309"/>
      <c r="AS261" s="309"/>
      <c r="AT261" s="309"/>
      <c r="AU261" s="309"/>
      <c r="AV261" s="309"/>
      <c r="AW261" s="309"/>
      <c r="AX261" s="309"/>
    </row>
    <row r="262" spans="3:50">
      <c r="C262" s="21"/>
      <c r="D262" s="21"/>
      <c r="E262" s="21"/>
      <c r="F262" s="21"/>
      <c r="AO262" s="309"/>
      <c r="AP262" s="310"/>
      <c r="AQ262" s="309"/>
      <c r="AR262" s="309"/>
      <c r="AS262" s="309"/>
      <c r="AT262" s="309"/>
      <c r="AU262" s="309"/>
      <c r="AV262" s="309"/>
      <c r="AW262" s="309"/>
      <c r="AX262" s="309"/>
    </row>
    <row r="263" spans="3:50">
      <c r="C263" s="21"/>
      <c r="D263" s="21"/>
      <c r="E263" s="21"/>
      <c r="F263" s="21"/>
      <c r="AO263" s="309"/>
      <c r="AP263" s="310"/>
      <c r="AQ263" s="309"/>
      <c r="AR263" s="309"/>
      <c r="AS263" s="309"/>
      <c r="AT263" s="309"/>
      <c r="AU263" s="309"/>
      <c r="AV263" s="309"/>
      <c r="AW263" s="309"/>
      <c r="AX263" s="309"/>
    </row>
    <row r="264" spans="3:50">
      <c r="C264" s="21"/>
      <c r="D264" s="21"/>
      <c r="E264" s="21"/>
      <c r="F264" s="21"/>
      <c r="AO264" s="309"/>
      <c r="AP264" s="310"/>
      <c r="AQ264" s="309"/>
      <c r="AR264" s="309"/>
      <c r="AS264" s="309"/>
      <c r="AT264" s="309"/>
      <c r="AU264" s="309"/>
      <c r="AV264" s="309"/>
      <c r="AW264" s="309"/>
      <c r="AX264" s="309"/>
    </row>
    <row r="265" spans="3:50" ht="30" customHeight="1">
      <c r="C265" s="21"/>
      <c r="D265" s="21"/>
      <c r="E265" s="21"/>
      <c r="F265" s="21"/>
      <c r="G265" s="314" t="s">
        <v>7</v>
      </c>
      <c r="H265" s="315" t="s">
        <v>8</v>
      </c>
      <c r="I265" s="38">
        <v>1</v>
      </c>
      <c r="J265" s="200">
        <v>2</v>
      </c>
      <c r="K265" s="65">
        <v>3</v>
      </c>
      <c r="L265" s="331">
        <v>4</v>
      </c>
      <c r="M265" s="331">
        <v>5</v>
      </c>
      <c r="N265" s="331">
        <v>6</v>
      </c>
      <c r="O265" s="331">
        <v>7</v>
      </c>
      <c r="P265" s="331">
        <v>8</v>
      </c>
      <c r="Q265" s="349">
        <v>9</v>
      </c>
      <c r="R265" s="350">
        <v>10</v>
      </c>
      <c r="S265" s="427">
        <v>11</v>
      </c>
      <c r="T265" s="38">
        <v>12</v>
      </c>
      <c r="U265" s="38">
        <v>13</v>
      </c>
      <c r="V265" s="38">
        <v>13</v>
      </c>
      <c r="W265" s="38">
        <v>15</v>
      </c>
      <c r="X265" s="200">
        <v>16</v>
      </c>
      <c r="Y265" s="65">
        <v>17</v>
      </c>
      <c r="Z265" s="38">
        <v>18</v>
      </c>
      <c r="AA265" s="38">
        <v>19</v>
      </c>
      <c r="AB265" s="38">
        <v>20</v>
      </c>
      <c r="AC265" s="38">
        <v>21</v>
      </c>
      <c r="AD265" s="38">
        <v>22</v>
      </c>
      <c r="AE265" s="200">
        <v>23</v>
      </c>
      <c r="AF265" s="65">
        <v>24</v>
      </c>
      <c r="AG265" s="38">
        <v>17</v>
      </c>
      <c r="AH265" s="38">
        <v>26</v>
      </c>
      <c r="AI265" s="38">
        <v>27</v>
      </c>
      <c r="AJ265" s="38">
        <v>28</v>
      </c>
      <c r="AK265" s="238">
        <v>29</v>
      </c>
      <c r="AL265" s="200">
        <v>30</v>
      </c>
      <c r="AM265" s="65">
        <v>31</v>
      </c>
      <c r="AN265" s="38" t="s">
        <v>9</v>
      </c>
      <c r="AO265" s="309"/>
      <c r="AP265" s="309"/>
      <c r="AQ265" s="309"/>
      <c r="AR265" s="309"/>
      <c r="AS265" s="309"/>
      <c r="AT265" s="309"/>
      <c r="AU265" s="309"/>
      <c r="AV265" s="309"/>
      <c r="AW265" s="309"/>
      <c r="AX265" s="309"/>
    </row>
    <row r="266" spans="3:50">
      <c r="G266" s="429" t="s">
        <v>113</v>
      </c>
      <c r="H266" s="189" t="s">
        <v>130</v>
      </c>
      <c r="I266" s="210">
        <v>0</v>
      </c>
      <c r="J266" s="207">
        <v>0</v>
      </c>
      <c r="K266" s="208"/>
      <c r="L266" s="210">
        <v>306</v>
      </c>
      <c r="M266" s="210">
        <v>306</v>
      </c>
      <c r="N266" s="210">
        <v>306</v>
      </c>
      <c r="O266" s="210">
        <v>306</v>
      </c>
      <c r="P266" s="210">
        <v>306</v>
      </c>
      <c r="Q266" s="207">
        <v>215</v>
      </c>
      <c r="R266" s="208"/>
      <c r="S266" s="241"/>
      <c r="T266" s="210">
        <v>306</v>
      </c>
      <c r="U266" s="210">
        <v>306</v>
      </c>
      <c r="V266" s="210">
        <v>306</v>
      </c>
      <c r="W266" s="210">
        <v>306</v>
      </c>
      <c r="X266" s="207">
        <v>215</v>
      </c>
      <c r="Y266" s="208"/>
      <c r="Z266" s="210">
        <v>320</v>
      </c>
      <c r="AA266" s="210">
        <v>450</v>
      </c>
      <c r="AB266" s="210">
        <v>450</v>
      </c>
      <c r="AC266" s="210">
        <v>450</v>
      </c>
      <c r="AD266" s="210">
        <v>450</v>
      </c>
      <c r="AE266" s="207">
        <v>300</v>
      </c>
      <c r="AF266" s="208"/>
      <c r="AG266" s="210">
        <v>350</v>
      </c>
      <c r="AH266" s="210">
        <v>350</v>
      </c>
      <c r="AI266" s="210">
        <v>350</v>
      </c>
      <c r="AJ266" s="210">
        <v>350</v>
      </c>
      <c r="AK266" s="241"/>
      <c r="AL266" s="207">
        <v>0</v>
      </c>
      <c r="AM266" s="208"/>
      <c r="AN266" s="308">
        <f>SUM(I266:AM266)</f>
        <v>7004</v>
      </c>
    </row>
    <row r="267" spans="3:50">
      <c r="G267" s="430"/>
      <c r="H267" s="188" t="s">
        <v>15</v>
      </c>
      <c r="I267" s="209"/>
      <c r="J267" s="207"/>
      <c r="K267" s="208"/>
      <c r="L267" s="209">
        <v>372.38</v>
      </c>
      <c r="M267" s="209">
        <v>394.7</v>
      </c>
      <c r="N267" s="209">
        <v>382.02</v>
      </c>
      <c r="O267" s="209">
        <v>502.94</v>
      </c>
      <c r="P267" s="209">
        <v>485.92</v>
      </c>
      <c r="Q267" s="207">
        <v>335.88</v>
      </c>
      <c r="R267" s="208"/>
      <c r="S267" s="241"/>
      <c r="T267" s="209"/>
      <c r="U267" s="209"/>
      <c r="V267" s="209"/>
      <c r="W267" s="209"/>
      <c r="X267" s="207"/>
      <c r="Y267" s="208"/>
      <c r="Z267" s="209"/>
      <c r="AA267" s="209"/>
      <c r="AB267" s="209"/>
      <c r="AC267" s="209"/>
      <c r="AD267" s="209"/>
      <c r="AE267" s="207"/>
      <c r="AF267" s="208"/>
      <c r="AG267" s="209"/>
      <c r="AH267" s="209"/>
      <c r="AI267" s="209"/>
      <c r="AJ267" s="209"/>
      <c r="AK267" s="254"/>
      <c r="AL267" s="207"/>
      <c r="AM267" s="208"/>
      <c r="AN267" s="307">
        <f>SUM(I267:AM267)</f>
        <v>2473.84</v>
      </c>
    </row>
    <row r="268" spans="3:50">
      <c r="C268" s="21"/>
      <c r="D268" s="21"/>
      <c r="E268" s="21"/>
      <c r="F268" s="21"/>
      <c r="G268" s="431"/>
      <c r="H268" s="188" t="s">
        <v>114</v>
      </c>
      <c r="I268" s="209">
        <f>I267-I266</f>
        <v>0</v>
      </c>
      <c r="J268" s="207">
        <f>I268+(J267-J266)</f>
        <v>0</v>
      </c>
      <c r="K268" s="208"/>
      <c r="L268" s="211">
        <f>J268+(L267-L266)</f>
        <v>66.38</v>
      </c>
      <c r="M268" s="211">
        <f>L268+(M267-M266)</f>
        <v>155.07999999999998</v>
      </c>
      <c r="N268" s="209"/>
      <c r="O268" s="209"/>
      <c r="P268" s="209"/>
      <c r="Q268" s="207"/>
      <c r="R268" s="208"/>
      <c r="S268" s="241"/>
      <c r="T268" s="209"/>
      <c r="U268" s="209"/>
      <c r="V268" s="209"/>
      <c r="W268" s="209"/>
      <c r="X268" s="207"/>
      <c r="Y268" s="208"/>
      <c r="Z268" s="209"/>
      <c r="AA268" s="209"/>
      <c r="AB268" s="209"/>
      <c r="AC268" s="209"/>
      <c r="AD268" s="209"/>
      <c r="AE268" s="207"/>
      <c r="AF268" s="208"/>
      <c r="AG268" s="209"/>
      <c r="AH268" s="209"/>
      <c r="AI268" s="209"/>
      <c r="AJ268" s="209"/>
      <c r="AK268" s="254"/>
      <c r="AL268" s="207">
        <f>AK268+(AL267-AL266)</f>
        <v>0</v>
      </c>
      <c r="AM268" s="208"/>
      <c r="AN268" s="307"/>
      <c r="AO268" s="309"/>
      <c r="AP268" s="310"/>
      <c r="AQ268" s="309"/>
      <c r="AR268" s="309"/>
      <c r="AS268" s="309"/>
      <c r="AT268" s="309"/>
      <c r="AU268" s="309"/>
      <c r="AV268" s="309"/>
      <c r="AW268" s="309"/>
      <c r="AX268" s="309"/>
    </row>
    <row r="269" spans="3:50">
      <c r="G269" s="429" t="s">
        <v>115</v>
      </c>
      <c r="H269" s="189" t="s">
        <v>130</v>
      </c>
      <c r="I269" s="210">
        <f t="shared" ref="I269:L269" si="155">IFERROR(SUMIF($G$1:$G$235,$G269,I$1:I$235),0)</f>
        <v>0</v>
      </c>
      <c r="J269" s="207">
        <f t="shared" si="155"/>
        <v>0</v>
      </c>
      <c r="K269" s="208"/>
      <c r="L269" s="210">
        <f t="shared" si="155"/>
        <v>0</v>
      </c>
      <c r="M269" s="210">
        <v>100</v>
      </c>
      <c r="N269" s="210">
        <v>100</v>
      </c>
      <c r="O269" s="210">
        <v>100</v>
      </c>
      <c r="P269" s="210">
        <v>100</v>
      </c>
      <c r="Q269" s="207">
        <v>50</v>
      </c>
      <c r="R269" s="208"/>
      <c r="S269" s="241"/>
      <c r="T269" s="210">
        <v>100</v>
      </c>
      <c r="U269" s="210">
        <v>100</v>
      </c>
      <c r="V269" s="210">
        <v>100</v>
      </c>
      <c r="W269" s="210">
        <v>100</v>
      </c>
      <c r="X269" s="207">
        <v>50</v>
      </c>
      <c r="Y269" s="208"/>
      <c r="Z269" s="210">
        <v>100</v>
      </c>
      <c r="AA269" s="210">
        <v>100</v>
      </c>
      <c r="AB269" s="210">
        <v>100</v>
      </c>
      <c r="AC269" s="210">
        <v>100</v>
      </c>
      <c r="AD269" s="210">
        <v>100</v>
      </c>
      <c r="AE269" s="207">
        <v>50</v>
      </c>
      <c r="AF269" s="208"/>
      <c r="AG269" s="210">
        <f t="shared" ref="AG269" si="156">IFERROR(SUMIF($G$1:$G$235,$G269,AG$1:AG$235),0)</f>
        <v>0</v>
      </c>
      <c r="AH269" s="210"/>
      <c r="AI269" s="210">
        <v>0</v>
      </c>
      <c r="AJ269" s="210">
        <v>0</v>
      </c>
      <c r="AK269" s="254"/>
      <c r="AL269" s="207">
        <f>IFERROR(SUMIF($G$1:$G$235,$G269,AL$1:AL$235),0)</f>
        <v>0</v>
      </c>
      <c r="AM269" s="208"/>
      <c r="AN269" s="308">
        <f>SUM(I269:AM269)</f>
        <v>1450</v>
      </c>
      <c r="AO269" s="309"/>
    </row>
    <row r="270" spans="3:50">
      <c r="G270" s="430"/>
      <c r="H270" s="188" t="s">
        <v>15</v>
      </c>
      <c r="I270" s="209"/>
      <c r="J270" s="207"/>
      <c r="K270" s="208"/>
      <c r="L270" s="209"/>
      <c r="M270" s="209">
        <v>120.26</v>
      </c>
      <c r="N270" s="209">
        <v>76.84</v>
      </c>
      <c r="O270" s="209"/>
      <c r="P270" s="209"/>
      <c r="Q270" s="207"/>
      <c r="R270" s="208"/>
      <c r="S270" s="241"/>
      <c r="T270" s="209"/>
      <c r="U270" s="209"/>
      <c r="V270" s="209"/>
      <c r="W270" s="209"/>
      <c r="X270" s="207"/>
      <c r="Y270" s="208"/>
      <c r="Z270" s="209"/>
      <c r="AA270" s="209"/>
      <c r="AB270" s="209"/>
      <c r="AC270" s="209"/>
      <c r="AD270" s="209"/>
      <c r="AE270" s="207"/>
      <c r="AF270" s="208"/>
      <c r="AG270" s="209"/>
      <c r="AH270" s="209"/>
      <c r="AI270" s="209"/>
      <c r="AJ270" s="209"/>
      <c r="AK270" s="254"/>
      <c r="AL270" s="207"/>
      <c r="AM270" s="208"/>
      <c r="AN270" s="307">
        <f>SUM(I270:AM270)</f>
        <v>197.10000000000002</v>
      </c>
      <c r="AO270" s="309"/>
    </row>
    <row r="271" spans="3:50">
      <c r="C271" s="21"/>
      <c r="D271" s="21"/>
      <c r="E271" s="21"/>
      <c r="F271" s="21"/>
      <c r="G271" s="431"/>
      <c r="H271" s="188" t="s">
        <v>114</v>
      </c>
      <c r="I271" s="209">
        <f>I270-I269</f>
        <v>0</v>
      </c>
      <c r="J271" s="207">
        <f t="shared" ref="J271:P271" si="157">I271+(J270-J269)</f>
        <v>0</v>
      </c>
      <c r="K271" s="208"/>
      <c r="L271" s="209">
        <f>J271+(L270-L269)</f>
        <v>0</v>
      </c>
      <c r="M271" s="209">
        <f>K271+(M270-M269)</f>
        <v>20.260000000000005</v>
      </c>
      <c r="N271" s="209">
        <f t="shared" si="157"/>
        <v>-2.8999999999999915</v>
      </c>
      <c r="O271" s="209">
        <f t="shared" si="157"/>
        <v>-102.89999999999999</v>
      </c>
      <c r="P271" s="209">
        <f t="shared" si="157"/>
        <v>-202.89999999999998</v>
      </c>
      <c r="Q271" s="207"/>
      <c r="R271" s="208"/>
      <c r="S271" s="241"/>
      <c r="T271" s="209"/>
      <c r="U271" s="209"/>
      <c r="V271" s="209"/>
      <c r="W271" s="209"/>
      <c r="X271" s="207"/>
      <c r="Y271" s="208"/>
      <c r="Z271" s="209"/>
      <c r="AA271" s="209"/>
      <c r="AB271" s="209"/>
      <c r="AC271" s="209"/>
      <c r="AD271" s="209"/>
      <c r="AE271" s="207"/>
      <c r="AF271" s="208"/>
      <c r="AG271" s="209"/>
      <c r="AH271" s="209"/>
      <c r="AI271" s="209"/>
      <c r="AJ271" s="209"/>
      <c r="AK271" s="254"/>
      <c r="AL271" s="207">
        <f>AK271+(AL270-AL269)</f>
        <v>0</v>
      </c>
      <c r="AM271" s="208"/>
      <c r="AN271" s="307"/>
      <c r="AO271" s="309"/>
      <c r="AP271" s="310"/>
      <c r="AQ271" s="309"/>
      <c r="AR271" s="309"/>
      <c r="AS271" s="309"/>
      <c r="AT271" s="309"/>
      <c r="AU271" s="309"/>
      <c r="AV271" s="309"/>
      <c r="AW271" s="309"/>
      <c r="AX271" s="309"/>
    </row>
    <row r="272" spans="3:50">
      <c r="G272" s="429" t="s">
        <v>116</v>
      </c>
      <c r="H272" s="189" t="s">
        <v>130</v>
      </c>
      <c r="I272" s="210">
        <f t="shared" ref="I272:J272" si="158">IFERROR(SUMIF($G$1:$G$235,$G272,I$1:I$235),0)</f>
        <v>0</v>
      </c>
      <c r="J272" s="207">
        <f t="shared" si="158"/>
        <v>0</v>
      </c>
      <c r="K272" s="208"/>
      <c r="L272" s="210">
        <v>0</v>
      </c>
      <c r="M272" s="210">
        <v>0</v>
      </c>
      <c r="N272" s="210">
        <v>0</v>
      </c>
      <c r="O272" s="210">
        <f t="shared" ref="O272:Q272" si="159">IFERROR(SUMIF($G$1:$G$235,$G272,O$1:O$235),0)</f>
        <v>0</v>
      </c>
      <c r="P272" s="210">
        <f t="shared" si="159"/>
        <v>0</v>
      </c>
      <c r="Q272" s="207">
        <f t="shared" si="159"/>
        <v>0</v>
      </c>
      <c r="R272" s="208"/>
      <c r="S272" s="241"/>
      <c r="T272" s="210">
        <f t="shared" ref="T272:Z272" si="160">IFERROR(SUMIF($G$1:$G$235,$G272,T$1:T$235),0)</f>
        <v>0</v>
      </c>
      <c r="U272" s="210">
        <f t="shared" si="160"/>
        <v>0</v>
      </c>
      <c r="V272" s="210">
        <f t="shared" si="160"/>
        <v>0</v>
      </c>
      <c r="W272" s="210">
        <f t="shared" si="160"/>
        <v>0</v>
      </c>
      <c r="X272" s="207">
        <f t="shared" si="160"/>
        <v>0</v>
      </c>
      <c r="Y272" s="208"/>
      <c r="Z272" s="210">
        <f t="shared" si="160"/>
        <v>0</v>
      </c>
      <c r="AA272" s="210">
        <f t="shared" ref="AA272:AG272" si="161">IFERROR(SUMIF($G$1:$G$235,$G272,AA$1:AA$235),0)</f>
        <v>0</v>
      </c>
      <c r="AB272" s="210">
        <f t="shared" si="161"/>
        <v>0</v>
      </c>
      <c r="AC272" s="210">
        <f t="shared" si="161"/>
        <v>0</v>
      </c>
      <c r="AD272" s="210">
        <f t="shared" si="161"/>
        <v>0</v>
      </c>
      <c r="AE272" s="207">
        <f t="shared" si="161"/>
        <v>0</v>
      </c>
      <c r="AF272" s="208"/>
      <c r="AG272" s="210">
        <f t="shared" si="161"/>
        <v>0</v>
      </c>
      <c r="AH272" s="210">
        <f t="shared" ref="AH272:AL272" si="162">IFERROR(SUMIF($G$1:$G$235,$G272,AH$1:AH$235),0)</f>
        <v>0</v>
      </c>
      <c r="AI272" s="210">
        <f t="shared" si="162"/>
        <v>0</v>
      </c>
      <c r="AJ272" s="210">
        <f t="shared" si="162"/>
        <v>0</v>
      </c>
      <c r="AK272" s="254"/>
      <c r="AL272" s="207">
        <f t="shared" si="162"/>
        <v>0</v>
      </c>
      <c r="AM272" s="208"/>
      <c r="AN272" s="308">
        <f>SUM(I272:AM272)</f>
        <v>0</v>
      </c>
      <c r="AQ272" s="368"/>
    </row>
    <row r="273" spans="3:50">
      <c r="G273" s="430"/>
      <c r="H273" s="188" t="s">
        <v>15</v>
      </c>
      <c r="I273" s="209"/>
      <c r="J273" s="207"/>
      <c r="K273" s="208"/>
      <c r="L273" s="209"/>
      <c r="M273" s="209"/>
      <c r="N273" s="209"/>
      <c r="O273" s="209"/>
      <c r="P273" s="209"/>
      <c r="Q273" s="207"/>
      <c r="R273" s="208"/>
      <c r="S273" s="241"/>
      <c r="T273" s="209"/>
      <c r="U273" s="209"/>
      <c r="V273" s="209"/>
      <c r="W273" s="209"/>
      <c r="X273" s="207"/>
      <c r="Y273" s="208"/>
      <c r="AA273" s="209"/>
      <c r="AB273" s="209"/>
      <c r="AC273" s="209"/>
      <c r="AD273" s="209"/>
      <c r="AE273" s="207"/>
      <c r="AF273" s="208"/>
      <c r="AH273" s="209"/>
      <c r="AI273" s="209"/>
      <c r="AJ273" s="209"/>
      <c r="AK273" s="254"/>
      <c r="AL273" s="207"/>
      <c r="AM273" s="208"/>
      <c r="AN273" s="307">
        <f>SUM(I273:AM273)</f>
        <v>0</v>
      </c>
      <c r="AQ273" s="368"/>
    </row>
    <row r="274" spans="3:50">
      <c r="C274" s="21"/>
      <c r="D274" s="21"/>
      <c r="E274" s="21"/>
      <c r="F274" s="21"/>
      <c r="G274" s="431"/>
      <c r="H274" s="188" t="s">
        <v>114</v>
      </c>
      <c r="I274" s="209">
        <f>I273-I272</f>
        <v>0</v>
      </c>
      <c r="J274" s="207">
        <f t="shared" ref="J274:Q274" si="163">I274+(J273-J272)</f>
        <v>0</v>
      </c>
      <c r="K274" s="208"/>
      <c r="L274" s="209">
        <f>J274+(L273-L272)</f>
        <v>0</v>
      </c>
      <c r="M274" s="209">
        <f>K274+(M273-M272)</f>
        <v>0</v>
      </c>
      <c r="N274" s="209">
        <f t="shared" si="163"/>
        <v>0</v>
      </c>
      <c r="O274" s="209">
        <f t="shared" si="163"/>
        <v>0</v>
      </c>
      <c r="P274" s="209">
        <f t="shared" si="163"/>
        <v>0</v>
      </c>
      <c r="Q274" s="207">
        <f t="shared" si="163"/>
        <v>0</v>
      </c>
      <c r="R274" s="208"/>
      <c r="S274" s="241"/>
      <c r="T274" s="209"/>
      <c r="U274" s="209"/>
      <c r="V274" s="209"/>
      <c r="W274" s="209"/>
      <c r="X274" s="207">
        <f>W274+(X273-X272)</f>
        <v>0</v>
      </c>
      <c r="Y274" s="208"/>
      <c r="Z274" s="209"/>
      <c r="AA274" s="209"/>
      <c r="AB274" s="209"/>
      <c r="AC274" s="209"/>
      <c r="AD274" s="209"/>
      <c r="AE274" s="207">
        <f>AD274+(AE273-AE272)</f>
        <v>0</v>
      </c>
      <c r="AF274" s="208"/>
      <c r="AG274" s="209"/>
      <c r="AH274" s="209"/>
      <c r="AI274" s="209"/>
      <c r="AJ274" s="209"/>
      <c r="AK274" s="254"/>
      <c r="AL274" s="207">
        <f>AK274+(AL273-AL272)</f>
        <v>0</v>
      </c>
      <c r="AM274" s="208"/>
      <c r="AN274" s="307"/>
      <c r="AO274" s="309"/>
      <c r="AP274" s="310"/>
      <c r="AQ274" s="309"/>
      <c r="AR274" s="309"/>
      <c r="AS274" s="309"/>
      <c r="AT274" s="309"/>
      <c r="AU274" s="309"/>
      <c r="AV274" s="309"/>
      <c r="AW274" s="309"/>
      <c r="AX274" s="309"/>
    </row>
    <row r="275" spans="3:50">
      <c r="G275" s="429" t="s">
        <v>117</v>
      </c>
      <c r="H275" s="189" t="s">
        <v>130</v>
      </c>
      <c r="I275" s="210">
        <f t="shared" ref="I275:L275" si="164">IFERROR(SUMIF($G$1:$G$235,$G275,I$1:I$235),0)</f>
        <v>0</v>
      </c>
      <c r="J275" s="207">
        <f t="shared" si="164"/>
        <v>0</v>
      </c>
      <c r="K275" s="208"/>
      <c r="L275" s="210">
        <f t="shared" si="164"/>
        <v>0</v>
      </c>
      <c r="M275" s="210">
        <f t="shared" ref="M275:Q275" si="165">IFERROR(SUMIF($G$1:$G$235,$G275,M$1:M$235),0)</f>
        <v>0</v>
      </c>
      <c r="N275" s="210">
        <f t="shared" si="165"/>
        <v>0</v>
      </c>
      <c r="O275" s="210">
        <f t="shared" si="165"/>
        <v>0</v>
      </c>
      <c r="P275" s="210">
        <f t="shared" si="165"/>
        <v>0</v>
      </c>
      <c r="Q275" s="207">
        <f t="shared" si="165"/>
        <v>0</v>
      </c>
      <c r="R275" s="208"/>
      <c r="S275" s="241"/>
      <c r="T275" s="210">
        <f t="shared" ref="T275:Z275" si="166">IFERROR(SUMIF($G$1:$G$235,$G275,T$1:T$235),0)</f>
        <v>0</v>
      </c>
      <c r="U275" s="210">
        <f t="shared" si="166"/>
        <v>0</v>
      </c>
      <c r="V275" s="210">
        <f t="shared" si="166"/>
        <v>0</v>
      </c>
      <c r="W275" s="210">
        <f t="shared" si="166"/>
        <v>0</v>
      </c>
      <c r="X275" s="207">
        <f t="shared" si="166"/>
        <v>0</v>
      </c>
      <c r="Y275" s="208"/>
      <c r="Z275" s="210">
        <f t="shared" si="166"/>
        <v>0</v>
      </c>
      <c r="AA275" s="210">
        <f t="shared" ref="AA275:AG275" si="167">IFERROR(SUMIF($G$1:$G$235,$G275,AA$1:AA$235),0)</f>
        <v>0</v>
      </c>
      <c r="AB275" s="210">
        <f t="shared" si="167"/>
        <v>0</v>
      </c>
      <c r="AC275" s="210">
        <f t="shared" si="167"/>
        <v>0</v>
      </c>
      <c r="AD275" s="210">
        <f t="shared" si="167"/>
        <v>0</v>
      </c>
      <c r="AE275" s="207">
        <f t="shared" si="167"/>
        <v>0</v>
      </c>
      <c r="AF275" s="208"/>
      <c r="AG275" s="210">
        <f t="shared" si="167"/>
        <v>0</v>
      </c>
      <c r="AH275" s="210">
        <f t="shared" ref="AH275:AL275" si="168">IFERROR(SUMIF($G$1:$G$235,$G275,AH$1:AH$235),0)</f>
        <v>0</v>
      </c>
      <c r="AI275" s="210">
        <f t="shared" si="168"/>
        <v>0</v>
      </c>
      <c r="AJ275" s="210">
        <f t="shared" si="168"/>
        <v>0</v>
      </c>
      <c r="AK275" s="254"/>
      <c r="AL275" s="207">
        <f t="shared" si="168"/>
        <v>0</v>
      </c>
      <c r="AM275" s="208"/>
      <c r="AN275" s="308">
        <f>SUM(I275:AM275)</f>
        <v>0</v>
      </c>
      <c r="AQ275" s="368"/>
    </row>
    <row r="276" spans="3:50">
      <c r="G276" s="430"/>
      <c r="H276" s="188" t="s">
        <v>15</v>
      </c>
      <c r="I276" s="209"/>
      <c r="J276" s="207"/>
      <c r="K276" s="208"/>
      <c r="L276" s="209"/>
      <c r="M276" s="209"/>
      <c r="N276" s="209"/>
      <c r="O276" s="209"/>
      <c r="P276" s="209"/>
      <c r="Q276" s="207"/>
      <c r="R276" s="208"/>
      <c r="S276" s="241"/>
      <c r="T276" s="209"/>
      <c r="U276" s="209"/>
      <c r="V276" s="209"/>
      <c r="W276" s="209"/>
      <c r="X276" s="207"/>
      <c r="Y276" s="208"/>
      <c r="Z276" s="209"/>
      <c r="AA276" s="209"/>
      <c r="AB276" s="209"/>
      <c r="AC276" s="209"/>
      <c r="AD276" s="209"/>
      <c r="AE276" s="207"/>
      <c r="AF276" s="208"/>
      <c r="AG276" s="209"/>
      <c r="AH276" s="209"/>
      <c r="AI276" s="209"/>
      <c r="AJ276" s="209"/>
      <c r="AK276" s="254"/>
      <c r="AL276" s="207"/>
      <c r="AM276" s="208"/>
      <c r="AN276" s="307">
        <f>SUM(I276:AM276)</f>
        <v>0</v>
      </c>
      <c r="AQ276" s="368"/>
    </row>
    <row r="277" spans="3:50">
      <c r="C277" s="21"/>
      <c r="D277" s="21"/>
      <c r="E277" s="21"/>
      <c r="F277" s="21"/>
      <c r="G277" s="431"/>
      <c r="H277" s="188" t="s">
        <v>114</v>
      </c>
      <c r="I277" s="209">
        <f>I276-I275</f>
        <v>0</v>
      </c>
      <c r="J277" s="207">
        <f t="shared" ref="J277:Q277" si="169">I277+(J276-J275)</f>
        <v>0</v>
      </c>
      <c r="K277" s="208"/>
      <c r="L277" s="209">
        <f>J277+(L276-L275)</f>
        <v>0</v>
      </c>
      <c r="M277" s="209">
        <f>K277+(M276-M275)</f>
        <v>0</v>
      </c>
      <c r="N277" s="209">
        <f t="shared" si="169"/>
        <v>0</v>
      </c>
      <c r="O277" s="209">
        <f t="shared" si="169"/>
        <v>0</v>
      </c>
      <c r="P277" s="209">
        <f t="shared" si="169"/>
        <v>0</v>
      </c>
      <c r="Q277" s="207">
        <f t="shared" si="169"/>
        <v>0</v>
      </c>
      <c r="R277" s="208"/>
      <c r="S277" s="241"/>
      <c r="T277" s="209">
        <f>O277+(T276-T275)</f>
        <v>0</v>
      </c>
      <c r="U277" s="209">
        <f t="shared" ref="U277:Z277" si="170">T277+(U276-U275)</f>
        <v>0</v>
      </c>
      <c r="V277" s="209">
        <f t="shared" si="170"/>
        <v>0</v>
      </c>
      <c r="W277" s="209">
        <f>U277+(W276-W275)</f>
        <v>0</v>
      </c>
      <c r="X277" s="207">
        <f>W277+(X276-X275)</f>
        <v>0</v>
      </c>
      <c r="Y277" s="208"/>
      <c r="Z277" s="209">
        <f t="shared" si="170"/>
        <v>0</v>
      </c>
      <c r="AA277" s="209">
        <f>Y277+(AA276-AA275)</f>
        <v>0</v>
      </c>
      <c r="AB277" s="209">
        <f t="shared" ref="AB277:AG277" si="171">AA277+(AB276-AB275)</f>
        <v>0</v>
      </c>
      <c r="AC277" s="209">
        <f t="shared" si="171"/>
        <v>0</v>
      </c>
      <c r="AD277" s="209">
        <f t="shared" si="171"/>
        <v>0</v>
      </c>
      <c r="AE277" s="207">
        <f t="shared" si="171"/>
        <v>0</v>
      </c>
      <c r="AF277" s="208"/>
      <c r="AG277" s="209">
        <f t="shared" si="171"/>
        <v>0</v>
      </c>
      <c r="AH277" s="209"/>
      <c r="AI277" s="209"/>
      <c r="AJ277" s="209"/>
      <c r="AK277" s="254"/>
      <c r="AL277" s="207">
        <f>AK277+(AL276-AL275)</f>
        <v>0</v>
      </c>
      <c r="AM277" s="208"/>
      <c r="AN277" s="307"/>
      <c r="AO277" s="309"/>
      <c r="AP277" s="310"/>
      <c r="AQ277" s="309"/>
      <c r="AR277" s="309"/>
      <c r="AS277" s="309"/>
      <c r="AT277" s="309"/>
      <c r="AU277" s="309"/>
      <c r="AV277" s="309"/>
      <c r="AW277" s="309"/>
      <c r="AX277" s="309"/>
    </row>
    <row r="278" spans="3:50">
      <c r="G278" s="429" t="s">
        <v>118</v>
      </c>
      <c r="H278" s="189" t="s">
        <v>130</v>
      </c>
      <c r="I278" s="210">
        <v>0</v>
      </c>
      <c r="J278" s="207">
        <v>0</v>
      </c>
      <c r="K278" s="208"/>
      <c r="L278" s="210">
        <v>0</v>
      </c>
      <c r="M278" s="210">
        <v>0</v>
      </c>
      <c r="N278" s="210">
        <v>0</v>
      </c>
      <c r="O278" s="210">
        <v>0</v>
      </c>
      <c r="P278" s="210">
        <v>0</v>
      </c>
      <c r="Q278" s="207">
        <v>0</v>
      </c>
      <c r="R278" s="208"/>
      <c r="S278" s="241"/>
      <c r="T278" s="210">
        <v>0</v>
      </c>
      <c r="U278" s="210">
        <v>0</v>
      </c>
      <c r="V278" s="210">
        <v>0</v>
      </c>
      <c r="W278" s="210">
        <v>0</v>
      </c>
      <c r="X278" s="207"/>
      <c r="Y278" s="208"/>
      <c r="Z278" s="210"/>
      <c r="AA278" s="210"/>
      <c r="AB278" s="210">
        <v>0</v>
      </c>
      <c r="AC278" s="210">
        <v>0</v>
      </c>
      <c r="AD278" s="210">
        <v>0</v>
      </c>
      <c r="AE278" s="207"/>
      <c r="AF278" s="208"/>
      <c r="AG278" s="210"/>
      <c r="AH278" s="210">
        <v>0</v>
      </c>
      <c r="AI278" s="210">
        <v>0</v>
      </c>
      <c r="AJ278" s="210">
        <v>0</v>
      </c>
      <c r="AK278" s="241"/>
      <c r="AL278" s="207">
        <v>0</v>
      </c>
      <c r="AM278" s="208"/>
      <c r="AN278" s="308">
        <f>SUM(I278:AM278)</f>
        <v>0</v>
      </c>
      <c r="AQ278" s="368"/>
    </row>
    <row r="279" spans="3:50">
      <c r="G279" s="430"/>
      <c r="H279" s="188" t="s">
        <v>15</v>
      </c>
      <c r="I279" s="209"/>
      <c r="J279" s="207"/>
      <c r="K279" s="208"/>
      <c r="L279" s="209"/>
      <c r="M279" s="209"/>
      <c r="N279" s="209"/>
      <c r="O279" s="209"/>
      <c r="P279" s="209"/>
      <c r="Q279" s="207">
        <v>0</v>
      </c>
      <c r="R279" s="208"/>
      <c r="S279" s="241"/>
      <c r="T279" s="209"/>
      <c r="U279" s="209"/>
      <c r="V279" s="209"/>
      <c r="W279" s="209"/>
      <c r="X279" s="207"/>
      <c r="Y279" s="208"/>
      <c r="Z279" s="209"/>
      <c r="AA279" s="209"/>
      <c r="AB279" s="209"/>
      <c r="AC279" s="209"/>
      <c r="AD279" s="209"/>
      <c r="AE279" s="207"/>
      <c r="AF279" s="208"/>
      <c r="AG279" s="209"/>
      <c r="AH279" s="209"/>
      <c r="AI279" s="209"/>
      <c r="AJ279" s="209"/>
      <c r="AK279" s="254"/>
      <c r="AL279" s="207">
        <v>0</v>
      </c>
      <c r="AM279" s="208"/>
      <c r="AN279" s="307">
        <f>SUM(I279:AM279)</f>
        <v>0</v>
      </c>
      <c r="AQ279" s="368"/>
    </row>
    <row r="280" spans="3:50">
      <c r="C280" s="21"/>
      <c r="D280" s="21"/>
      <c r="E280" s="21"/>
      <c r="F280" s="21"/>
      <c r="G280" s="431"/>
      <c r="H280" s="188" t="s">
        <v>114</v>
      </c>
      <c r="I280" s="209">
        <f>I279-I278</f>
        <v>0</v>
      </c>
      <c r="J280" s="207">
        <f t="shared" ref="J280:Q280" si="172">I280+(J279-J278)</f>
        <v>0</v>
      </c>
      <c r="K280" s="208"/>
      <c r="L280" s="209">
        <f>J280+(L279-L278)</f>
        <v>0</v>
      </c>
      <c r="M280" s="209">
        <f>K280+(M279-M278)</f>
        <v>0</v>
      </c>
      <c r="N280" s="209">
        <f t="shared" si="172"/>
        <v>0</v>
      </c>
      <c r="O280" s="209">
        <f t="shared" si="172"/>
        <v>0</v>
      </c>
      <c r="P280" s="209">
        <f t="shared" si="172"/>
        <v>0</v>
      </c>
      <c r="Q280" s="207">
        <f t="shared" si="172"/>
        <v>0</v>
      </c>
      <c r="R280" s="208"/>
      <c r="S280" s="241"/>
      <c r="T280" s="209">
        <f>O280+(T279-T278)</f>
        <v>0</v>
      </c>
      <c r="U280" s="209">
        <f t="shared" ref="U280:Z280" si="173">T280+(U279-U278)</f>
        <v>0</v>
      </c>
      <c r="V280" s="209">
        <f t="shared" si="173"/>
        <v>0</v>
      </c>
      <c r="W280" s="209">
        <f>U280+(W279-W278)</f>
        <v>0</v>
      </c>
      <c r="X280" s="207">
        <f>W280+(X279-X278)</f>
        <v>0</v>
      </c>
      <c r="Y280" s="208"/>
      <c r="Z280" s="209">
        <f t="shared" si="173"/>
        <v>0</v>
      </c>
      <c r="AA280" s="209">
        <f>Y280+(AA279-AA278)</f>
        <v>0</v>
      </c>
      <c r="AB280" s="209">
        <f t="shared" ref="AB280:AG280" si="174">AA280+(AB279-AB278)</f>
        <v>0</v>
      </c>
      <c r="AC280" s="209">
        <f t="shared" si="174"/>
        <v>0</v>
      </c>
      <c r="AD280" s="209"/>
      <c r="AE280" s="207">
        <f>AD280+(AE279-AE278)</f>
        <v>0</v>
      </c>
      <c r="AF280" s="208"/>
      <c r="AG280" s="209">
        <f t="shared" si="174"/>
        <v>0</v>
      </c>
      <c r="AH280" s="209"/>
      <c r="AI280" s="209"/>
      <c r="AJ280" s="209"/>
      <c r="AK280" s="254"/>
      <c r="AL280" s="207">
        <f>AK280+(AL279-AL278)</f>
        <v>0</v>
      </c>
      <c r="AM280" s="208"/>
      <c r="AN280" s="307"/>
      <c r="AO280" s="309"/>
      <c r="AP280" s="310"/>
      <c r="AQ280" s="309"/>
      <c r="AR280" s="309"/>
      <c r="AS280" s="309"/>
      <c r="AT280" s="309"/>
      <c r="AU280" s="309"/>
      <c r="AV280" s="309"/>
      <c r="AW280" s="309"/>
      <c r="AX280" s="309"/>
    </row>
    <row r="281" spans="3:50">
      <c r="G281" s="429" t="s">
        <v>119</v>
      </c>
      <c r="H281" s="189" t="s">
        <v>185</v>
      </c>
      <c r="I281" s="210">
        <v>0</v>
      </c>
      <c r="J281" s="207">
        <v>0</v>
      </c>
      <c r="K281" s="208"/>
      <c r="L281" s="210">
        <v>0</v>
      </c>
      <c r="M281" s="210">
        <v>0</v>
      </c>
      <c r="N281" s="210">
        <v>0</v>
      </c>
      <c r="O281" s="210">
        <v>0</v>
      </c>
      <c r="P281" s="210">
        <v>0</v>
      </c>
      <c r="Q281" s="207">
        <v>0</v>
      </c>
      <c r="R281" s="208"/>
      <c r="S281" s="241"/>
      <c r="T281" s="210">
        <v>20</v>
      </c>
      <c r="U281" s="210">
        <v>20</v>
      </c>
      <c r="V281" s="210">
        <v>20</v>
      </c>
      <c r="W281" s="210">
        <v>20</v>
      </c>
      <c r="X281" s="207">
        <v>20</v>
      </c>
      <c r="Y281" s="208"/>
      <c r="Z281" s="210">
        <v>20</v>
      </c>
      <c r="AA281" s="210">
        <v>20</v>
      </c>
      <c r="AB281" s="210">
        <v>20</v>
      </c>
      <c r="AC281" s="210">
        <v>0</v>
      </c>
      <c r="AD281" s="210">
        <v>0</v>
      </c>
      <c r="AE281" s="207">
        <v>0</v>
      </c>
      <c r="AF281" s="208"/>
      <c r="AG281" s="210">
        <v>0</v>
      </c>
      <c r="AH281" s="210">
        <v>0</v>
      </c>
      <c r="AI281" s="210">
        <v>0</v>
      </c>
      <c r="AJ281" s="210">
        <v>0</v>
      </c>
      <c r="AK281" s="241"/>
      <c r="AL281" s="207">
        <v>0</v>
      </c>
      <c r="AM281" s="208"/>
      <c r="AN281" s="362">
        <f>SUM(I281:AM281)</f>
        <v>160</v>
      </c>
      <c r="AQ281" s="368"/>
    </row>
    <row r="282" spans="3:50">
      <c r="G282" s="430"/>
      <c r="H282" s="188" t="s">
        <v>15</v>
      </c>
      <c r="I282" s="209"/>
      <c r="J282" s="207"/>
      <c r="K282" s="208"/>
      <c r="L282" s="209"/>
      <c r="M282" s="209">
        <v>9.02</v>
      </c>
      <c r="N282" s="209">
        <v>6.2</v>
      </c>
      <c r="O282" s="209"/>
      <c r="P282" s="209">
        <v>3.76</v>
      </c>
      <c r="Q282" s="207"/>
      <c r="R282" s="208"/>
      <c r="S282" s="241"/>
      <c r="T282" s="209"/>
      <c r="U282" s="209"/>
      <c r="V282" s="209"/>
      <c r="W282" s="209"/>
      <c r="X282" s="207"/>
      <c r="Y282" s="208"/>
      <c r="Z282" s="209"/>
      <c r="AA282" s="209"/>
      <c r="AB282" s="209"/>
      <c r="AC282" s="209"/>
      <c r="AD282" s="209"/>
      <c r="AE282" s="207"/>
      <c r="AF282" s="208"/>
      <c r="AG282" s="209"/>
      <c r="AH282" s="209"/>
      <c r="AI282" s="209"/>
      <c r="AJ282" s="209"/>
      <c r="AK282" s="254"/>
      <c r="AL282" s="207"/>
      <c r="AM282" s="208"/>
      <c r="AN282" s="307">
        <f>SUM(I282:AM282)</f>
        <v>18.979999999999997</v>
      </c>
      <c r="AQ282" s="368"/>
    </row>
    <row r="283" spans="3:50">
      <c r="C283" s="21"/>
      <c r="D283" s="21"/>
      <c r="E283" s="21"/>
      <c r="F283" s="21"/>
      <c r="G283" s="431"/>
      <c r="H283" s="188" t="s">
        <v>114</v>
      </c>
      <c r="I283" s="209">
        <f>I282-I281</f>
        <v>0</v>
      </c>
      <c r="J283" s="207">
        <f t="shared" ref="J283:Q283" si="175">I283+(J282-J281)</f>
        <v>0</v>
      </c>
      <c r="K283" s="208"/>
      <c r="L283" s="209">
        <f>J283+(L282-L281)</f>
        <v>0</v>
      </c>
      <c r="M283" s="209">
        <f>K283+(M282-M281)</f>
        <v>9.02</v>
      </c>
      <c r="N283" s="209">
        <f t="shared" si="175"/>
        <v>15.219999999999999</v>
      </c>
      <c r="O283" s="209">
        <f t="shared" si="175"/>
        <v>15.219999999999999</v>
      </c>
      <c r="P283" s="209">
        <f t="shared" si="175"/>
        <v>18.979999999999997</v>
      </c>
      <c r="Q283" s="207">
        <f t="shared" si="175"/>
        <v>18.979999999999997</v>
      </c>
      <c r="R283" s="208"/>
      <c r="S283" s="241"/>
      <c r="T283" s="209">
        <v>0</v>
      </c>
      <c r="U283" s="209">
        <v>0</v>
      </c>
      <c r="V283" s="209">
        <v>0</v>
      </c>
      <c r="W283" s="209">
        <v>0</v>
      </c>
      <c r="X283" s="207">
        <v>0</v>
      </c>
      <c r="Y283" s="208"/>
      <c r="Z283" s="209">
        <v>0</v>
      </c>
      <c r="AA283" s="209">
        <v>0</v>
      </c>
      <c r="AB283" s="209">
        <v>0</v>
      </c>
      <c r="AC283" s="209">
        <v>0</v>
      </c>
      <c r="AD283" s="209">
        <v>0</v>
      </c>
      <c r="AE283" s="207">
        <f t="shared" ref="AE283:AG283" si="176">AD283+(AE282-AE281)</f>
        <v>0</v>
      </c>
      <c r="AF283" s="208"/>
      <c r="AG283" s="209">
        <f t="shared" si="176"/>
        <v>0</v>
      </c>
      <c r="AH283" s="209"/>
      <c r="AI283" s="209"/>
      <c r="AJ283" s="209"/>
      <c r="AK283" s="254"/>
      <c r="AL283" s="207">
        <f>AK283+(AL282-AL281)</f>
        <v>0</v>
      </c>
      <c r="AM283" s="208"/>
      <c r="AN283" s="307"/>
      <c r="AO283" s="309"/>
      <c r="AP283" s="310"/>
      <c r="AQ283" s="309"/>
      <c r="AR283" s="309"/>
      <c r="AS283" s="309"/>
      <c r="AT283" s="309"/>
      <c r="AU283" s="309"/>
      <c r="AV283" s="309"/>
      <c r="AW283" s="309"/>
      <c r="AX283" s="309"/>
    </row>
    <row r="284" spans="3:50">
      <c r="G284" s="429" t="s">
        <v>121</v>
      </c>
      <c r="H284" s="189" t="s">
        <v>185</v>
      </c>
      <c r="I284" s="210">
        <v>0</v>
      </c>
      <c r="J284" s="207">
        <v>0</v>
      </c>
      <c r="K284" s="208"/>
      <c r="L284" s="210">
        <v>0</v>
      </c>
      <c r="M284" s="210">
        <v>0</v>
      </c>
      <c r="N284" s="210">
        <v>0</v>
      </c>
      <c r="O284" s="210">
        <v>0</v>
      </c>
      <c r="P284" s="210">
        <v>0</v>
      </c>
      <c r="Q284" s="207">
        <v>0</v>
      </c>
      <c r="R284" s="208"/>
      <c r="S284" s="241"/>
      <c r="T284" s="210">
        <v>0</v>
      </c>
      <c r="U284" s="210">
        <v>0</v>
      </c>
      <c r="V284" s="210">
        <v>0</v>
      </c>
      <c r="W284" s="210">
        <v>0</v>
      </c>
      <c r="X284" s="207">
        <v>0</v>
      </c>
      <c r="Y284" s="208"/>
      <c r="Z284" s="210">
        <v>0</v>
      </c>
      <c r="AA284" s="210">
        <v>0</v>
      </c>
      <c r="AB284" s="210">
        <v>0</v>
      </c>
      <c r="AC284" s="210"/>
      <c r="AD284" s="210"/>
      <c r="AE284" s="207">
        <v>0</v>
      </c>
      <c r="AF284" s="208"/>
      <c r="AG284" s="210">
        <v>0</v>
      </c>
      <c r="AH284" s="210">
        <v>0</v>
      </c>
      <c r="AI284" s="210">
        <v>0</v>
      </c>
      <c r="AJ284" s="210">
        <v>0</v>
      </c>
      <c r="AK284" s="254"/>
      <c r="AL284" s="207">
        <v>0</v>
      </c>
      <c r="AM284" s="208"/>
      <c r="AN284" s="362">
        <f>SUM(I284:AM284)</f>
        <v>0</v>
      </c>
      <c r="AQ284" s="368"/>
    </row>
    <row r="285" spans="3:50">
      <c r="G285" s="430"/>
      <c r="H285" s="188" t="s">
        <v>15</v>
      </c>
      <c r="I285" s="209"/>
      <c r="J285" s="207"/>
      <c r="K285" s="208"/>
      <c r="L285" s="209"/>
      <c r="M285" s="209">
        <v>12.44</v>
      </c>
      <c r="N285" s="209">
        <v>3.66</v>
      </c>
      <c r="O285" s="209"/>
      <c r="P285" s="209"/>
      <c r="Q285" s="207"/>
      <c r="R285" s="208"/>
      <c r="S285" s="241"/>
      <c r="T285" s="209"/>
      <c r="U285" s="209"/>
      <c r="V285" s="209"/>
      <c r="W285" s="209"/>
      <c r="X285" s="207"/>
      <c r="Y285" s="208"/>
      <c r="Z285" s="209"/>
      <c r="AA285" s="209"/>
      <c r="AB285" s="209"/>
      <c r="AC285" s="209"/>
      <c r="AD285" s="209"/>
      <c r="AE285" s="207"/>
      <c r="AF285" s="208"/>
      <c r="AG285" s="209"/>
      <c r="AH285" s="209"/>
      <c r="AI285" s="209"/>
      <c r="AJ285" s="209"/>
      <c r="AK285" s="254"/>
      <c r="AL285" s="207"/>
      <c r="AM285" s="208"/>
      <c r="AN285" s="307">
        <f>SUM(I285:AM285)</f>
        <v>16.100000000000001</v>
      </c>
      <c r="AQ285" s="368"/>
    </row>
    <row r="286" spans="3:50">
      <c r="C286" s="21"/>
      <c r="D286" s="21"/>
      <c r="E286" s="21"/>
      <c r="F286" s="21"/>
      <c r="G286" s="431"/>
      <c r="H286" s="188" t="s">
        <v>114</v>
      </c>
      <c r="I286" s="209">
        <f>I285-I284</f>
        <v>0</v>
      </c>
      <c r="J286" s="207">
        <f t="shared" ref="J286:Q286" si="177">I286+(J285-J284)</f>
        <v>0</v>
      </c>
      <c r="K286" s="208"/>
      <c r="L286" s="209">
        <f>J286+(L285-L284)</f>
        <v>0</v>
      </c>
      <c r="M286" s="209">
        <f>K286+(M285-M284)</f>
        <v>12.44</v>
      </c>
      <c r="N286" s="209">
        <f t="shared" si="177"/>
        <v>16.100000000000001</v>
      </c>
      <c r="O286" s="209">
        <f t="shared" si="177"/>
        <v>16.100000000000001</v>
      </c>
      <c r="P286" s="209">
        <f t="shared" si="177"/>
        <v>16.100000000000001</v>
      </c>
      <c r="Q286" s="207">
        <f t="shared" si="177"/>
        <v>16.100000000000001</v>
      </c>
      <c r="R286" s="208"/>
      <c r="S286" s="241"/>
      <c r="T286" s="209">
        <f>O286+(T285-T284)</f>
        <v>16.100000000000001</v>
      </c>
      <c r="U286" s="209">
        <f t="shared" ref="U286:Z286" si="178">T286+(U285-U284)</f>
        <v>16.100000000000001</v>
      </c>
      <c r="V286" s="209">
        <f t="shared" si="178"/>
        <v>16.100000000000001</v>
      </c>
      <c r="W286" s="209">
        <f>U286+(W285-W284)</f>
        <v>16.100000000000001</v>
      </c>
      <c r="X286" s="207">
        <f>W286+(X285-X284)</f>
        <v>16.100000000000001</v>
      </c>
      <c r="Y286" s="208"/>
      <c r="Z286" s="209">
        <f t="shared" si="178"/>
        <v>0</v>
      </c>
      <c r="AA286" s="209">
        <f>Y286+(AA285-AA284)</f>
        <v>0</v>
      </c>
      <c r="AB286" s="209">
        <f t="shared" ref="AB286:AG286" si="179">AA286+(AB285-AB284)</f>
        <v>0</v>
      </c>
      <c r="AC286" s="209">
        <f t="shared" si="179"/>
        <v>0</v>
      </c>
      <c r="AD286" s="209">
        <f t="shared" si="179"/>
        <v>0</v>
      </c>
      <c r="AE286" s="207">
        <f t="shared" si="179"/>
        <v>0</v>
      </c>
      <c r="AF286" s="208"/>
      <c r="AG286" s="209">
        <f t="shared" si="179"/>
        <v>0</v>
      </c>
      <c r="AH286" s="209"/>
      <c r="AI286" s="209"/>
      <c r="AJ286" s="209"/>
      <c r="AK286" s="254"/>
      <c r="AL286" s="207">
        <f>AK286+(AL285-AL284)</f>
        <v>0</v>
      </c>
      <c r="AM286" s="208"/>
      <c r="AN286" s="307"/>
      <c r="AO286" s="309"/>
      <c r="AP286" s="310"/>
      <c r="AQ286" s="309"/>
      <c r="AR286" s="309"/>
      <c r="AS286" s="309"/>
      <c r="AT286" s="309"/>
      <c r="AU286" s="309"/>
      <c r="AV286" s="309"/>
      <c r="AW286" s="309"/>
      <c r="AX286" s="309"/>
    </row>
    <row r="287" spans="3:50">
      <c r="G287" s="429" t="s">
        <v>123</v>
      </c>
      <c r="H287" s="189" t="s">
        <v>185</v>
      </c>
      <c r="I287" s="210">
        <v>0</v>
      </c>
      <c r="J287" s="207">
        <v>0</v>
      </c>
      <c r="K287" s="208"/>
      <c r="L287" s="210">
        <v>0</v>
      </c>
      <c r="M287" s="210">
        <v>0</v>
      </c>
      <c r="N287" s="210">
        <v>0</v>
      </c>
      <c r="O287" s="210">
        <v>0</v>
      </c>
      <c r="P287" s="210">
        <v>0</v>
      </c>
      <c r="Q287" s="207">
        <v>0</v>
      </c>
      <c r="R287" s="208"/>
      <c r="S287" s="241"/>
      <c r="T287" s="210">
        <v>0</v>
      </c>
      <c r="U287" s="210">
        <v>0</v>
      </c>
      <c r="V287" s="210">
        <v>0</v>
      </c>
      <c r="W287" s="210">
        <v>0</v>
      </c>
      <c r="X287" s="207">
        <v>0</v>
      </c>
      <c r="Y287" s="208"/>
      <c r="Z287" s="210">
        <v>0</v>
      </c>
      <c r="AA287" s="210">
        <v>0</v>
      </c>
      <c r="AB287" s="210">
        <v>0</v>
      </c>
      <c r="AC287" s="210">
        <v>0</v>
      </c>
      <c r="AD287" s="210">
        <v>0</v>
      </c>
      <c r="AE287" s="207">
        <v>0</v>
      </c>
      <c r="AF287" s="208"/>
      <c r="AG287" s="210">
        <v>0</v>
      </c>
      <c r="AH287" s="210">
        <v>0</v>
      </c>
      <c r="AI287" s="210">
        <v>0</v>
      </c>
      <c r="AJ287" s="210">
        <v>0</v>
      </c>
      <c r="AK287" s="241"/>
      <c r="AL287" s="207">
        <v>0</v>
      </c>
      <c r="AM287" s="208"/>
      <c r="AN287" s="362"/>
      <c r="AQ287" s="368"/>
    </row>
    <row r="288" spans="3:50">
      <c r="G288" s="430"/>
      <c r="H288" s="188" t="s">
        <v>15</v>
      </c>
      <c r="I288" s="209"/>
      <c r="J288" s="207"/>
      <c r="K288" s="208"/>
      <c r="L288" s="209"/>
      <c r="M288" s="209"/>
      <c r="N288" s="209"/>
      <c r="O288" s="209"/>
      <c r="P288" s="209"/>
      <c r="Q288" s="207"/>
      <c r="R288" s="208"/>
      <c r="S288" s="241"/>
      <c r="T288" s="209"/>
      <c r="U288" s="209"/>
      <c r="V288" s="209"/>
      <c r="W288" s="209"/>
      <c r="X288" s="207"/>
      <c r="Y288" s="208"/>
      <c r="Z288" s="209"/>
      <c r="AA288" s="209"/>
      <c r="AB288" s="209"/>
      <c r="AC288" s="209"/>
      <c r="AD288" s="209"/>
      <c r="AE288" s="207"/>
      <c r="AF288" s="208"/>
      <c r="AG288" s="209"/>
      <c r="AH288" s="209"/>
      <c r="AI288" s="209"/>
      <c r="AJ288" s="209"/>
      <c r="AK288" s="254"/>
      <c r="AL288" s="207"/>
      <c r="AM288" s="208"/>
      <c r="AN288" s="307"/>
      <c r="AQ288" s="368"/>
    </row>
    <row r="289" spans="2:50">
      <c r="C289" s="21"/>
      <c r="D289" s="21"/>
      <c r="E289" s="21"/>
      <c r="F289" s="21"/>
      <c r="G289" s="431"/>
      <c r="H289" s="188" t="s">
        <v>114</v>
      </c>
      <c r="I289" s="209">
        <f>I288-I287</f>
        <v>0</v>
      </c>
      <c r="J289" s="207">
        <f t="shared" ref="J289:Q289" si="180">I289+(J288-J287)</f>
        <v>0</v>
      </c>
      <c r="K289" s="208"/>
      <c r="L289" s="209">
        <f>J289+(L288-L287)</f>
        <v>0</v>
      </c>
      <c r="M289" s="209">
        <f>K289+(M288-M287)</f>
        <v>0</v>
      </c>
      <c r="N289" s="209">
        <f t="shared" si="180"/>
        <v>0</v>
      </c>
      <c r="O289" s="209">
        <f t="shared" si="180"/>
        <v>0</v>
      </c>
      <c r="P289" s="209">
        <f t="shared" si="180"/>
        <v>0</v>
      </c>
      <c r="Q289" s="207">
        <f t="shared" si="180"/>
        <v>0</v>
      </c>
      <c r="R289" s="208"/>
      <c r="S289" s="241"/>
      <c r="T289" s="209">
        <f>Q289+(T288-T287)</f>
        <v>0</v>
      </c>
      <c r="U289" s="209">
        <f t="shared" ref="U289:Z289" si="181">T289+(U288-U287)</f>
        <v>0</v>
      </c>
      <c r="V289" s="209">
        <f t="shared" si="181"/>
        <v>0</v>
      </c>
      <c r="W289" s="209">
        <f>U289+(W288-W287)</f>
        <v>0</v>
      </c>
      <c r="X289" s="207">
        <f>W289+(X288-X287)</f>
        <v>0</v>
      </c>
      <c r="Y289" s="208"/>
      <c r="Z289" s="209">
        <f t="shared" si="181"/>
        <v>0</v>
      </c>
      <c r="AA289" s="209">
        <f>Y289+(AA288-AA287)</f>
        <v>0</v>
      </c>
      <c r="AB289" s="209">
        <f t="shared" ref="AB289:AG289" si="182">AA289+(AB288-AB287)</f>
        <v>0</v>
      </c>
      <c r="AC289" s="209">
        <f t="shared" si="182"/>
        <v>0</v>
      </c>
      <c r="AD289" s="209">
        <f t="shared" si="182"/>
        <v>0</v>
      </c>
      <c r="AE289" s="207">
        <f t="shared" si="182"/>
        <v>0</v>
      </c>
      <c r="AF289" s="208"/>
      <c r="AG289" s="209">
        <f t="shared" si="182"/>
        <v>0</v>
      </c>
      <c r="AH289" s="209"/>
      <c r="AI289" s="209"/>
      <c r="AJ289" s="209"/>
      <c r="AK289" s="254"/>
      <c r="AL289" s="207">
        <f>AK289+(AL288-AL287)</f>
        <v>0</v>
      </c>
      <c r="AM289" s="208"/>
      <c r="AN289" s="307"/>
      <c r="AO289" s="309"/>
      <c r="AP289" s="310"/>
      <c r="AQ289" s="309"/>
      <c r="AR289" s="309"/>
      <c r="AS289" s="309"/>
      <c r="AT289" s="309"/>
      <c r="AU289" s="309"/>
      <c r="AV289" s="309"/>
      <c r="AW289" s="309"/>
      <c r="AX289" s="309"/>
    </row>
    <row r="290" spans="2:50">
      <c r="G290" s="429" t="s">
        <v>124</v>
      </c>
      <c r="H290" s="189" t="s">
        <v>185</v>
      </c>
      <c r="I290" s="210"/>
      <c r="J290" s="207"/>
      <c r="K290" s="208"/>
      <c r="L290" s="210"/>
      <c r="M290" s="210"/>
      <c r="N290" s="210"/>
      <c r="O290" s="210"/>
      <c r="P290" s="210"/>
      <c r="Q290" s="207"/>
      <c r="R290" s="208"/>
      <c r="S290" s="241"/>
      <c r="T290" s="210">
        <v>0</v>
      </c>
      <c r="U290" s="210">
        <v>0</v>
      </c>
      <c r="V290" s="210">
        <v>0</v>
      </c>
      <c r="W290" s="210">
        <v>0</v>
      </c>
      <c r="X290" s="207"/>
      <c r="Y290" s="208"/>
      <c r="Z290" s="210">
        <v>0</v>
      </c>
      <c r="AA290" s="210">
        <v>0</v>
      </c>
      <c r="AB290" s="210">
        <v>0</v>
      </c>
      <c r="AC290" s="210">
        <v>0</v>
      </c>
      <c r="AD290" s="210">
        <v>0</v>
      </c>
      <c r="AE290" s="423"/>
      <c r="AF290" s="208"/>
      <c r="AG290" s="210">
        <v>0</v>
      </c>
      <c r="AH290" s="210">
        <v>0</v>
      </c>
      <c r="AI290" s="210">
        <v>0</v>
      </c>
      <c r="AJ290" s="210">
        <v>0</v>
      </c>
      <c r="AK290" s="254"/>
      <c r="AL290" s="207">
        <f>300/20</f>
        <v>15</v>
      </c>
      <c r="AM290" s="208"/>
      <c r="AN290" s="362"/>
      <c r="AQ290" s="368"/>
    </row>
    <row r="291" spans="2:50">
      <c r="G291" s="430"/>
      <c r="H291" s="188" t="s">
        <v>15</v>
      </c>
      <c r="I291" s="209"/>
      <c r="J291" s="207"/>
      <c r="K291" s="208"/>
      <c r="L291" s="209"/>
      <c r="M291" s="209"/>
      <c r="N291" s="209"/>
      <c r="O291" s="209"/>
      <c r="P291" s="209"/>
      <c r="Q291" s="207"/>
      <c r="R291" s="208"/>
      <c r="S291" s="241"/>
      <c r="T291" s="209"/>
      <c r="U291" s="209"/>
      <c r="V291" s="209"/>
      <c r="W291" s="209"/>
      <c r="X291" s="207"/>
      <c r="Y291" s="208"/>
      <c r="Z291" s="209"/>
      <c r="AA291" s="209"/>
      <c r="AB291" s="209"/>
      <c r="AC291" s="209"/>
      <c r="AD291" s="209"/>
      <c r="AE291" s="423"/>
      <c r="AF291" s="208"/>
      <c r="AG291" s="209"/>
      <c r="AH291" s="209"/>
      <c r="AI291" s="209"/>
      <c r="AJ291" s="209"/>
      <c r="AK291" s="254"/>
      <c r="AL291" s="207"/>
      <c r="AM291" s="208"/>
      <c r="AN291" s="307"/>
      <c r="AQ291" s="368"/>
    </row>
    <row r="292" spans="2:50">
      <c r="C292" s="21"/>
      <c r="D292" s="21"/>
      <c r="E292" s="21"/>
      <c r="F292" s="21"/>
      <c r="G292" s="431"/>
      <c r="H292" s="188" t="s">
        <v>114</v>
      </c>
      <c r="I292" s="209">
        <f>I291-I290</f>
        <v>0</v>
      </c>
      <c r="J292" s="207">
        <f t="shared" ref="J292:Q292" si="183">I292+(J291-J290)</f>
        <v>0</v>
      </c>
      <c r="K292" s="208"/>
      <c r="L292" s="209">
        <f>J292+(L291-L290)</f>
        <v>0</v>
      </c>
      <c r="M292" s="209">
        <f>K292+(M291-M290)</f>
        <v>0</v>
      </c>
      <c r="N292" s="209">
        <f t="shared" si="183"/>
        <v>0</v>
      </c>
      <c r="O292" s="209">
        <f t="shared" si="183"/>
        <v>0</v>
      </c>
      <c r="P292" s="209">
        <f t="shared" si="183"/>
        <v>0</v>
      </c>
      <c r="Q292" s="207">
        <f t="shared" si="183"/>
        <v>0</v>
      </c>
      <c r="R292" s="208"/>
      <c r="S292" s="241"/>
      <c r="T292" s="209"/>
      <c r="U292" s="209"/>
      <c r="V292" s="209"/>
      <c r="W292" s="209"/>
      <c r="X292" s="207">
        <f>W292+(X291-X290)</f>
        <v>0</v>
      </c>
      <c r="Y292" s="208"/>
      <c r="Z292" s="209"/>
      <c r="AA292" s="209"/>
      <c r="AB292" s="209"/>
      <c r="AC292" s="209"/>
      <c r="AD292" s="209"/>
      <c r="AE292" s="423"/>
      <c r="AF292" s="208"/>
      <c r="AG292" s="209"/>
      <c r="AH292" s="209"/>
      <c r="AI292" s="209"/>
      <c r="AJ292" s="209"/>
      <c r="AK292" s="254"/>
      <c r="AL292" s="207">
        <f>AK292+(AL291-AL290)</f>
        <v>-15</v>
      </c>
      <c r="AM292" s="208"/>
      <c r="AN292" s="307"/>
      <c r="AO292" s="309"/>
      <c r="AP292" s="310"/>
      <c r="AQ292" s="309"/>
      <c r="AR292" s="309"/>
      <c r="AS292" s="309"/>
      <c r="AT292" s="309"/>
      <c r="AU292" s="309"/>
      <c r="AV292" s="309"/>
      <c r="AW292" s="309"/>
      <c r="AX292" s="309"/>
    </row>
    <row r="293" spans="2:50">
      <c r="G293" s="429" t="s">
        <v>126</v>
      </c>
      <c r="H293" s="189" t="s">
        <v>186</v>
      </c>
      <c r="I293" s="210">
        <v>250</v>
      </c>
      <c r="J293" s="207">
        <v>200</v>
      </c>
      <c r="K293" s="208"/>
      <c r="L293" s="210">
        <v>0</v>
      </c>
      <c r="M293" s="210">
        <v>0</v>
      </c>
      <c r="N293" s="210">
        <v>0</v>
      </c>
      <c r="O293" s="210">
        <v>0</v>
      </c>
      <c r="P293" s="210">
        <v>0</v>
      </c>
      <c r="Q293" s="207">
        <v>0</v>
      </c>
      <c r="R293" s="208"/>
      <c r="S293" s="241"/>
      <c r="T293" s="210">
        <v>180</v>
      </c>
      <c r="U293" s="210">
        <v>200</v>
      </c>
      <c r="V293" s="210">
        <v>200</v>
      </c>
      <c r="W293" s="210">
        <v>200</v>
      </c>
      <c r="X293" s="207">
        <v>150</v>
      </c>
      <c r="Y293" s="208"/>
      <c r="Z293" s="210">
        <v>0</v>
      </c>
      <c r="AA293" s="210">
        <v>0</v>
      </c>
      <c r="AB293" s="210">
        <v>0</v>
      </c>
      <c r="AC293" s="210">
        <v>0</v>
      </c>
      <c r="AD293" s="210">
        <v>0</v>
      </c>
      <c r="AE293" s="423">
        <v>0</v>
      </c>
      <c r="AF293" s="208"/>
      <c r="AG293" s="210">
        <v>180</v>
      </c>
      <c r="AH293" s="210">
        <v>200</v>
      </c>
      <c r="AI293" s="210">
        <v>200</v>
      </c>
      <c r="AJ293" s="210">
        <v>200</v>
      </c>
      <c r="AK293" s="241"/>
      <c r="AL293" s="207">
        <v>0</v>
      </c>
      <c r="AM293" s="208"/>
      <c r="AN293" s="362">
        <f>SUM(I293:AM293)</f>
        <v>2160</v>
      </c>
      <c r="AQ293" s="368"/>
    </row>
    <row r="294" spans="2:50">
      <c r="G294" s="430"/>
      <c r="H294" s="188" t="s">
        <v>15</v>
      </c>
      <c r="I294" s="211">
        <v>224.62</v>
      </c>
      <c r="J294" s="321">
        <v>161.74</v>
      </c>
      <c r="K294" s="322"/>
      <c r="L294" s="211">
        <v>3.86</v>
      </c>
      <c r="M294" s="211"/>
      <c r="N294" s="211"/>
      <c r="O294" s="211"/>
      <c r="P294" s="211"/>
      <c r="Q294" s="321"/>
      <c r="R294" s="322"/>
      <c r="S294" s="346"/>
      <c r="T294" s="211"/>
      <c r="U294" s="211"/>
      <c r="V294" s="211"/>
      <c r="W294" s="211"/>
      <c r="X294" s="321"/>
      <c r="Y294" s="322"/>
      <c r="Z294" s="211"/>
      <c r="AA294" s="211"/>
      <c r="AB294" s="211"/>
      <c r="AC294" s="211"/>
      <c r="AD294" s="211"/>
      <c r="AE294" s="424"/>
      <c r="AF294" s="322"/>
      <c r="AG294" s="211"/>
      <c r="AH294" s="211"/>
      <c r="AI294" s="211"/>
      <c r="AJ294" s="211"/>
      <c r="AK294" s="363"/>
      <c r="AL294" s="321"/>
      <c r="AM294" s="322"/>
      <c r="AN294" s="307">
        <f>SUM(I294:AM294)</f>
        <v>390.22</v>
      </c>
      <c r="AQ294" s="368"/>
    </row>
    <row r="295" spans="2:50">
      <c r="C295" s="21"/>
      <c r="D295" s="21"/>
      <c r="E295" s="21"/>
      <c r="F295" s="21"/>
      <c r="G295" s="431"/>
      <c r="H295" s="196" t="s">
        <v>114</v>
      </c>
      <c r="I295" s="209">
        <f>I294-I293</f>
        <v>-25.379999999999995</v>
      </c>
      <c r="J295" s="207">
        <f t="shared" ref="J295" si="184">I295+(J294-J293)</f>
        <v>-63.639999999999986</v>
      </c>
      <c r="K295" s="322"/>
      <c r="L295" s="211">
        <f>J295+(L294-L293)</f>
        <v>-59.779999999999987</v>
      </c>
      <c r="M295" s="211"/>
      <c r="N295" s="211"/>
      <c r="O295" s="211"/>
      <c r="P295" s="211"/>
      <c r="Q295" s="321"/>
      <c r="R295" s="322"/>
      <c r="S295" s="346"/>
      <c r="T295" s="211">
        <f>O295+(T294-T293)</f>
        <v>-180</v>
      </c>
      <c r="U295" s="211">
        <f>T295+(U294-U293)</f>
        <v>-380</v>
      </c>
      <c r="V295" s="211">
        <f>U295+(V294-V293)</f>
        <v>-580</v>
      </c>
      <c r="W295" s="211">
        <f>U295+(W294-W293)</f>
        <v>-580</v>
      </c>
      <c r="X295" s="321">
        <f>W295+(X294-X293)</f>
        <v>-730</v>
      </c>
      <c r="Y295" s="322"/>
      <c r="Z295" s="211">
        <v>0</v>
      </c>
      <c r="AA295" s="211">
        <v>0</v>
      </c>
      <c r="AB295" s="211">
        <v>0</v>
      </c>
      <c r="AC295" s="211">
        <v>0</v>
      </c>
      <c r="AD295" s="211">
        <v>0</v>
      </c>
      <c r="AE295" s="424">
        <v>0</v>
      </c>
      <c r="AF295" s="322"/>
      <c r="AG295" s="211">
        <f>AF295+(AG294-AG293)</f>
        <v>-180</v>
      </c>
      <c r="AH295" s="211">
        <f>AF295+(AH294-AH293)</f>
        <v>-200</v>
      </c>
      <c r="AI295" s="211">
        <v>0</v>
      </c>
      <c r="AJ295" s="211"/>
      <c r="AK295" s="363"/>
      <c r="AL295" s="321">
        <f>AK295+(AL294-AL293)</f>
        <v>0</v>
      </c>
      <c r="AM295" s="322"/>
      <c r="AN295" s="364"/>
      <c r="AO295" s="309"/>
      <c r="AP295" s="310"/>
      <c r="AQ295" s="309"/>
      <c r="AR295" s="309"/>
      <c r="AS295" s="309"/>
      <c r="AT295" s="309"/>
      <c r="AU295" s="309"/>
      <c r="AV295" s="309"/>
      <c r="AW295" s="309"/>
      <c r="AX295" s="309"/>
    </row>
    <row r="296" spans="2:50">
      <c r="H296" s="312" t="s">
        <v>111</v>
      </c>
      <c r="I296" s="332">
        <f t="shared" ref="I296:L296" si="185">SUM(I266,I269,I272,I275,I278,I281,I284,I287,I290,I293)</f>
        <v>250</v>
      </c>
      <c r="J296" s="333">
        <f t="shared" si="185"/>
        <v>200</v>
      </c>
      <c r="K296" s="334"/>
      <c r="L296" s="335">
        <f t="shared" si="185"/>
        <v>306</v>
      </c>
      <c r="M296" s="335">
        <f t="shared" ref="M296:Q296" si="186">SUM(M266,M269,M272,M275,M278,M281,M284,M287,M290,M293)</f>
        <v>406</v>
      </c>
      <c r="N296" s="335">
        <f t="shared" si="186"/>
        <v>406</v>
      </c>
      <c r="O296" s="335">
        <f t="shared" si="186"/>
        <v>406</v>
      </c>
      <c r="P296" s="335">
        <f t="shared" si="186"/>
        <v>406</v>
      </c>
      <c r="Q296" s="333">
        <f t="shared" si="186"/>
        <v>265</v>
      </c>
      <c r="R296" s="334"/>
      <c r="S296" s="351"/>
      <c r="T296" s="335">
        <f t="shared" ref="T296:Z296" si="187">SUM(T266,T269,T272,T275,T278,T281,T284,T287,T290,T293)</f>
        <v>606</v>
      </c>
      <c r="U296" s="335">
        <f t="shared" si="187"/>
        <v>626</v>
      </c>
      <c r="V296" s="335">
        <f t="shared" si="187"/>
        <v>626</v>
      </c>
      <c r="W296" s="335">
        <f t="shared" si="187"/>
        <v>626</v>
      </c>
      <c r="X296" s="333">
        <f t="shared" si="187"/>
        <v>435</v>
      </c>
      <c r="Y296" s="334"/>
      <c r="Z296" s="335">
        <f t="shared" si="187"/>
        <v>440</v>
      </c>
      <c r="AA296" s="335">
        <f t="shared" ref="AA296:AG296" si="188">SUM(AA266,AA269,AA272,AA275,AA278,AA281,AA284,AA287,AA290,AA293)</f>
        <v>570</v>
      </c>
      <c r="AB296" s="335">
        <f t="shared" si="188"/>
        <v>570</v>
      </c>
      <c r="AC296" s="335">
        <f t="shared" si="188"/>
        <v>550</v>
      </c>
      <c r="AD296" s="335">
        <f t="shared" si="188"/>
        <v>550</v>
      </c>
      <c r="AE296" s="425">
        <f t="shared" si="188"/>
        <v>350</v>
      </c>
      <c r="AF296" s="334"/>
      <c r="AG296" s="335">
        <f t="shared" si="188"/>
        <v>530</v>
      </c>
      <c r="AH296" s="335">
        <f t="shared" ref="AH296:AL296" si="189">SUM(AH266,AH269,AH272,AH275,AH278,AH281,AH284,AH287,AH290,AH293)</f>
        <v>550</v>
      </c>
      <c r="AI296" s="335">
        <f t="shared" si="189"/>
        <v>550</v>
      </c>
      <c r="AJ296" s="335">
        <f t="shared" si="189"/>
        <v>550</v>
      </c>
      <c r="AK296" s="365"/>
      <c r="AL296" s="333">
        <f t="shared" si="189"/>
        <v>15</v>
      </c>
      <c r="AM296" s="334"/>
      <c r="AN296" s="366">
        <f>SUM(AN266,AN269,AN272,AN275,AN278,AN281,AN290,AN293)</f>
        <v>10774</v>
      </c>
      <c r="AQ296" s="368"/>
    </row>
    <row r="297" spans="2:50">
      <c r="H297" s="313" t="s">
        <v>112</v>
      </c>
      <c r="I297" s="336">
        <f t="shared" ref="I297:L297" si="190">SUM(I267,I270,I273,I276,I279,I282,I285,I288,I291,I294)</f>
        <v>224.62</v>
      </c>
      <c r="J297" s="337">
        <f t="shared" si="190"/>
        <v>161.74</v>
      </c>
      <c r="K297" s="338"/>
      <c r="L297" s="339">
        <f t="shared" si="190"/>
        <v>376.24</v>
      </c>
      <c r="M297" s="339">
        <f t="shared" ref="M297:Q297" si="191">SUM(M267,M270,M273,M276,M279,M282,M285,M288,M291,M294)</f>
        <v>536.42000000000007</v>
      </c>
      <c r="N297" s="339">
        <f t="shared" si="191"/>
        <v>468.72</v>
      </c>
      <c r="O297" s="339">
        <f t="shared" si="191"/>
        <v>502.94</v>
      </c>
      <c r="P297" s="339">
        <f t="shared" si="191"/>
        <v>489.68</v>
      </c>
      <c r="Q297" s="337">
        <f t="shared" si="191"/>
        <v>335.88</v>
      </c>
      <c r="R297" s="338"/>
      <c r="S297" s="352"/>
      <c r="T297" s="339">
        <f t="shared" ref="T297:Z297" si="192">SUM(T267,T270,T273,T276,T279,T282,T285,T288,T291,T294)</f>
        <v>0</v>
      </c>
      <c r="U297" s="339">
        <f t="shared" si="192"/>
        <v>0</v>
      </c>
      <c r="V297" s="339">
        <f t="shared" si="192"/>
        <v>0</v>
      </c>
      <c r="W297" s="339">
        <f t="shared" si="192"/>
        <v>0</v>
      </c>
      <c r="X297" s="337">
        <f t="shared" si="192"/>
        <v>0</v>
      </c>
      <c r="Y297" s="338"/>
      <c r="Z297" s="339">
        <f t="shared" si="192"/>
        <v>0</v>
      </c>
      <c r="AA297" s="339">
        <f t="shared" ref="AA297:AG297" si="193">SUM(AA267,AA270,AA273,AA276,AA279,AA282,AA285,AA288,AA291,AA294)</f>
        <v>0</v>
      </c>
      <c r="AB297" s="339">
        <f t="shared" si="193"/>
        <v>0</v>
      </c>
      <c r="AC297" s="339">
        <f t="shared" si="193"/>
        <v>0</v>
      </c>
      <c r="AD297" s="339">
        <f t="shared" si="193"/>
        <v>0</v>
      </c>
      <c r="AE297" s="426">
        <f t="shared" si="193"/>
        <v>0</v>
      </c>
      <c r="AF297" s="338"/>
      <c r="AG297" s="339">
        <f t="shared" si="193"/>
        <v>0</v>
      </c>
      <c r="AH297" s="339">
        <f t="shared" ref="AH297:AL297" si="194">SUM(AH267,AH270,AH273,AH276,AH279,AH282,AH285,AH288,AH291,AH294)</f>
        <v>0</v>
      </c>
      <c r="AI297" s="339">
        <f t="shared" si="194"/>
        <v>0</v>
      </c>
      <c r="AJ297" s="339">
        <f t="shared" si="194"/>
        <v>0</v>
      </c>
      <c r="AK297" s="367"/>
      <c r="AL297" s="337">
        <f t="shared" si="194"/>
        <v>0</v>
      </c>
      <c r="AM297" s="338"/>
      <c r="AN297" s="361">
        <f>SUM(AN267,AN270,AN273,AN276,AN279,AN282,AN291,AN294)</f>
        <v>3080.1400000000003</v>
      </c>
      <c r="AQ297" s="368"/>
    </row>
    <row r="298" spans="2:50">
      <c r="B298" s="309"/>
      <c r="C298" s="481"/>
      <c r="D298" s="481"/>
      <c r="E298" s="481"/>
      <c r="F298" s="481"/>
      <c r="G298" s="481"/>
      <c r="J298" s="340"/>
      <c r="K298" s="341"/>
      <c r="L298" s="309"/>
      <c r="M298" s="309"/>
      <c r="N298" s="309"/>
      <c r="O298" s="309"/>
      <c r="P298" s="309"/>
      <c r="Q298" s="340"/>
      <c r="R298" s="341"/>
      <c r="S298" s="353"/>
      <c r="T298" s="309"/>
      <c r="U298" s="309"/>
      <c r="V298" s="309"/>
      <c r="W298" s="309"/>
      <c r="X298" s="340"/>
      <c r="Y298" s="341"/>
      <c r="Z298" s="309"/>
      <c r="AA298" s="309"/>
      <c r="AB298" s="309"/>
      <c r="AC298" s="309"/>
      <c r="AD298" s="309"/>
      <c r="AE298" s="340"/>
      <c r="AF298" s="341"/>
      <c r="AG298" s="309"/>
      <c r="AH298" s="309"/>
      <c r="AI298" s="309"/>
      <c r="AJ298" s="309"/>
      <c r="AK298" s="353"/>
      <c r="AL298" s="340"/>
      <c r="AM298" s="341"/>
      <c r="AO298" s="511"/>
      <c r="AP298" s="511"/>
      <c r="AQ298" s="309"/>
    </row>
    <row r="299" spans="2:50">
      <c r="B299" s="178"/>
      <c r="C299" s="316"/>
      <c r="D299" s="316"/>
      <c r="E299" s="316"/>
      <c r="F299" s="316"/>
      <c r="AO299" s="511"/>
      <c r="AP299" s="511"/>
      <c r="AQ299" s="309"/>
    </row>
    <row r="300" spans="2:50">
      <c r="B300" s="178"/>
      <c r="C300" s="316"/>
      <c r="D300" s="316"/>
      <c r="E300" s="316"/>
      <c r="F300" s="316"/>
      <c r="AO300" s="511"/>
      <c r="AP300" s="511"/>
      <c r="AQ300" s="309"/>
    </row>
    <row r="301" spans="2:50">
      <c r="B301" s="178"/>
      <c r="C301" s="316"/>
      <c r="D301" s="316"/>
      <c r="E301" s="316"/>
      <c r="F301" s="316"/>
      <c r="AO301" s="511"/>
      <c r="AP301" s="511"/>
      <c r="AQ301" s="309"/>
    </row>
    <row r="302" spans="2:50">
      <c r="B302" s="178"/>
      <c r="C302" s="316"/>
      <c r="D302" s="316"/>
      <c r="E302" s="316"/>
      <c r="F302" s="316"/>
      <c r="AO302" s="511"/>
      <c r="AP302" s="511"/>
      <c r="AQ302" s="309"/>
    </row>
    <row r="303" spans="2:50">
      <c r="B303" s="178"/>
      <c r="C303" s="316"/>
      <c r="D303" s="316"/>
      <c r="E303" s="316"/>
      <c r="F303" s="316"/>
      <c r="AO303" s="511"/>
      <c r="AP303" s="511"/>
      <c r="AQ303" s="309"/>
    </row>
    <row r="304" spans="2:50">
      <c r="B304" s="178"/>
      <c r="C304" s="316"/>
      <c r="D304" s="316"/>
      <c r="E304" s="316"/>
      <c r="F304" s="316"/>
      <c r="AO304" s="511"/>
      <c r="AP304" s="511"/>
      <c r="AQ304" s="369"/>
    </row>
    <row r="305" spans="2:50">
      <c r="B305" s="317"/>
      <c r="C305" s="318"/>
      <c r="D305" s="318"/>
      <c r="E305" s="318"/>
      <c r="F305" s="318"/>
      <c r="G305" s="319"/>
      <c r="H305" s="319"/>
      <c r="I305" s="319"/>
      <c r="J305" s="342"/>
      <c r="K305" s="343"/>
      <c r="L305" s="319"/>
      <c r="M305" s="319"/>
      <c r="N305" s="319"/>
      <c r="O305" s="319"/>
      <c r="P305" s="319"/>
      <c r="Q305" s="342"/>
      <c r="R305" s="343"/>
      <c r="S305" s="354"/>
      <c r="T305" s="319"/>
      <c r="U305" s="319"/>
      <c r="V305" s="319"/>
      <c r="W305" s="319"/>
      <c r="X305" s="342"/>
      <c r="Y305" s="343"/>
      <c r="Z305" s="319"/>
      <c r="AA305" s="319"/>
      <c r="AB305" s="319"/>
      <c r="AC305" s="319"/>
      <c r="AD305" s="319"/>
      <c r="AE305" s="342"/>
      <c r="AF305" s="343"/>
      <c r="AG305" s="319"/>
      <c r="AH305" s="319"/>
      <c r="AI305" s="319"/>
      <c r="AJ305" s="319"/>
      <c r="AK305" s="354"/>
      <c r="AL305" s="342"/>
      <c r="AM305" s="343"/>
      <c r="AO305" s="511"/>
      <c r="AP305" s="511"/>
      <c r="AQ305" s="309"/>
    </row>
    <row r="307" spans="2:50">
      <c r="B307" s="309"/>
      <c r="C307" s="481"/>
      <c r="D307" s="481"/>
      <c r="E307" s="481"/>
      <c r="F307" s="481"/>
      <c r="G307" s="481"/>
      <c r="H307" s="309"/>
      <c r="I307" s="309"/>
      <c r="J307" s="340"/>
      <c r="K307" s="341"/>
      <c r="L307" s="309"/>
      <c r="M307" s="309"/>
      <c r="N307" s="309"/>
      <c r="O307" s="309"/>
      <c r="P307" s="309"/>
      <c r="Q307" s="340"/>
      <c r="R307" s="341"/>
      <c r="S307" s="353"/>
      <c r="T307" s="309"/>
      <c r="U307" s="309"/>
      <c r="V307" s="309"/>
      <c r="W307" s="309"/>
      <c r="X307" s="340"/>
      <c r="Y307" s="341"/>
      <c r="Z307" s="309"/>
      <c r="AA307" s="309"/>
      <c r="AB307" s="309"/>
      <c r="AC307" s="309"/>
      <c r="AD307" s="309"/>
      <c r="AE307" s="340"/>
      <c r="AF307" s="341"/>
      <c r="AG307" s="309"/>
      <c r="AH307" s="309"/>
      <c r="AI307" s="309"/>
      <c r="AJ307" s="309"/>
      <c r="AK307" s="353"/>
      <c r="AL307" s="340"/>
      <c r="AM307" s="341"/>
    </row>
    <row r="308" spans="2:50">
      <c r="C308" s="316"/>
      <c r="D308" s="316"/>
      <c r="E308" s="316"/>
      <c r="F308" s="316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</row>
    <row r="309" spans="2:50">
      <c r="C309" s="316"/>
      <c r="D309" s="316"/>
      <c r="E309" s="316"/>
      <c r="F309" s="316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</row>
    <row r="310" spans="2:50">
      <c r="C310" s="316"/>
      <c r="D310" s="316"/>
      <c r="E310" s="316"/>
      <c r="F310" s="316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</row>
    <row r="311" spans="2:50">
      <c r="C311" s="316"/>
      <c r="D311" s="316"/>
      <c r="E311" s="316"/>
      <c r="F311" s="316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</row>
    <row r="312" spans="2:50">
      <c r="C312" s="316"/>
      <c r="D312" s="316"/>
      <c r="E312" s="316"/>
      <c r="F312" s="316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</row>
    <row r="313" spans="2:50">
      <c r="C313" s="316"/>
      <c r="D313" s="316"/>
      <c r="E313" s="316"/>
      <c r="F313" s="316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</row>
    <row r="314" spans="2:50">
      <c r="C314" s="316"/>
      <c r="D314" s="316"/>
      <c r="E314" s="316"/>
      <c r="F314" s="316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</row>
    <row r="315" spans="2:50">
      <c r="C315" s="316"/>
      <c r="D315" s="316"/>
      <c r="E315" s="316"/>
      <c r="F315" s="316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</row>
    <row r="316" spans="2:50">
      <c r="C316" s="316"/>
      <c r="D316" s="316"/>
      <c r="E316" s="316"/>
      <c r="F316" s="316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</row>
    <row r="317" spans="2:50">
      <c r="C317" s="316"/>
      <c r="D317" s="316"/>
      <c r="E317" s="316"/>
      <c r="F317" s="316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</row>
    <row r="318" spans="2:50">
      <c r="C318" s="316"/>
      <c r="D318" s="316"/>
      <c r="E318" s="316"/>
      <c r="F318" s="316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</row>
    <row r="319" spans="2:50">
      <c r="B319" s="317"/>
      <c r="C319" s="318"/>
      <c r="D319" s="318"/>
      <c r="E319" s="318"/>
      <c r="F319" s="318"/>
      <c r="G319" s="320"/>
      <c r="H319" s="320"/>
      <c r="I319" s="320"/>
      <c r="J319" s="344"/>
      <c r="K319" s="345"/>
      <c r="L319" s="320"/>
      <c r="M319" s="320"/>
      <c r="N319" s="320"/>
      <c r="O319" s="320"/>
      <c r="P319" s="320"/>
      <c r="Q319" s="344"/>
      <c r="R319" s="345"/>
      <c r="S319" s="355"/>
      <c r="T319" s="320"/>
      <c r="U319" s="320"/>
      <c r="V319" s="320"/>
      <c r="W319" s="320"/>
      <c r="X319" s="344"/>
      <c r="Y319" s="345"/>
      <c r="Z319" s="320"/>
      <c r="AA319" s="320"/>
      <c r="AB319" s="320"/>
      <c r="AC319" s="320"/>
      <c r="AD319" s="320"/>
      <c r="AE319" s="344"/>
      <c r="AF319" s="345"/>
      <c r="AG319" s="320"/>
      <c r="AH319" s="320"/>
      <c r="AI319" s="320"/>
      <c r="AJ319" s="320"/>
      <c r="AK319" s="355"/>
      <c r="AL319" s="344"/>
      <c r="AM319" s="345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</row>
    <row r="321" spans="2:50">
      <c r="B321" s="309"/>
      <c r="C321" s="309"/>
      <c r="D321" s="309"/>
      <c r="E321" s="309"/>
      <c r="F321" s="309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</row>
    <row r="322" spans="2:50">
      <c r="C322" s="316"/>
      <c r="D322" s="316"/>
      <c r="E322" s="316"/>
      <c r="F322" s="316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</row>
    <row r="323" spans="2:50">
      <c r="C323" s="316"/>
      <c r="D323" s="316"/>
      <c r="E323" s="316"/>
      <c r="F323" s="316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</row>
    <row r="324" spans="2:50">
      <c r="B324" s="369"/>
      <c r="C324" s="309"/>
      <c r="D324" s="309"/>
      <c r="E324" s="309"/>
      <c r="F324" s="309"/>
      <c r="G324" s="370"/>
      <c r="H324" s="370"/>
      <c r="I324" s="370"/>
      <c r="J324" s="344"/>
      <c r="K324" s="345"/>
      <c r="L324" s="370"/>
      <c r="M324" s="370"/>
      <c r="N324" s="370"/>
      <c r="O324" s="370"/>
      <c r="P324" s="370"/>
      <c r="Q324" s="344"/>
      <c r="R324" s="345"/>
      <c r="S324" s="355"/>
      <c r="T324" s="370"/>
      <c r="U324" s="370"/>
      <c r="V324" s="370"/>
      <c r="W324" s="370"/>
      <c r="X324" s="344"/>
      <c r="Y324" s="345"/>
      <c r="Z324" s="370"/>
      <c r="AA324" s="370"/>
      <c r="AB324" s="370"/>
      <c r="AC324" s="370"/>
      <c r="AD324" s="370"/>
      <c r="AE324" s="344"/>
      <c r="AF324" s="345"/>
      <c r="AG324" s="370"/>
      <c r="AH324" s="370"/>
      <c r="AI324" s="370"/>
      <c r="AJ324" s="370"/>
      <c r="AK324" s="355"/>
      <c r="AL324" s="344"/>
      <c r="AM324" s="345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</row>
  </sheetData>
  <mergeCells count="108">
    <mergeCell ref="C298:G298"/>
    <mergeCell ref="AO298:AP298"/>
    <mergeCell ref="AO299:AP299"/>
    <mergeCell ref="AO300:AP300"/>
    <mergeCell ref="AO301:AP301"/>
    <mergeCell ref="AO302:AP302"/>
    <mergeCell ref="AO303:AP303"/>
    <mergeCell ref="AO304:AP304"/>
    <mergeCell ref="AO305:AP305"/>
    <mergeCell ref="C307:G307"/>
    <mergeCell ref="A4:A28"/>
    <mergeCell ref="A30:A57"/>
    <mergeCell ref="A58:A86"/>
    <mergeCell ref="A87:A97"/>
    <mergeCell ref="A98:A107"/>
    <mergeCell ref="A108:A125"/>
    <mergeCell ref="A126:A140"/>
    <mergeCell ref="A141:A191"/>
    <mergeCell ref="A192:A235"/>
    <mergeCell ref="B3:B29"/>
    <mergeCell ref="B30:B57"/>
    <mergeCell ref="B58:B86"/>
    <mergeCell ref="B87:B97"/>
    <mergeCell ref="B98:B107"/>
    <mergeCell ref="B108:B125"/>
    <mergeCell ref="B126:B140"/>
    <mergeCell ref="B141:B191"/>
    <mergeCell ref="B192:B235"/>
    <mergeCell ref="C3:C29"/>
    <mergeCell ref="C30:C57"/>
    <mergeCell ref="C58:C86"/>
    <mergeCell ref="C87:C97"/>
    <mergeCell ref="C98:C107"/>
    <mergeCell ref="C108:C125"/>
    <mergeCell ref="C126:C140"/>
    <mergeCell ref="C141:C191"/>
    <mergeCell ref="C192:C235"/>
    <mergeCell ref="D3:D29"/>
    <mergeCell ref="D30:D57"/>
    <mergeCell ref="D58:D86"/>
    <mergeCell ref="D87:D97"/>
    <mergeCell ref="D98:D107"/>
    <mergeCell ref="D108:D125"/>
    <mergeCell ref="D126:D140"/>
    <mergeCell ref="D192:D235"/>
    <mergeCell ref="E3:E29"/>
    <mergeCell ref="E58:E86"/>
    <mergeCell ref="E87:E104"/>
    <mergeCell ref="E108:E125"/>
    <mergeCell ref="E141:E188"/>
    <mergeCell ref="F3:F29"/>
    <mergeCell ref="F30:F57"/>
    <mergeCell ref="F58:F86"/>
    <mergeCell ref="F87:F97"/>
    <mergeCell ref="F98:F107"/>
    <mergeCell ref="F108:F125"/>
    <mergeCell ref="F126:F140"/>
    <mergeCell ref="F141:F191"/>
    <mergeCell ref="F192:F235"/>
    <mergeCell ref="G238:G240"/>
    <mergeCell ref="G241:G243"/>
    <mergeCell ref="G244:G246"/>
    <mergeCell ref="G247:G249"/>
    <mergeCell ref="G250:G252"/>
    <mergeCell ref="G253:G255"/>
    <mergeCell ref="G256:G258"/>
    <mergeCell ref="G266:G268"/>
    <mergeCell ref="G269:G271"/>
    <mergeCell ref="G272:G274"/>
    <mergeCell ref="G275:G277"/>
    <mergeCell ref="G278:G280"/>
    <mergeCell ref="G281:G283"/>
    <mergeCell ref="G284:G286"/>
    <mergeCell ref="G287:G289"/>
    <mergeCell ref="G290:G292"/>
    <mergeCell ref="G293:G295"/>
    <mergeCell ref="AO3:AO9"/>
    <mergeCell ref="AO30:AO31"/>
    <mergeCell ref="AO58:AO59"/>
    <mergeCell ref="AP3:AP9"/>
    <mergeCell ref="AP30:AP31"/>
    <mergeCell ref="AP58:AP59"/>
    <mergeCell ref="AR50:AR57"/>
    <mergeCell ref="AR60:AR80"/>
    <mergeCell ref="AR182:AR188"/>
    <mergeCell ref="AR211:AR212"/>
    <mergeCell ref="AR214:AR235"/>
    <mergeCell ref="AS207:AS212"/>
    <mergeCell ref="AT207:AT212"/>
    <mergeCell ref="AU3:AU29"/>
    <mergeCell ref="AU30:AU57"/>
    <mergeCell ref="AU58:AU80"/>
    <mergeCell ref="AU141:AU188"/>
    <mergeCell ref="AU192:AU235"/>
    <mergeCell ref="AV141:AV188"/>
    <mergeCell ref="AV192:AV235"/>
    <mergeCell ref="AW58:AW80"/>
    <mergeCell ref="AW87:AW92"/>
    <mergeCell ref="AW108:AW125"/>
    <mergeCell ref="AW126:AW140"/>
    <mergeCell ref="AX3:AX29"/>
    <mergeCell ref="AX30:AX57"/>
    <mergeCell ref="AX58:AX80"/>
    <mergeCell ref="AX87:AX107"/>
    <mergeCell ref="AX108:AX125"/>
    <mergeCell ref="AX126:AX140"/>
    <mergeCell ref="AX141:AX188"/>
    <mergeCell ref="AX192:AX235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11"/>
  <sheetViews>
    <sheetView showGridLines="0" workbookViewId="0">
      <pane xSplit="6" ySplit="2" topLeftCell="G3" activePane="bottomRight" state="frozen"/>
      <selection pane="topRight"/>
      <selection pane="bottomLeft"/>
      <selection pane="bottomRight" activeCell="I20" sqref="I20"/>
    </sheetView>
  </sheetViews>
  <sheetFormatPr defaultColWidth="9.140625" defaultRowHeight="15"/>
  <cols>
    <col min="1" max="1" width="13.7109375" style="2" customWidth="1"/>
    <col min="2" max="2" width="18.140625" style="2" customWidth="1"/>
    <col min="3" max="5" width="12" style="3" customWidth="1"/>
    <col min="6" max="6" width="11.5703125" style="3" customWidth="1"/>
    <col min="7" max="7" width="23.140625" style="2" customWidth="1"/>
    <col min="8" max="8" width="62.85546875" style="2" customWidth="1"/>
    <col min="9" max="9" width="7.7109375" style="2" customWidth="1"/>
    <col min="10" max="11" width="7.7109375" style="34" customWidth="1"/>
    <col min="12" max="12" width="7.7109375" style="35" customWidth="1"/>
    <col min="13" max="15" width="7.7109375" style="2" customWidth="1"/>
    <col min="16" max="16" width="7.7109375" style="35" customWidth="1"/>
    <col min="17" max="19" width="7.7109375" style="36" customWidth="1"/>
    <col min="20" max="21" width="7.7109375" style="2" customWidth="1"/>
    <col min="22" max="22" width="7.7109375" style="35" customWidth="1"/>
    <col min="23" max="23" width="7.7109375" style="2" customWidth="1"/>
    <col min="24" max="25" width="7.7109375" style="34" customWidth="1"/>
    <col min="26" max="26" width="7.7109375" style="35" customWidth="1"/>
    <col min="27" max="30" width="7.7109375" style="2" customWidth="1"/>
    <col min="31" max="32" width="7.7109375" style="34" customWidth="1"/>
    <col min="33" max="33" width="7.7109375" style="35" customWidth="1"/>
    <col min="34" max="36" width="7.7109375" style="2" customWidth="1"/>
    <col min="37" max="37" width="7.7109375" style="34" customWidth="1"/>
    <col min="38" max="38" width="7.5703125" style="2" customWidth="1"/>
    <col min="39" max="39" width="7.7109375" style="3" customWidth="1"/>
    <col min="40" max="40" width="11.7109375" style="3" customWidth="1"/>
    <col min="41" max="41" width="13.42578125" style="3" customWidth="1"/>
    <col min="42" max="49" width="11.7109375" style="3" customWidth="1"/>
    <col min="50" max="16384" width="9.140625" style="2"/>
  </cols>
  <sheetData>
    <row r="1" spans="1:51" ht="41.45" customHeight="1">
      <c r="A1" s="37" t="s">
        <v>131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51" s="1" customFormat="1" ht="41.45" customHeight="1">
      <c r="A2" s="38" t="s">
        <v>1</v>
      </c>
      <c r="B2" s="38" t="s">
        <v>2</v>
      </c>
      <c r="C2" s="39" t="s">
        <v>3</v>
      </c>
      <c r="D2" s="40" t="s">
        <v>4</v>
      </c>
      <c r="E2" s="41" t="s">
        <v>5</v>
      </c>
      <c r="F2" s="41" t="s">
        <v>6</v>
      </c>
      <c r="G2" s="38" t="s">
        <v>7</v>
      </c>
      <c r="H2" s="42" t="s">
        <v>8</v>
      </c>
      <c r="I2" s="38">
        <v>1</v>
      </c>
      <c r="J2" s="65">
        <v>2</v>
      </c>
      <c r="K2" s="65">
        <v>3</v>
      </c>
      <c r="L2" s="38">
        <v>4</v>
      </c>
      <c r="M2" s="38">
        <v>5</v>
      </c>
      <c r="N2" s="38">
        <v>6</v>
      </c>
      <c r="O2" s="38">
        <v>7</v>
      </c>
      <c r="P2" s="38">
        <v>8</v>
      </c>
      <c r="Q2" s="91">
        <v>9</v>
      </c>
      <c r="R2" s="91">
        <v>10</v>
      </c>
      <c r="S2" s="91">
        <v>11</v>
      </c>
      <c r="T2" s="38">
        <v>12</v>
      </c>
      <c r="U2" s="38">
        <v>13</v>
      </c>
      <c r="V2" s="38">
        <v>14</v>
      </c>
      <c r="W2" s="38">
        <v>15</v>
      </c>
      <c r="X2" s="65">
        <v>16</v>
      </c>
      <c r="Y2" s="65">
        <v>17</v>
      </c>
      <c r="Z2" s="38">
        <v>18</v>
      </c>
      <c r="AA2" s="38">
        <v>19</v>
      </c>
      <c r="AB2" s="38">
        <v>20</v>
      </c>
      <c r="AC2" s="38">
        <v>21</v>
      </c>
      <c r="AD2" s="38">
        <v>22</v>
      </c>
      <c r="AE2" s="65">
        <v>23</v>
      </c>
      <c r="AF2" s="65">
        <v>24</v>
      </c>
      <c r="AG2" s="102">
        <v>25</v>
      </c>
      <c r="AH2" s="38">
        <v>26</v>
      </c>
      <c r="AI2" s="38">
        <v>27</v>
      </c>
      <c r="AJ2" s="38">
        <v>28</v>
      </c>
      <c r="AK2" s="103">
        <v>29</v>
      </c>
      <c r="AL2" s="104">
        <v>30</v>
      </c>
      <c r="AM2" s="104">
        <v>31</v>
      </c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24"/>
      <c r="AY2" s="124"/>
    </row>
    <row r="3" spans="1:51">
      <c r="A3" s="530" t="s">
        <v>13</v>
      </c>
      <c r="B3" s="533" t="s">
        <v>10</v>
      </c>
      <c r="C3" s="527">
        <v>13000</v>
      </c>
      <c r="D3" s="516">
        <v>1.59</v>
      </c>
      <c r="E3" s="440"/>
      <c r="F3" s="450" t="s">
        <v>11</v>
      </c>
      <c r="G3" s="43">
        <v>0.08</v>
      </c>
      <c r="H3" s="44" t="s">
        <v>12</v>
      </c>
      <c r="I3" s="66">
        <v>136</v>
      </c>
      <c r="J3" s="67"/>
      <c r="K3" s="67"/>
      <c r="L3" s="66">
        <v>136</v>
      </c>
      <c r="M3" s="66">
        <v>136</v>
      </c>
      <c r="N3" s="66">
        <v>136</v>
      </c>
      <c r="O3" s="66">
        <v>136</v>
      </c>
      <c r="P3" s="66">
        <v>136</v>
      </c>
      <c r="Q3" s="92"/>
      <c r="R3" s="92"/>
      <c r="S3" s="92"/>
      <c r="T3" s="66">
        <v>136</v>
      </c>
      <c r="U3" s="66">
        <v>136</v>
      </c>
      <c r="V3" s="66">
        <v>136</v>
      </c>
      <c r="W3" s="66">
        <v>136</v>
      </c>
      <c r="X3" s="67"/>
      <c r="Y3" s="67"/>
      <c r="Z3" s="66">
        <v>136</v>
      </c>
      <c r="AA3" s="66">
        <v>136</v>
      </c>
      <c r="AB3" s="66">
        <v>136</v>
      </c>
      <c r="AC3" s="66">
        <v>136</v>
      </c>
      <c r="AD3" s="66">
        <v>136</v>
      </c>
      <c r="AE3" s="67"/>
      <c r="AF3" s="67"/>
      <c r="AG3" s="66">
        <v>136</v>
      </c>
      <c r="AH3" s="66">
        <v>136</v>
      </c>
      <c r="AI3" s="66">
        <v>136</v>
      </c>
      <c r="AJ3" s="66">
        <v>136</v>
      </c>
      <c r="AK3" s="106"/>
      <c r="AL3" s="77"/>
      <c r="AM3" s="107"/>
      <c r="AN3" s="428"/>
      <c r="AO3" s="428"/>
      <c r="AP3" s="108"/>
      <c r="AQ3" s="108"/>
      <c r="AR3" s="108"/>
      <c r="AS3" s="108"/>
      <c r="AT3" s="428"/>
      <c r="AU3" s="121"/>
      <c r="AV3" s="121"/>
      <c r="AW3" s="428"/>
    </row>
    <row r="4" spans="1:51">
      <c r="A4" s="482"/>
      <c r="B4" s="497"/>
      <c r="C4" s="452"/>
      <c r="D4" s="517"/>
      <c r="E4" s="441"/>
      <c r="F4" s="451"/>
      <c r="G4" s="45"/>
      <c r="H4" s="46" t="s">
        <v>14</v>
      </c>
      <c r="I4" s="68">
        <v>1.5</v>
      </c>
      <c r="J4" s="69"/>
      <c r="K4" s="69"/>
      <c r="L4" s="68">
        <v>1.5</v>
      </c>
      <c r="M4" s="68">
        <v>1.5</v>
      </c>
      <c r="N4" s="68">
        <v>1.5</v>
      </c>
      <c r="O4" s="68">
        <v>1.5</v>
      </c>
      <c r="P4" s="68">
        <v>1.5</v>
      </c>
      <c r="Q4" s="93"/>
      <c r="R4" s="93"/>
      <c r="S4" s="93"/>
      <c r="T4" s="68">
        <v>1.5</v>
      </c>
      <c r="U4" s="68">
        <v>1.5</v>
      </c>
      <c r="V4" s="68">
        <v>1.5</v>
      </c>
      <c r="W4" s="68">
        <v>1.5</v>
      </c>
      <c r="X4" s="69"/>
      <c r="Y4" s="69"/>
      <c r="Z4" s="68">
        <v>1.5</v>
      </c>
      <c r="AA4" s="68">
        <v>1.5</v>
      </c>
      <c r="AB4" s="68">
        <v>1.5</v>
      </c>
      <c r="AC4" s="68">
        <v>1.5</v>
      </c>
      <c r="AD4" s="68">
        <v>1.5</v>
      </c>
      <c r="AE4" s="69"/>
      <c r="AF4" s="69"/>
      <c r="AG4" s="68">
        <v>1.5</v>
      </c>
      <c r="AH4" s="68">
        <v>1.5</v>
      </c>
      <c r="AI4" s="68">
        <v>1.5</v>
      </c>
      <c r="AJ4" s="68">
        <v>1.5</v>
      </c>
      <c r="AK4" s="109"/>
      <c r="AL4" s="77"/>
      <c r="AM4" s="107"/>
      <c r="AN4" s="428"/>
      <c r="AO4" s="428"/>
      <c r="AP4" s="108"/>
      <c r="AQ4" s="108"/>
      <c r="AR4" s="108"/>
      <c r="AS4" s="108"/>
      <c r="AT4" s="428"/>
      <c r="AU4" s="121"/>
      <c r="AV4" s="121"/>
      <c r="AW4" s="428"/>
    </row>
    <row r="5" spans="1:51">
      <c r="A5" s="482"/>
      <c r="B5" s="497"/>
      <c r="C5" s="452"/>
      <c r="D5" s="517"/>
      <c r="E5" s="441"/>
      <c r="F5" s="451"/>
      <c r="G5" s="47"/>
      <c r="H5" s="48" t="s">
        <v>15</v>
      </c>
      <c r="I5" s="70"/>
      <c r="J5" s="71"/>
      <c r="K5" s="71"/>
      <c r="L5" s="70"/>
      <c r="M5" s="70"/>
      <c r="N5" s="70"/>
      <c r="O5" s="70"/>
      <c r="P5" s="70"/>
      <c r="Q5" s="94"/>
      <c r="R5" s="94"/>
      <c r="S5" s="94"/>
      <c r="T5" s="70"/>
      <c r="U5" s="70"/>
      <c r="V5" s="70"/>
      <c r="W5" s="70"/>
      <c r="X5" s="71"/>
      <c r="Y5" s="71"/>
      <c r="Z5" s="70"/>
      <c r="AA5" s="70"/>
      <c r="AB5" s="70"/>
      <c r="AC5" s="70"/>
      <c r="AD5" s="70"/>
      <c r="AE5" s="71"/>
      <c r="AF5" s="71"/>
      <c r="AG5" s="70"/>
      <c r="AH5" s="70"/>
      <c r="AI5" s="70"/>
      <c r="AJ5" s="70"/>
      <c r="AK5" s="110"/>
      <c r="AL5" s="77"/>
      <c r="AM5" s="107"/>
      <c r="AN5" s="428"/>
      <c r="AO5" s="428"/>
      <c r="AP5" s="108"/>
      <c r="AQ5" s="108"/>
      <c r="AR5" s="108"/>
      <c r="AS5" s="108"/>
      <c r="AT5" s="428"/>
      <c r="AU5" s="121"/>
      <c r="AV5" s="121"/>
      <c r="AW5" s="428"/>
    </row>
    <row r="6" spans="1:51">
      <c r="A6" s="482"/>
      <c r="B6" s="497"/>
      <c r="C6" s="452"/>
      <c r="D6" s="517"/>
      <c r="E6" s="441"/>
      <c r="F6" s="451"/>
      <c r="G6" s="45" t="s">
        <v>16</v>
      </c>
      <c r="H6" s="49" t="s">
        <v>17</v>
      </c>
      <c r="I6" s="72">
        <v>136</v>
      </c>
      <c r="J6" s="73"/>
      <c r="K6" s="73"/>
      <c r="L6" s="72">
        <v>136</v>
      </c>
      <c r="M6" s="72">
        <v>136</v>
      </c>
      <c r="N6" s="72">
        <v>136</v>
      </c>
      <c r="O6" s="72">
        <v>136</v>
      </c>
      <c r="P6" s="72">
        <v>136</v>
      </c>
      <c r="Q6" s="95"/>
      <c r="R6" s="95"/>
      <c r="S6" s="95"/>
      <c r="T6" s="72">
        <v>136</v>
      </c>
      <c r="U6" s="72">
        <v>136</v>
      </c>
      <c r="V6" s="72">
        <v>136</v>
      </c>
      <c r="W6" s="72">
        <v>136</v>
      </c>
      <c r="X6" s="73"/>
      <c r="Y6" s="73"/>
      <c r="Z6" s="72">
        <v>136</v>
      </c>
      <c r="AA6" s="72">
        <v>136</v>
      </c>
      <c r="AB6" s="72">
        <v>136</v>
      </c>
      <c r="AC6" s="72">
        <v>136</v>
      </c>
      <c r="AD6" s="72">
        <v>136</v>
      </c>
      <c r="AE6" s="73"/>
      <c r="AF6" s="73"/>
      <c r="AG6" s="72">
        <v>136</v>
      </c>
      <c r="AH6" s="72">
        <v>136</v>
      </c>
      <c r="AI6" s="72">
        <v>136</v>
      </c>
      <c r="AJ6" s="72">
        <v>136</v>
      </c>
      <c r="AK6" s="110"/>
      <c r="AL6" s="77"/>
      <c r="AM6" s="107"/>
      <c r="AN6" s="428"/>
      <c r="AO6" s="428"/>
      <c r="AP6" s="108"/>
      <c r="AQ6" s="108"/>
      <c r="AR6" s="108"/>
      <c r="AS6" s="108"/>
      <c r="AT6" s="428"/>
      <c r="AU6" s="121"/>
      <c r="AV6" s="121"/>
      <c r="AW6" s="428"/>
    </row>
    <row r="7" spans="1:51">
      <c r="A7" s="482"/>
      <c r="B7" s="497"/>
      <c r="C7" s="452"/>
      <c r="D7" s="517"/>
      <c r="E7" s="441"/>
      <c r="F7" s="451"/>
      <c r="G7" s="45"/>
      <c r="H7" s="46" t="s">
        <v>14</v>
      </c>
      <c r="I7" s="74">
        <v>0.5</v>
      </c>
      <c r="J7" s="73"/>
      <c r="K7" s="73"/>
      <c r="L7" s="74">
        <v>0.5</v>
      </c>
      <c r="M7" s="74">
        <v>0.5</v>
      </c>
      <c r="N7" s="74">
        <v>0.5</v>
      </c>
      <c r="O7" s="74">
        <v>0.5</v>
      </c>
      <c r="P7" s="74">
        <v>0.5</v>
      </c>
      <c r="Q7" s="95"/>
      <c r="R7" s="95"/>
      <c r="S7" s="95"/>
      <c r="T7" s="74">
        <v>0.5</v>
      </c>
      <c r="U7" s="74">
        <v>0.5</v>
      </c>
      <c r="V7" s="74">
        <v>0.5</v>
      </c>
      <c r="W7" s="74">
        <v>0.5</v>
      </c>
      <c r="X7" s="73"/>
      <c r="Y7" s="73"/>
      <c r="Z7" s="74">
        <v>0.5</v>
      </c>
      <c r="AA7" s="74">
        <v>0.5</v>
      </c>
      <c r="AB7" s="74">
        <v>0.5</v>
      </c>
      <c r="AC7" s="74">
        <v>0.5</v>
      </c>
      <c r="AD7" s="74">
        <v>0.5</v>
      </c>
      <c r="AE7" s="73"/>
      <c r="AF7" s="73"/>
      <c r="AG7" s="74">
        <v>0.5</v>
      </c>
      <c r="AH7" s="74">
        <v>0.5</v>
      </c>
      <c r="AI7" s="74">
        <v>0.5</v>
      </c>
      <c r="AJ7" s="74">
        <v>0.5</v>
      </c>
      <c r="AK7" s="110"/>
      <c r="AL7" s="77"/>
      <c r="AM7" s="107"/>
      <c r="AN7" s="428"/>
      <c r="AO7" s="428"/>
      <c r="AP7" s="108"/>
      <c r="AQ7" s="108"/>
      <c r="AR7" s="108"/>
      <c r="AS7" s="108"/>
      <c r="AT7" s="428"/>
      <c r="AU7" s="121"/>
      <c r="AV7" s="121"/>
      <c r="AW7" s="428"/>
    </row>
    <row r="8" spans="1:51">
      <c r="A8" s="482"/>
      <c r="B8" s="497"/>
      <c r="C8" s="452"/>
      <c r="D8" s="517"/>
      <c r="E8" s="441"/>
      <c r="F8" s="451"/>
      <c r="G8" s="50"/>
      <c r="H8" s="48" t="s">
        <v>15</v>
      </c>
      <c r="I8" s="74"/>
      <c r="J8" s="73"/>
      <c r="K8" s="73"/>
      <c r="L8" s="74"/>
      <c r="M8" s="74"/>
      <c r="N8" s="74"/>
      <c r="O8" s="74"/>
      <c r="P8" s="74"/>
      <c r="Q8" s="95"/>
      <c r="R8" s="95"/>
      <c r="S8" s="95"/>
      <c r="T8" s="74"/>
      <c r="U8" s="74"/>
      <c r="V8" s="74"/>
      <c r="W8" s="74"/>
      <c r="X8" s="73"/>
      <c r="Y8" s="73"/>
      <c r="Z8" s="74"/>
      <c r="AA8" s="74"/>
      <c r="AB8" s="74"/>
      <c r="AC8" s="74"/>
      <c r="AD8" s="74"/>
      <c r="AE8" s="73"/>
      <c r="AF8" s="73"/>
      <c r="AG8" s="74"/>
      <c r="AH8" s="74"/>
      <c r="AI8" s="74"/>
      <c r="AJ8" s="74"/>
      <c r="AK8" s="110"/>
      <c r="AL8" s="77"/>
      <c r="AM8" s="107"/>
      <c r="AN8" s="428"/>
      <c r="AO8" s="428"/>
      <c r="AP8" s="108"/>
      <c r="AQ8" s="108"/>
      <c r="AR8" s="108"/>
      <c r="AS8" s="108"/>
      <c r="AT8" s="428"/>
      <c r="AU8" s="121"/>
      <c r="AV8" s="121"/>
      <c r="AW8" s="428"/>
    </row>
    <row r="9" spans="1:51">
      <c r="A9" s="482"/>
      <c r="B9" s="497"/>
      <c r="C9" s="452"/>
      <c r="D9" s="517"/>
      <c r="E9" s="441"/>
      <c r="F9" s="452"/>
      <c r="G9" s="45" t="s">
        <v>18</v>
      </c>
      <c r="H9" s="46" t="s">
        <v>19</v>
      </c>
      <c r="I9" s="75">
        <f>($M$26*$D$3/3)*4</f>
        <v>82680</v>
      </c>
      <c r="J9" s="76"/>
      <c r="K9" s="76"/>
      <c r="L9" s="75">
        <f>($M$26*$D$3/3)*4</f>
        <v>82680</v>
      </c>
      <c r="M9" s="75">
        <f>($M$26*$D$3/3)*4</f>
        <v>82680</v>
      </c>
      <c r="N9" s="75">
        <f>($M$26*$D$3/3)*4</f>
        <v>82680</v>
      </c>
      <c r="O9" s="75">
        <f>($M$26*$D$3/3)*4</f>
        <v>82680</v>
      </c>
      <c r="P9" s="75">
        <f>($M$26*$D$3/3)*4</f>
        <v>82680</v>
      </c>
      <c r="Q9" s="96"/>
      <c r="R9" s="96"/>
      <c r="S9" s="96"/>
      <c r="T9" s="75">
        <f>($M$26*$D$3/3)*4</f>
        <v>82680</v>
      </c>
      <c r="U9" s="75">
        <f>($M$26*$D$3/3)*4</f>
        <v>82680</v>
      </c>
      <c r="V9" s="75">
        <f>($M$26*$D$3/3)*4</f>
        <v>82680</v>
      </c>
      <c r="W9" s="75">
        <f>($M$26*$D$3/3)*4</f>
        <v>82680</v>
      </c>
      <c r="X9" s="76"/>
      <c r="Y9" s="76"/>
      <c r="Z9" s="75">
        <f>($M$26*$D$3/3)*4</f>
        <v>82680</v>
      </c>
      <c r="AA9" s="75">
        <f>($M$26*$D$3/3)*4</f>
        <v>82680</v>
      </c>
      <c r="AB9" s="75">
        <f>($M$26*$D$3/3)*4</f>
        <v>82680</v>
      </c>
      <c r="AC9" s="75">
        <f>($M$26*$D$3/3)*4</f>
        <v>82680</v>
      </c>
      <c r="AD9" s="75">
        <f>($M$26*$D$3/3)*4</f>
        <v>82680</v>
      </c>
      <c r="AE9" s="76"/>
      <c r="AF9" s="76"/>
      <c r="AG9" s="75">
        <f>($M$26*$D$3/3)*4</f>
        <v>82680</v>
      </c>
      <c r="AH9" s="75">
        <f>($M$26*$D$3/3)*4</f>
        <v>82680</v>
      </c>
      <c r="AI9" s="75">
        <f>($M$26*$D$3/3)*4</f>
        <v>82680</v>
      </c>
      <c r="AJ9" s="75">
        <f>($M$26*$D$3/3)*4</f>
        <v>82680</v>
      </c>
      <c r="AK9" s="111"/>
      <c r="AL9" s="77"/>
      <c r="AM9" s="107"/>
      <c r="AN9" s="428"/>
      <c r="AO9" s="428"/>
      <c r="AP9" s="108"/>
      <c r="AQ9" s="108"/>
      <c r="AR9" s="108"/>
      <c r="AS9" s="108"/>
      <c r="AT9" s="428"/>
      <c r="AU9" s="121"/>
      <c r="AV9" s="121"/>
      <c r="AW9" s="428"/>
    </row>
    <row r="10" spans="1:51">
      <c r="A10" s="482"/>
      <c r="B10" s="497"/>
      <c r="C10" s="452"/>
      <c r="D10" s="517"/>
      <c r="E10" s="441"/>
      <c r="F10" s="452"/>
      <c r="G10" s="51"/>
      <c r="H10" s="46" t="s">
        <v>20</v>
      </c>
      <c r="I10" s="75">
        <v>3</v>
      </c>
      <c r="J10" s="76"/>
      <c r="K10" s="76"/>
      <c r="L10" s="75">
        <v>3</v>
      </c>
      <c r="M10" s="75">
        <v>3</v>
      </c>
      <c r="N10" s="75">
        <v>3</v>
      </c>
      <c r="O10" s="75">
        <v>3</v>
      </c>
      <c r="P10" s="75">
        <v>3</v>
      </c>
      <c r="Q10" s="96"/>
      <c r="R10" s="96"/>
      <c r="S10" s="96"/>
      <c r="T10" s="75">
        <v>3</v>
      </c>
      <c r="U10" s="75">
        <v>3</v>
      </c>
      <c r="V10" s="75">
        <v>3</v>
      </c>
      <c r="W10" s="75">
        <v>3</v>
      </c>
      <c r="X10" s="76"/>
      <c r="Y10" s="76"/>
      <c r="Z10" s="75">
        <v>3</v>
      </c>
      <c r="AA10" s="75">
        <v>3</v>
      </c>
      <c r="AB10" s="75">
        <v>3</v>
      </c>
      <c r="AC10" s="75">
        <v>3</v>
      </c>
      <c r="AD10" s="75">
        <v>3</v>
      </c>
      <c r="AE10" s="76"/>
      <c r="AF10" s="76"/>
      <c r="AG10" s="75">
        <v>3</v>
      </c>
      <c r="AH10" s="75">
        <v>3</v>
      </c>
      <c r="AI10" s="75">
        <v>3</v>
      </c>
      <c r="AJ10" s="75">
        <v>3</v>
      </c>
      <c r="AK10" s="111"/>
      <c r="AL10" s="77"/>
      <c r="AM10" s="107"/>
      <c r="AN10" s="108"/>
      <c r="AO10" s="108"/>
      <c r="AP10" s="108"/>
      <c r="AQ10" s="108"/>
      <c r="AR10" s="108"/>
      <c r="AS10" s="108"/>
      <c r="AT10" s="428"/>
      <c r="AU10" s="121"/>
      <c r="AV10" s="121"/>
      <c r="AW10" s="428"/>
    </row>
    <row r="11" spans="1:51">
      <c r="A11" s="482"/>
      <c r="B11" s="497"/>
      <c r="C11" s="452"/>
      <c r="D11" s="517"/>
      <c r="E11" s="441"/>
      <c r="F11" s="452"/>
      <c r="G11" s="47"/>
      <c r="H11" s="48" t="s">
        <v>15</v>
      </c>
      <c r="I11" s="75"/>
      <c r="J11" s="76"/>
      <c r="K11" s="76"/>
      <c r="L11" s="75"/>
      <c r="M11" s="75"/>
      <c r="N11" s="75"/>
      <c r="O11" s="75"/>
      <c r="P11" s="75"/>
      <c r="Q11" s="96"/>
      <c r="R11" s="96"/>
      <c r="S11" s="96"/>
      <c r="T11" s="75"/>
      <c r="U11" s="75"/>
      <c r="V11" s="75"/>
      <c r="W11" s="75"/>
      <c r="X11" s="76"/>
      <c r="Y11" s="76"/>
      <c r="Z11" s="75"/>
      <c r="AA11" s="75"/>
      <c r="AB11" s="75"/>
      <c r="AC11" s="75"/>
      <c r="AD11" s="75"/>
      <c r="AE11" s="76"/>
      <c r="AF11" s="76"/>
      <c r="AG11" s="75"/>
      <c r="AH11" s="75"/>
      <c r="AI11" s="75"/>
      <c r="AJ11" s="75"/>
      <c r="AK11" s="111"/>
      <c r="AL11" s="77"/>
      <c r="AM11" s="107"/>
      <c r="AN11" s="108"/>
      <c r="AO11" s="108"/>
      <c r="AP11" s="108"/>
      <c r="AQ11" s="108"/>
      <c r="AR11" s="108"/>
      <c r="AS11" s="108"/>
      <c r="AT11" s="428"/>
      <c r="AU11" s="121"/>
      <c r="AV11" s="121"/>
      <c r="AW11" s="428"/>
    </row>
    <row r="12" spans="1:51">
      <c r="A12" s="482"/>
      <c r="B12" s="497"/>
      <c r="C12" s="452"/>
      <c r="D12" s="517"/>
      <c r="E12" s="441"/>
      <c r="F12" s="452"/>
      <c r="G12" s="51" t="s">
        <v>21</v>
      </c>
      <c r="H12" s="46" t="s">
        <v>22</v>
      </c>
      <c r="I12" s="75">
        <f>$M$26*$D$3/3</f>
        <v>20670</v>
      </c>
      <c r="J12" s="76"/>
      <c r="K12" s="76"/>
      <c r="L12" s="75">
        <f>$M$26*$D$3/3</f>
        <v>20670</v>
      </c>
      <c r="M12" s="75">
        <f>$M$26*$D$3/3</f>
        <v>20670</v>
      </c>
      <c r="N12" s="75">
        <f>$M$26*$D$3/3</f>
        <v>20670</v>
      </c>
      <c r="O12" s="75">
        <f>$M$26*$D$3/3</f>
        <v>20670</v>
      </c>
      <c r="P12" s="75">
        <f>$M$26*$D$3/3</f>
        <v>20670</v>
      </c>
      <c r="Q12" s="97"/>
      <c r="R12" s="97"/>
      <c r="S12" s="97"/>
      <c r="T12" s="75">
        <f>$M$26*$D$3/3</f>
        <v>20670</v>
      </c>
      <c r="U12" s="75">
        <f>$M$26*$D$3/3</f>
        <v>20670</v>
      </c>
      <c r="V12" s="75">
        <f>$M$26*$D$3/3</f>
        <v>20670</v>
      </c>
      <c r="W12" s="75">
        <f>$M$26*$D$3/3</f>
        <v>20670</v>
      </c>
      <c r="X12" s="76"/>
      <c r="Y12" s="76"/>
      <c r="Z12" s="75">
        <f>$M$26*$D$3/3</f>
        <v>20670</v>
      </c>
      <c r="AA12" s="75">
        <f>$M$26*$D$3/3</f>
        <v>20670</v>
      </c>
      <c r="AB12" s="75">
        <f>$M$26*$D$3/3</f>
        <v>20670</v>
      </c>
      <c r="AC12" s="75">
        <f>$M$26*$D$3/3</f>
        <v>20670</v>
      </c>
      <c r="AD12" s="75">
        <f>$M$26*$D$3/3</f>
        <v>20670</v>
      </c>
      <c r="AE12" s="76"/>
      <c r="AF12" s="76"/>
      <c r="AG12" s="75">
        <f>$M$26*$D$3/3</f>
        <v>20670</v>
      </c>
      <c r="AH12" s="75">
        <f>$M$26*$D$3/3</f>
        <v>20670</v>
      </c>
      <c r="AI12" s="75">
        <f>$M$26*$D$3/3</f>
        <v>20670</v>
      </c>
      <c r="AJ12" s="75">
        <f>$M$26*$D$3/3</f>
        <v>20670</v>
      </c>
      <c r="AK12" s="111"/>
      <c r="AL12" s="77"/>
      <c r="AM12" s="107"/>
      <c r="AN12" s="108"/>
      <c r="AO12" s="108"/>
      <c r="AP12" s="108"/>
      <c r="AQ12" s="108"/>
      <c r="AR12" s="108"/>
      <c r="AS12" s="108"/>
      <c r="AT12" s="428"/>
      <c r="AU12" s="121"/>
      <c r="AV12" s="121"/>
      <c r="AW12" s="428"/>
    </row>
    <row r="13" spans="1:51">
      <c r="A13" s="482"/>
      <c r="B13" s="497"/>
      <c r="C13" s="452"/>
      <c r="D13" s="517"/>
      <c r="E13" s="441"/>
      <c r="F13" s="452"/>
      <c r="G13" s="51"/>
      <c r="H13" s="46" t="s">
        <v>20</v>
      </c>
      <c r="I13" s="75">
        <v>1</v>
      </c>
      <c r="J13" s="76"/>
      <c r="K13" s="76"/>
      <c r="L13" s="75">
        <v>1</v>
      </c>
      <c r="M13" s="75">
        <v>1</v>
      </c>
      <c r="N13" s="75">
        <v>1</v>
      </c>
      <c r="O13" s="75">
        <v>1</v>
      </c>
      <c r="P13" s="75">
        <v>1</v>
      </c>
      <c r="Q13" s="97"/>
      <c r="R13" s="97"/>
      <c r="S13" s="97"/>
      <c r="T13" s="75">
        <v>1</v>
      </c>
      <c r="U13" s="75">
        <v>1</v>
      </c>
      <c r="V13" s="75">
        <v>1</v>
      </c>
      <c r="W13" s="75">
        <v>1</v>
      </c>
      <c r="X13" s="76"/>
      <c r="Y13" s="76"/>
      <c r="Z13" s="75">
        <v>1</v>
      </c>
      <c r="AA13" s="75">
        <v>1</v>
      </c>
      <c r="AB13" s="75">
        <v>1</v>
      </c>
      <c r="AC13" s="75">
        <v>1</v>
      </c>
      <c r="AD13" s="75">
        <v>1</v>
      </c>
      <c r="AE13" s="76"/>
      <c r="AF13" s="76"/>
      <c r="AG13" s="75">
        <v>1</v>
      </c>
      <c r="AH13" s="75">
        <v>1</v>
      </c>
      <c r="AI13" s="75">
        <v>1</v>
      </c>
      <c r="AJ13" s="75">
        <v>1</v>
      </c>
      <c r="AK13" s="111"/>
      <c r="AL13" s="77"/>
      <c r="AM13" s="107"/>
      <c r="AN13" s="108"/>
      <c r="AO13" s="108"/>
      <c r="AP13" s="108"/>
      <c r="AQ13" s="108"/>
      <c r="AR13" s="108"/>
      <c r="AS13" s="108"/>
      <c r="AT13" s="428"/>
      <c r="AU13" s="121"/>
      <c r="AV13" s="121"/>
      <c r="AW13" s="428"/>
    </row>
    <row r="14" spans="1:51">
      <c r="A14" s="482"/>
      <c r="B14" s="497"/>
      <c r="C14" s="452"/>
      <c r="D14" s="517"/>
      <c r="E14" s="441"/>
      <c r="F14" s="452"/>
      <c r="G14" s="47"/>
      <c r="H14" s="48" t="s">
        <v>15</v>
      </c>
      <c r="I14" s="75"/>
      <c r="J14" s="76"/>
      <c r="K14" s="76"/>
      <c r="L14" s="47"/>
      <c r="M14" s="75"/>
      <c r="N14" s="75"/>
      <c r="O14" s="47"/>
      <c r="P14" s="75"/>
      <c r="Q14" s="97"/>
      <c r="R14" s="97"/>
      <c r="S14" s="97"/>
      <c r="T14" s="75"/>
      <c r="U14" s="47"/>
      <c r="V14" s="75"/>
      <c r="W14" s="75"/>
      <c r="X14" s="76"/>
      <c r="Y14" s="76"/>
      <c r="Z14" s="75"/>
      <c r="AA14" s="47"/>
      <c r="AB14" s="75"/>
      <c r="AC14" s="75"/>
      <c r="AD14" s="47"/>
      <c r="AE14" s="76"/>
      <c r="AF14" s="76"/>
      <c r="AG14" s="75"/>
      <c r="AH14" s="47"/>
      <c r="AI14" s="75"/>
      <c r="AJ14" s="75"/>
      <c r="AK14" s="111"/>
      <c r="AL14" s="77"/>
      <c r="AM14" s="107"/>
      <c r="AN14" s="108"/>
      <c r="AO14" s="108"/>
      <c r="AP14" s="108"/>
      <c r="AQ14" s="108"/>
      <c r="AR14" s="108"/>
      <c r="AS14" s="108"/>
      <c r="AT14" s="428"/>
      <c r="AU14" s="121"/>
      <c r="AV14" s="121"/>
      <c r="AW14" s="428"/>
    </row>
    <row r="15" spans="1:51">
      <c r="A15" s="482"/>
      <c r="B15" s="497"/>
      <c r="C15" s="452"/>
      <c r="D15" s="517"/>
      <c r="E15" s="441"/>
      <c r="F15" s="452"/>
      <c r="G15" s="51" t="s">
        <v>23</v>
      </c>
      <c r="H15" s="46" t="s">
        <v>24</v>
      </c>
      <c r="I15" s="75">
        <f>($M$26*$D$3/3)*2</f>
        <v>41340</v>
      </c>
      <c r="J15" s="76"/>
      <c r="K15" s="77"/>
      <c r="L15" s="75">
        <f>($M$26*$D$3/3)*2</f>
        <v>41340</v>
      </c>
      <c r="M15" s="75">
        <f>($M$26*$D$3/3)*2</f>
        <v>41340</v>
      </c>
      <c r="N15" s="75">
        <f>($M$26*$D$3/3)*2</f>
        <v>41340</v>
      </c>
      <c r="O15" s="75">
        <f>($M$26*$D$3/3)*2</f>
        <v>41340</v>
      </c>
      <c r="P15" s="75">
        <f>($M$26*$D$3/3)*2</f>
        <v>41340</v>
      </c>
      <c r="Q15" s="97"/>
      <c r="R15" s="97"/>
      <c r="S15" s="97"/>
      <c r="T15" s="75">
        <f>($M$26*$D$3/3)*2</f>
        <v>41340</v>
      </c>
      <c r="U15" s="75">
        <f>($M$26*$D$3/3)*2</f>
        <v>41340</v>
      </c>
      <c r="V15" s="75">
        <f>($M$26*$D$3/3)*2</f>
        <v>41340</v>
      </c>
      <c r="W15" s="75">
        <f>($M$26*$D$3/3)*2</f>
        <v>41340</v>
      </c>
      <c r="X15" s="77"/>
      <c r="Y15" s="76"/>
      <c r="Z15" s="75">
        <f>($M$26*$D$3/3)*2</f>
        <v>41340</v>
      </c>
      <c r="AA15" s="75">
        <f>($M$26*$D$3/3)*2</f>
        <v>41340</v>
      </c>
      <c r="AB15" s="75">
        <f>($M$26*$D$3/3)*2</f>
        <v>41340</v>
      </c>
      <c r="AC15" s="75">
        <f>($M$26*$D$3/3)*2</f>
        <v>41340</v>
      </c>
      <c r="AD15" s="75">
        <f>($M$26*$D$3/3)*2</f>
        <v>41340</v>
      </c>
      <c r="AE15" s="77"/>
      <c r="AF15" s="76"/>
      <c r="AG15" s="75">
        <f>($M$26*$D$3/3)*2</f>
        <v>41340</v>
      </c>
      <c r="AH15" s="75">
        <f>($M$26*$D$3/3)*2</f>
        <v>41340</v>
      </c>
      <c r="AI15" s="75">
        <f>($M$26*$D$3/3)*2</f>
        <v>41340</v>
      </c>
      <c r="AJ15" s="75">
        <f>($M$26*$D$3/3)*2</f>
        <v>41340</v>
      </c>
      <c r="AK15" s="111"/>
      <c r="AL15" s="77"/>
      <c r="AM15" s="107"/>
      <c r="AN15" s="112"/>
      <c r="AO15" s="122"/>
      <c r="AP15" s="122"/>
      <c r="AQ15" s="428"/>
      <c r="AR15" s="123"/>
      <c r="AS15" s="123"/>
      <c r="AT15" s="428"/>
      <c r="AU15" s="121"/>
      <c r="AV15" s="121"/>
      <c r="AW15" s="428"/>
    </row>
    <row r="16" spans="1:51">
      <c r="A16" s="482"/>
      <c r="B16" s="497"/>
      <c r="C16" s="452"/>
      <c r="D16" s="517"/>
      <c r="E16" s="441"/>
      <c r="F16" s="452"/>
      <c r="G16" s="47"/>
      <c r="H16" s="48" t="s">
        <v>15</v>
      </c>
      <c r="I16" s="47"/>
      <c r="J16" s="76"/>
      <c r="K16" s="77"/>
      <c r="L16" s="47"/>
      <c r="M16" s="75"/>
      <c r="N16" s="47"/>
      <c r="O16" s="47"/>
      <c r="P16" s="75"/>
      <c r="Q16" s="97"/>
      <c r="R16" s="97"/>
      <c r="S16" s="97"/>
      <c r="T16" s="47"/>
      <c r="U16" s="47"/>
      <c r="V16" s="75"/>
      <c r="W16" s="47"/>
      <c r="X16" s="77"/>
      <c r="Y16" s="76"/>
      <c r="Z16" s="75"/>
      <c r="AA16" s="47"/>
      <c r="AB16" s="75"/>
      <c r="AC16" s="47"/>
      <c r="AD16" s="47"/>
      <c r="AE16" s="77"/>
      <c r="AF16" s="76"/>
      <c r="AG16" s="75"/>
      <c r="AH16" s="47"/>
      <c r="AI16" s="75"/>
      <c r="AJ16" s="47"/>
      <c r="AK16" s="111"/>
      <c r="AL16" s="77"/>
      <c r="AM16" s="107"/>
      <c r="AN16" s="112"/>
      <c r="AO16" s="122"/>
      <c r="AP16" s="122"/>
      <c r="AQ16" s="428"/>
      <c r="AR16" s="123"/>
      <c r="AS16" s="123"/>
      <c r="AT16" s="428"/>
      <c r="AU16" s="121"/>
      <c r="AV16" s="121"/>
      <c r="AW16" s="428"/>
    </row>
    <row r="17" spans="1:49">
      <c r="A17" s="482"/>
      <c r="B17" s="497"/>
      <c r="C17" s="452"/>
      <c r="D17" s="517"/>
      <c r="E17" s="441"/>
      <c r="F17" s="452"/>
      <c r="G17" s="51" t="s">
        <v>25</v>
      </c>
      <c r="H17" s="46" t="s">
        <v>26</v>
      </c>
      <c r="I17" s="75">
        <f>($M$26*$D$3/3)*2</f>
        <v>41340</v>
      </c>
      <c r="J17" s="76"/>
      <c r="K17" s="77"/>
      <c r="L17" s="75">
        <f>($M$26*$D$3/3)*2</f>
        <v>41340</v>
      </c>
      <c r="M17" s="75">
        <f>($M$26*$D$3/3)*2</f>
        <v>41340</v>
      </c>
      <c r="N17" s="75">
        <f>($M$26*$D$3/3)*2</f>
        <v>41340</v>
      </c>
      <c r="O17" s="75">
        <f>($M$26*$D$3/3)*2</f>
        <v>41340</v>
      </c>
      <c r="P17" s="75">
        <f>($M$26*$D$3/3)*2</f>
        <v>41340</v>
      </c>
      <c r="Q17" s="97"/>
      <c r="R17" s="97"/>
      <c r="S17" s="97"/>
      <c r="T17" s="75">
        <f>($M$26*$D$3/3)*2</f>
        <v>41340</v>
      </c>
      <c r="U17" s="75">
        <f>($M$26*$D$3/3)*2</f>
        <v>41340</v>
      </c>
      <c r="V17" s="75">
        <f>($M$26*$D$3/3)*2</f>
        <v>41340</v>
      </c>
      <c r="W17" s="75">
        <f>($M$26*$D$3/3)*2</f>
        <v>41340</v>
      </c>
      <c r="X17" s="77"/>
      <c r="Y17" s="76"/>
      <c r="Z17" s="75">
        <f>($M$26*$D$3/3)*2</f>
        <v>41340</v>
      </c>
      <c r="AA17" s="75">
        <f>($M$26*$D$3/3)*2</f>
        <v>41340</v>
      </c>
      <c r="AB17" s="75">
        <f>($M$26*$D$3/3)*2</f>
        <v>41340</v>
      </c>
      <c r="AC17" s="75">
        <f>($M$26*$D$3/3)*2</f>
        <v>41340</v>
      </c>
      <c r="AD17" s="75">
        <f>($M$26*$D$3/3)*2</f>
        <v>41340</v>
      </c>
      <c r="AE17" s="77"/>
      <c r="AF17" s="76"/>
      <c r="AG17" s="75">
        <f>($M$26*$D$3/3)*2</f>
        <v>41340</v>
      </c>
      <c r="AH17" s="75">
        <f>($M$26*$D$3/3)*2</f>
        <v>41340</v>
      </c>
      <c r="AI17" s="75">
        <f>($M$26*$D$3/3)*2</f>
        <v>41340</v>
      </c>
      <c r="AJ17" s="75">
        <f>($M$26*$D$3/3)*2</f>
        <v>41340</v>
      </c>
      <c r="AK17" s="111"/>
      <c r="AL17" s="77"/>
      <c r="AM17" s="107"/>
      <c r="AN17" s="112"/>
      <c r="AO17" s="122"/>
      <c r="AP17" s="122"/>
      <c r="AQ17" s="428"/>
      <c r="AR17" s="123"/>
      <c r="AS17" s="123"/>
      <c r="AT17" s="428"/>
      <c r="AU17" s="121"/>
      <c r="AV17" s="121"/>
      <c r="AW17" s="428"/>
    </row>
    <row r="18" spans="1:49">
      <c r="A18" s="482"/>
      <c r="B18" s="497"/>
      <c r="C18" s="452"/>
      <c r="D18" s="517"/>
      <c r="E18" s="441"/>
      <c r="F18" s="452"/>
      <c r="G18" s="51"/>
      <c r="H18" s="46" t="s">
        <v>27</v>
      </c>
      <c r="I18" s="75">
        <v>1</v>
      </c>
      <c r="J18" s="76"/>
      <c r="K18" s="77"/>
      <c r="L18" s="75">
        <v>1</v>
      </c>
      <c r="M18" s="75">
        <v>1</v>
      </c>
      <c r="N18" s="75">
        <v>1</v>
      </c>
      <c r="O18" s="75">
        <v>1</v>
      </c>
      <c r="P18" s="75">
        <v>1</v>
      </c>
      <c r="Q18" s="97"/>
      <c r="R18" s="97"/>
      <c r="S18" s="97"/>
      <c r="T18" s="75">
        <v>1</v>
      </c>
      <c r="U18" s="75">
        <v>1</v>
      </c>
      <c r="V18" s="75">
        <v>1</v>
      </c>
      <c r="W18" s="75">
        <v>1</v>
      </c>
      <c r="X18" s="77"/>
      <c r="Y18" s="76"/>
      <c r="Z18" s="75">
        <v>1</v>
      </c>
      <c r="AA18" s="75">
        <v>1</v>
      </c>
      <c r="AB18" s="75">
        <v>1</v>
      </c>
      <c r="AC18" s="75">
        <v>1</v>
      </c>
      <c r="AD18" s="75">
        <v>1</v>
      </c>
      <c r="AE18" s="77"/>
      <c r="AF18" s="76"/>
      <c r="AG18" s="75">
        <v>1</v>
      </c>
      <c r="AH18" s="75">
        <v>1</v>
      </c>
      <c r="AI18" s="75">
        <v>1</v>
      </c>
      <c r="AJ18" s="75">
        <v>1</v>
      </c>
      <c r="AK18" s="111"/>
      <c r="AL18" s="77"/>
      <c r="AM18" s="107"/>
      <c r="AN18" s="112"/>
      <c r="AO18" s="122"/>
      <c r="AP18" s="122"/>
      <c r="AQ18" s="428"/>
      <c r="AR18" s="123"/>
      <c r="AS18" s="123"/>
      <c r="AT18" s="428"/>
      <c r="AU18" s="121"/>
      <c r="AV18" s="121"/>
      <c r="AW18" s="428"/>
    </row>
    <row r="19" spans="1:49">
      <c r="A19" s="482"/>
      <c r="B19" s="497"/>
      <c r="C19" s="452"/>
      <c r="D19" s="517"/>
      <c r="E19" s="441"/>
      <c r="F19" s="452"/>
      <c r="G19" s="47"/>
      <c r="H19" s="48" t="s">
        <v>15</v>
      </c>
      <c r="I19" s="47"/>
      <c r="J19" s="76"/>
      <c r="K19" s="77"/>
      <c r="L19" s="47"/>
      <c r="M19" s="75"/>
      <c r="N19" s="47"/>
      <c r="O19" s="47"/>
      <c r="P19" s="75"/>
      <c r="Q19" s="97"/>
      <c r="R19" s="97"/>
      <c r="S19" s="97"/>
      <c r="T19" s="47"/>
      <c r="U19" s="47"/>
      <c r="V19" s="75"/>
      <c r="W19" s="47"/>
      <c r="X19" s="77"/>
      <c r="Y19" s="76"/>
      <c r="Z19" s="75"/>
      <c r="AA19" s="47"/>
      <c r="AB19" s="75"/>
      <c r="AC19" s="47"/>
      <c r="AD19" s="47"/>
      <c r="AE19" s="77"/>
      <c r="AF19" s="76"/>
      <c r="AG19" s="75"/>
      <c r="AH19" s="47"/>
      <c r="AI19" s="75"/>
      <c r="AJ19" s="47"/>
      <c r="AK19" s="111"/>
      <c r="AL19" s="77"/>
      <c r="AM19" s="107"/>
      <c r="AN19" s="112"/>
      <c r="AO19" s="122"/>
      <c r="AP19" s="122"/>
      <c r="AQ19" s="428"/>
      <c r="AR19" s="123"/>
      <c r="AS19" s="123"/>
      <c r="AT19" s="428"/>
      <c r="AU19" s="121"/>
      <c r="AV19" s="121"/>
      <c r="AW19" s="428"/>
    </row>
    <row r="20" spans="1:49">
      <c r="A20" s="482"/>
      <c r="B20" s="497"/>
      <c r="C20" s="452"/>
      <c r="D20" s="517"/>
      <c r="E20" s="441"/>
      <c r="F20" s="452"/>
      <c r="G20" s="51" t="s">
        <v>28</v>
      </c>
      <c r="H20" s="46" t="s">
        <v>29</v>
      </c>
      <c r="I20" s="75">
        <f>$M$26*$D$3/3</f>
        <v>20670</v>
      </c>
      <c r="J20" s="76"/>
      <c r="K20" s="77"/>
      <c r="L20" s="75">
        <f>$M$26*$D$3/3</f>
        <v>20670</v>
      </c>
      <c r="M20" s="75">
        <f>$M$26*$D$3/3</f>
        <v>20670</v>
      </c>
      <c r="N20" s="75">
        <f>$M$26*$D$3/3</f>
        <v>20670</v>
      </c>
      <c r="O20" s="75">
        <f>$M$26*$D$3/3</f>
        <v>20670</v>
      </c>
      <c r="P20" s="75">
        <f>$M$26*$D$3/3</f>
        <v>20670</v>
      </c>
      <c r="Q20" s="97"/>
      <c r="R20" s="97"/>
      <c r="S20" s="97"/>
      <c r="T20" s="75">
        <f>$M$26*$D$3/3</f>
        <v>20670</v>
      </c>
      <c r="U20" s="75">
        <f>$M$26*$D$3/3</f>
        <v>20670</v>
      </c>
      <c r="V20" s="75">
        <f>$M$26*$D$3/3</f>
        <v>20670</v>
      </c>
      <c r="W20" s="75">
        <f>$M$26*$D$3/3</f>
        <v>20670</v>
      </c>
      <c r="X20" s="77"/>
      <c r="Y20" s="76"/>
      <c r="Z20" s="75">
        <f>$M$26*$D$3/3</f>
        <v>20670</v>
      </c>
      <c r="AA20" s="75">
        <f>$M$26*$D$3/3</f>
        <v>20670</v>
      </c>
      <c r="AB20" s="75">
        <f>$M$26*$D$3/3</f>
        <v>20670</v>
      </c>
      <c r="AC20" s="75">
        <f>$M$26*$D$3/3</f>
        <v>20670</v>
      </c>
      <c r="AD20" s="75">
        <f>$M$26*$D$3/3</f>
        <v>20670</v>
      </c>
      <c r="AE20" s="77"/>
      <c r="AF20" s="76"/>
      <c r="AG20" s="75">
        <f>$M$26*$D$3/3</f>
        <v>20670</v>
      </c>
      <c r="AH20" s="75">
        <f>$M$26*$D$3/3</f>
        <v>20670</v>
      </c>
      <c r="AI20" s="75">
        <f>$M$26*$D$3/3</f>
        <v>20670</v>
      </c>
      <c r="AJ20" s="75">
        <f>$M$26*$D$3/3</f>
        <v>20670</v>
      </c>
      <c r="AK20" s="111"/>
      <c r="AL20" s="77"/>
      <c r="AM20" s="107"/>
      <c r="AN20" s="112"/>
      <c r="AO20" s="122"/>
      <c r="AP20" s="122"/>
      <c r="AQ20" s="428"/>
      <c r="AR20" s="123"/>
      <c r="AS20" s="123"/>
      <c r="AT20" s="428"/>
      <c r="AU20" s="121"/>
      <c r="AV20" s="121"/>
      <c r="AW20" s="428"/>
    </row>
    <row r="21" spans="1:49">
      <c r="A21" s="482"/>
      <c r="B21" s="497"/>
      <c r="C21" s="452"/>
      <c r="D21" s="517"/>
      <c r="E21" s="441"/>
      <c r="F21" s="452"/>
      <c r="G21" s="51"/>
      <c r="H21" s="46" t="s">
        <v>27</v>
      </c>
      <c r="I21" s="75">
        <v>1</v>
      </c>
      <c r="J21" s="76"/>
      <c r="K21" s="77"/>
      <c r="L21" s="75">
        <v>1</v>
      </c>
      <c r="M21" s="75">
        <v>1</v>
      </c>
      <c r="N21" s="75">
        <v>1</v>
      </c>
      <c r="O21" s="75">
        <v>1</v>
      </c>
      <c r="P21" s="75">
        <v>1</v>
      </c>
      <c r="Q21" s="97"/>
      <c r="R21" s="97"/>
      <c r="S21" s="97"/>
      <c r="T21" s="75">
        <v>1</v>
      </c>
      <c r="U21" s="75">
        <v>1</v>
      </c>
      <c r="V21" s="75">
        <v>1</v>
      </c>
      <c r="W21" s="75">
        <v>1</v>
      </c>
      <c r="X21" s="77"/>
      <c r="Y21" s="76"/>
      <c r="Z21" s="75">
        <v>1</v>
      </c>
      <c r="AA21" s="75">
        <v>1</v>
      </c>
      <c r="AB21" s="75">
        <v>1</v>
      </c>
      <c r="AC21" s="75">
        <v>1</v>
      </c>
      <c r="AD21" s="75">
        <v>1</v>
      </c>
      <c r="AE21" s="77"/>
      <c r="AF21" s="76"/>
      <c r="AG21" s="75">
        <v>1</v>
      </c>
      <c r="AH21" s="75">
        <v>1</v>
      </c>
      <c r="AI21" s="75">
        <v>1</v>
      </c>
      <c r="AJ21" s="75">
        <v>1</v>
      </c>
      <c r="AK21" s="111"/>
      <c r="AL21" s="77"/>
      <c r="AM21" s="107"/>
      <c r="AN21" s="112"/>
      <c r="AO21" s="122"/>
      <c r="AP21" s="122"/>
      <c r="AQ21" s="428"/>
      <c r="AR21" s="123"/>
      <c r="AS21" s="123"/>
      <c r="AT21" s="428"/>
      <c r="AU21" s="121"/>
      <c r="AV21" s="121"/>
      <c r="AW21" s="428"/>
    </row>
    <row r="22" spans="1:49">
      <c r="A22" s="482"/>
      <c r="B22" s="497"/>
      <c r="C22" s="452"/>
      <c r="D22" s="517"/>
      <c r="E22" s="441"/>
      <c r="F22" s="452"/>
      <c r="G22" s="47"/>
      <c r="H22" s="48" t="s">
        <v>15</v>
      </c>
      <c r="I22" s="47"/>
      <c r="J22" s="76"/>
      <c r="K22" s="77"/>
      <c r="L22" s="47"/>
      <c r="M22" s="75"/>
      <c r="N22" s="47"/>
      <c r="O22" s="47"/>
      <c r="P22" s="75"/>
      <c r="Q22" s="97"/>
      <c r="R22" s="97"/>
      <c r="S22" s="97"/>
      <c r="T22" s="47"/>
      <c r="U22" s="47"/>
      <c r="V22" s="75"/>
      <c r="W22" s="47"/>
      <c r="X22" s="77"/>
      <c r="Y22" s="76"/>
      <c r="Z22" s="75"/>
      <c r="AA22" s="47"/>
      <c r="AB22" s="75"/>
      <c r="AC22" s="47"/>
      <c r="AD22" s="47"/>
      <c r="AE22" s="77"/>
      <c r="AF22" s="76"/>
      <c r="AG22" s="75"/>
      <c r="AH22" s="47"/>
      <c r="AI22" s="75"/>
      <c r="AJ22" s="47"/>
      <c r="AK22" s="111"/>
      <c r="AL22" s="77"/>
      <c r="AM22" s="107"/>
      <c r="AN22" s="112"/>
      <c r="AO22" s="122"/>
      <c r="AP22" s="122"/>
      <c r="AQ22" s="428"/>
      <c r="AR22" s="123"/>
      <c r="AS22" s="123"/>
      <c r="AT22" s="428"/>
      <c r="AU22" s="121"/>
      <c r="AV22" s="121"/>
      <c r="AW22" s="428"/>
    </row>
    <row r="23" spans="1:49">
      <c r="A23" s="482"/>
      <c r="B23" s="497"/>
      <c r="C23" s="452"/>
      <c r="D23" s="517"/>
      <c r="E23" s="441"/>
      <c r="F23" s="452"/>
      <c r="G23" s="51"/>
      <c r="H23" s="46" t="s">
        <v>30</v>
      </c>
      <c r="I23" s="75">
        <f>$M$26*$D$3/3</f>
        <v>20670</v>
      </c>
      <c r="J23" s="76"/>
      <c r="K23" s="76"/>
      <c r="L23" s="75">
        <f>$M$26*$D$3/3</f>
        <v>20670</v>
      </c>
      <c r="M23" s="75">
        <f>$M$26*$D$3/3</f>
        <v>20670</v>
      </c>
      <c r="N23" s="75">
        <f>$M$26*$D$3/3</f>
        <v>20670</v>
      </c>
      <c r="O23" s="75">
        <f>$M$26*$D$3/3</f>
        <v>20670</v>
      </c>
      <c r="P23" s="75">
        <f>$M$26*$D$3/3</f>
        <v>20670</v>
      </c>
      <c r="Q23" s="97"/>
      <c r="R23" s="97"/>
      <c r="S23" s="97"/>
      <c r="T23" s="75">
        <f>$M$26*$D$3/3</f>
        <v>20670</v>
      </c>
      <c r="U23" s="75">
        <f>$M$26*$D$3/3</f>
        <v>20670</v>
      </c>
      <c r="V23" s="75">
        <f>$M$26*$D$3/3</f>
        <v>20670</v>
      </c>
      <c r="W23" s="75">
        <f>$M$26*$D$3/3</f>
        <v>20670</v>
      </c>
      <c r="X23" s="76"/>
      <c r="Y23" s="76"/>
      <c r="Z23" s="75">
        <f>$M$26*$D$3/3</f>
        <v>20670</v>
      </c>
      <c r="AA23" s="75">
        <f>$M$26*$D$3/3</f>
        <v>20670</v>
      </c>
      <c r="AB23" s="75">
        <f>$M$26*$D$3/3</f>
        <v>20670</v>
      </c>
      <c r="AC23" s="75">
        <f>$M$26*$D$3/3</f>
        <v>20670</v>
      </c>
      <c r="AD23" s="75">
        <f>$M$26*$D$3/3</f>
        <v>20670</v>
      </c>
      <c r="AE23" s="76"/>
      <c r="AF23" s="76"/>
      <c r="AG23" s="75">
        <f>$M$26*$D$3/3</f>
        <v>20670</v>
      </c>
      <c r="AH23" s="75">
        <f>$M$26*$D$3/3</f>
        <v>20670</v>
      </c>
      <c r="AI23" s="75">
        <f>$M$26*$D$3/3</f>
        <v>20670</v>
      </c>
      <c r="AJ23" s="75">
        <f>$M$26*$D$3/3</f>
        <v>20670</v>
      </c>
      <c r="AK23" s="111"/>
      <c r="AL23" s="77"/>
      <c r="AM23" s="107"/>
      <c r="AN23" s="112"/>
      <c r="AO23" s="122"/>
      <c r="AP23" s="122"/>
      <c r="AQ23" s="428"/>
      <c r="AR23" s="123"/>
      <c r="AS23" s="123"/>
      <c r="AT23" s="428"/>
      <c r="AU23" s="121"/>
      <c r="AV23" s="121"/>
      <c r="AW23" s="428"/>
    </row>
    <row r="24" spans="1:49">
      <c r="A24" s="482"/>
      <c r="B24" s="497"/>
      <c r="C24" s="452"/>
      <c r="D24" s="517"/>
      <c r="E24" s="441"/>
      <c r="F24" s="452"/>
      <c r="G24" s="51"/>
      <c r="H24" s="46" t="s">
        <v>31</v>
      </c>
      <c r="I24" s="75">
        <v>1</v>
      </c>
      <c r="J24" s="76"/>
      <c r="K24" s="76"/>
      <c r="L24" s="75">
        <v>1</v>
      </c>
      <c r="M24" s="75">
        <v>1</v>
      </c>
      <c r="N24" s="75">
        <v>1</v>
      </c>
      <c r="O24" s="75">
        <v>1</v>
      </c>
      <c r="P24" s="75">
        <v>1</v>
      </c>
      <c r="Q24" s="97"/>
      <c r="R24" s="97"/>
      <c r="S24" s="97"/>
      <c r="T24" s="75">
        <v>1</v>
      </c>
      <c r="U24" s="75">
        <v>1</v>
      </c>
      <c r="V24" s="75">
        <v>1</v>
      </c>
      <c r="W24" s="75">
        <v>1</v>
      </c>
      <c r="X24" s="77"/>
      <c r="Y24" s="77"/>
      <c r="Z24" s="75">
        <v>1</v>
      </c>
      <c r="AA24" s="75">
        <v>1</v>
      </c>
      <c r="AB24" s="75">
        <v>1</v>
      </c>
      <c r="AC24" s="75">
        <v>1</v>
      </c>
      <c r="AD24" s="75">
        <v>1</v>
      </c>
      <c r="AE24" s="77"/>
      <c r="AF24" s="77"/>
      <c r="AG24" s="75">
        <v>1</v>
      </c>
      <c r="AH24" s="75">
        <v>1</v>
      </c>
      <c r="AI24" s="75">
        <v>1</v>
      </c>
      <c r="AJ24" s="75">
        <v>1</v>
      </c>
      <c r="AK24" s="113"/>
      <c r="AL24" s="77"/>
      <c r="AM24" s="107"/>
      <c r="AN24" s="112"/>
      <c r="AO24" s="122"/>
      <c r="AP24" s="122"/>
      <c r="AQ24" s="428"/>
      <c r="AR24" s="123"/>
      <c r="AS24" s="123"/>
      <c r="AT24" s="428"/>
      <c r="AU24" s="121"/>
      <c r="AV24" s="121"/>
      <c r="AW24" s="428"/>
    </row>
    <row r="25" spans="1:49">
      <c r="A25" s="482"/>
      <c r="B25" s="497"/>
      <c r="C25" s="452"/>
      <c r="D25" s="517"/>
      <c r="E25" s="441"/>
      <c r="F25" s="452"/>
      <c r="G25" s="47"/>
      <c r="H25" s="48" t="s">
        <v>15</v>
      </c>
      <c r="I25" s="47"/>
      <c r="J25" s="77"/>
      <c r="K25" s="77"/>
      <c r="L25" s="47"/>
      <c r="M25" s="47"/>
      <c r="N25" s="47"/>
      <c r="O25" s="47"/>
      <c r="P25" s="47"/>
      <c r="Q25" s="97"/>
      <c r="R25" s="97"/>
      <c r="S25" s="97"/>
      <c r="T25" s="47"/>
      <c r="U25" s="47"/>
      <c r="V25" s="47"/>
      <c r="W25" s="47"/>
      <c r="X25" s="77"/>
      <c r="Y25" s="77"/>
      <c r="Z25" s="47"/>
      <c r="AA25" s="47"/>
      <c r="AB25" s="47"/>
      <c r="AC25" s="47"/>
      <c r="AD25" s="47"/>
      <c r="AE25" s="77"/>
      <c r="AF25" s="77"/>
      <c r="AG25" s="47"/>
      <c r="AH25" s="47"/>
      <c r="AI25" s="47"/>
      <c r="AJ25" s="47"/>
      <c r="AK25" s="113"/>
      <c r="AL25" s="77"/>
      <c r="AM25" s="107"/>
      <c r="AN25" s="112"/>
      <c r="AO25" s="122"/>
      <c r="AP25" s="122"/>
      <c r="AQ25" s="428"/>
      <c r="AR25" s="123"/>
      <c r="AS25" s="123"/>
      <c r="AT25" s="428"/>
      <c r="AU25" s="121"/>
      <c r="AV25" s="121"/>
      <c r="AW25" s="428"/>
    </row>
    <row r="26" spans="1:49">
      <c r="A26" s="482"/>
      <c r="B26" s="497"/>
      <c r="C26" s="452"/>
      <c r="D26" s="517"/>
      <c r="E26" s="441"/>
      <c r="F26" s="452"/>
      <c r="G26" s="51"/>
      <c r="H26" s="46" t="s">
        <v>32</v>
      </c>
      <c r="I26" s="47"/>
      <c r="J26" s="77"/>
      <c r="K26" s="77"/>
      <c r="L26" s="47"/>
      <c r="M26" s="75">
        <f>($C$3*3)</f>
        <v>39000</v>
      </c>
      <c r="N26" s="15"/>
      <c r="O26" s="47"/>
      <c r="P26" s="75">
        <f>($C$3*3)</f>
        <v>39000</v>
      </c>
      <c r="Q26" s="97"/>
      <c r="R26" s="97"/>
      <c r="S26" s="97"/>
      <c r="T26" s="75"/>
      <c r="U26" s="47"/>
      <c r="V26" s="75">
        <f>($C$3*3)</f>
        <v>39000</v>
      </c>
      <c r="W26" s="15"/>
      <c r="X26" s="76"/>
      <c r="Y26" s="77"/>
      <c r="Z26" s="47"/>
      <c r="AA26" s="75">
        <f>($C$3*3)</f>
        <v>39000</v>
      </c>
      <c r="AC26" s="75"/>
      <c r="AD26" s="75">
        <f>($C$3*3)</f>
        <v>39000</v>
      </c>
      <c r="AE26" s="76"/>
      <c r="AF26" s="77"/>
      <c r="AG26" s="47"/>
      <c r="AH26" s="47"/>
      <c r="AJ26" s="75">
        <f>($C$3*3)</f>
        <v>39000</v>
      </c>
      <c r="AK26" s="113"/>
      <c r="AL26" s="77"/>
      <c r="AM26" s="107"/>
      <c r="AN26" s="112"/>
      <c r="AO26" s="122"/>
      <c r="AP26" s="122"/>
      <c r="AQ26" s="428"/>
      <c r="AR26" s="123"/>
      <c r="AS26" s="123"/>
      <c r="AT26" s="428"/>
      <c r="AU26" s="121"/>
      <c r="AV26" s="121"/>
      <c r="AW26" s="428"/>
    </row>
    <row r="27" spans="1:49">
      <c r="A27" s="482"/>
      <c r="B27" s="497"/>
      <c r="C27" s="452"/>
      <c r="D27" s="517"/>
      <c r="E27" s="441"/>
      <c r="F27" s="452"/>
      <c r="G27" s="51"/>
      <c r="H27" s="46" t="s">
        <v>33</v>
      </c>
      <c r="I27" s="47"/>
      <c r="J27" s="77"/>
      <c r="K27" s="77"/>
      <c r="L27" s="47"/>
      <c r="M27" s="78">
        <v>1</v>
      </c>
      <c r="N27" s="15"/>
      <c r="O27" s="47"/>
      <c r="P27" s="78">
        <v>1</v>
      </c>
      <c r="Q27" s="97"/>
      <c r="R27" s="97"/>
      <c r="S27" s="97"/>
      <c r="T27" s="78"/>
      <c r="U27" s="47"/>
      <c r="V27" s="78">
        <v>1</v>
      </c>
      <c r="W27" s="15"/>
      <c r="X27" s="77"/>
      <c r="Y27" s="77"/>
      <c r="Z27" s="47"/>
      <c r="AA27" s="78">
        <v>1</v>
      </c>
      <c r="AB27" s="47"/>
      <c r="AC27" s="78"/>
      <c r="AD27" s="78">
        <v>1</v>
      </c>
      <c r="AE27" s="77"/>
      <c r="AF27" s="77"/>
      <c r="AG27" s="47"/>
      <c r="AH27" s="47"/>
      <c r="AI27" s="47"/>
      <c r="AJ27" s="78">
        <v>1</v>
      </c>
      <c r="AK27" s="113"/>
      <c r="AL27" s="77"/>
      <c r="AM27" s="107"/>
      <c r="AN27" s="112"/>
      <c r="AO27" s="122"/>
      <c r="AP27" s="122"/>
      <c r="AQ27" s="428"/>
      <c r="AR27" s="123"/>
      <c r="AS27" s="123"/>
      <c r="AT27" s="428"/>
      <c r="AU27" s="121"/>
      <c r="AV27" s="121"/>
      <c r="AW27" s="428"/>
    </row>
    <row r="28" spans="1:49">
      <c r="A28" s="531"/>
      <c r="B28" s="498"/>
      <c r="C28" s="453"/>
      <c r="D28" s="518"/>
      <c r="E28" s="442"/>
      <c r="F28" s="453"/>
      <c r="G28" s="52"/>
      <c r="H28" s="53" t="s">
        <v>15</v>
      </c>
      <c r="I28" s="52"/>
      <c r="J28" s="79"/>
      <c r="K28" s="79"/>
      <c r="L28" s="52"/>
      <c r="M28" s="52"/>
      <c r="N28" s="52"/>
      <c r="O28" s="52"/>
      <c r="P28" s="52"/>
      <c r="Q28" s="98"/>
      <c r="R28" s="98"/>
      <c r="S28" s="98"/>
      <c r="T28" s="52"/>
      <c r="U28" s="52"/>
      <c r="V28" s="52"/>
      <c r="W28" s="52"/>
      <c r="X28" s="79"/>
      <c r="Y28" s="79"/>
      <c r="Z28" s="52"/>
      <c r="AA28" s="52"/>
      <c r="AB28" s="52"/>
      <c r="AC28" s="52"/>
      <c r="AD28" s="52"/>
      <c r="AE28" s="79"/>
      <c r="AF28" s="79"/>
      <c r="AG28" s="52"/>
      <c r="AH28" s="52"/>
      <c r="AI28" s="52"/>
      <c r="AJ28" s="52"/>
      <c r="AK28" s="114"/>
      <c r="AL28" s="77"/>
      <c r="AM28" s="107"/>
      <c r="AN28" s="112"/>
      <c r="AO28" s="122"/>
      <c r="AP28" s="122"/>
      <c r="AQ28" s="428"/>
      <c r="AR28" s="123"/>
      <c r="AS28" s="123"/>
      <c r="AT28" s="428"/>
      <c r="AU28" s="121"/>
      <c r="AV28" s="121"/>
      <c r="AW28" s="428"/>
    </row>
    <row r="29" spans="1:49">
      <c r="A29" s="483" t="s">
        <v>34</v>
      </c>
      <c r="B29" s="499" t="s">
        <v>35</v>
      </c>
      <c r="C29" s="432">
        <v>12000</v>
      </c>
      <c r="D29" s="519">
        <v>1.2749999999999999</v>
      </c>
      <c r="E29" s="54"/>
      <c r="F29" s="454" t="s">
        <v>11</v>
      </c>
      <c r="G29" s="43">
        <v>0.08</v>
      </c>
      <c r="H29" s="44" t="s">
        <v>12</v>
      </c>
      <c r="I29" s="80">
        <v>128.16999999999999</v>
      </c>
      <c r="J29" s="81"/>
      <c r="K29" s="81"/>
      <c r="L29" s="80">
        <v>128.16999999999999</v>
      </c>
      <c r="M29" s="80">
        <v>128.16999999999999</v>
      </c>
      <c r="N29" s="80">
        <v>128.16999999999999</v>
      </c>
      <c r="O29" s="80">
        <v>128.16999999999999</v>
      </c>
      <c r="P29" s="80">
        <v>128.16999999999999</v>
      </c>
      <c r="Q29" s="99"/>
      <c r="R29" s="99"/>
      <c r="S29" s="99"/>
      <c r="T29" s="80">
        <v>128.16999999999999</v>
      </c>
      <c r="U29" s="80">
        <v>128.16999999999999</v>
      </c>
      <c r="V29" s="80">
        <v>128.16999999999999</v>
      </c>
      <c r="W29" s="80">
        <v>128.16999999999999</v>
      </c>
      <c r="X29" s="81"/>
      <c r="Y29" s="81"/>
      <c r="Z29" s="80">
        <v>128.16999999999999</v>
      </c>
      <c r="AA29" s="80">
        <v>128.16999999999999</v>
      </c>
      <c r="AB29" s="80">
        <v>128.16999999999999</v>
      </c>
      <c r="AC29" s="80">
        <v>128.16999999999999</v>
      </c>
      <c r="AD29" s="80">
        <v>128.16999999999999</v>
      </c>
      <c r="AE29" s="81"/>
      <c r="AF29" s="81"/>
      <c r="AG29" s="80">
        <v>128.16999999999999</v>
      </c>
      <c r="AH29" s="80">
        <v>128.16999999999999</v>
      </c>
      <c r="AI29" s="80">
        <v>128.16999999999999</v>
      </c>
      <c r="AJ29" s="80">
        <v>128.16999999999999</v>
      </c>
      <c r="AK29" s="115"/>
      <c r="AL29" s="76"/>
      <c r="AM29" s="107"/>
      <c r="AN29" s="428"/>
      <c r="AO29" s="428"/>
      <c r="AP29" s="108"/>
      <c r="AQ29" s="108"/>
      <c r="AR29" s="108"/>
      <c r="AS29" s="108"/>
      <c r="AT29" s="428"/>
      <c r="AU29" s="121"/>
      <c r="AV29" s="121"/>
      <c r="AW29" s="428"/>
    </row>
    <row r="30" spans="1:49">
      <c r="A30" s="484"/>
      <c r="B30" s="500"/>
      <c r="C30" s="433"/>
      <c r="D30" s="520"/>
      <c r="E30" s="56"/>
      <c r="F30" s="433"/>
      <c r="G30" s="45"/>
      <c r="H30" s="46" t="s">
        <v>14</v>
      </c>
      <c r="I30" s="75">
        <v>1.5</v>
      </c>
      <c r="J30" s="76"/>
      <c r="K30" s="76"/>
      <c r="L30" s="75">
        <v>1.5</v>
      </c>
      <c r="M30" s="75">
        <v>1.5</v>
      </c>
      <c r="N30" s="75">
        <v>1.5</v>
      </c>
      <c r="O30" s="75">
        <v>1.5</v>
      </c>
      <c r="P30" s="75">
        <v>1.5</v>
      </c>
      <c r="Q30" s="96"/>
      <c r="R30" s="96"/>
      <c r="S30" s="96"/>
      <c r="T30" s="75">
        <v>1.5</v>
      </c>
      <c r="U30" s="75">
        <v>1.5</v>
      </c>
      <c r="V30" s="75">
        <v>1.5</v>
      </c>
      <c r="W30" s="75">
        <v>1.5</v>
      </c>
      <c r="X30" s="76"/>
      <c r="Y30" s="76"/>
      <c r="Z30" s="75">
        <v>1.5</v>
      </c>
      <c r="AA30" s="75">
        <v>1.5</v>
      </c>
      <c r="AB30" s="75">
        <v>1.5</v>
      </c>
      <c r="AC30" s="75">
        <v>1.5</v>
      </c>
      <c r="AD30" s="75">
        <v>1.5</v>
      </c>
      <c r="AE30" s="76"/>
      <c r="AF30" s="76"/>
      <c r="AG30" s="75">
        <v>1.5</v>
      </c>
      <c r="AH30" s="75">
        <v>1.5</v>
      </c>
      <c r="AI30" s="75">
        <v>1.5</v>
      </c>
      <c r="AJ30" s="75">
        <v>1.5</v>
      </c>
      <c r="AK30" s="111"/>
      <c r="AL30" s="76"/>
      <c r="AM30" s="107"/>
      <c r="AN30" s="428"/>
      <c r="AO30" s="428"/>
      <c r="AP30" s="108"/>
      <c r="AQ30" s="108"/>
      <c r="AR30" s="108"/>
      <c r="AS30" s="108"/>
      <c r="AT30" s="428"/>
      <c r="AU30" s="121"/>
      <c r="AV30" s="121"/>
      <c r="AW30" s="428"/>
    </row>
    <row r="31" spans="1:49">
      <c r="A31" s="484"/>
      <c r="B31" s="500"/>
      <c r="C31" s="433"/>
      <c r="D31" s="520"/>
      <c r="E31" s="56"/>
      <c r="F31" s="433"/>
      <c r="G31" s="57"/>
      <c r="H31" s="58" t="s">
        <v>15</v>
      </c>
      <c r="I31" s="82"/>
      <c r="J31" s="83"/>
      <c r="K31" s="83"/>
      <c r="L31" s="75"/>
      <c r="M31" s="75"/>
      <c r="N31" s="75"/>
      <c r="O31" s="75"/>
      <c r="P31" s="75"/>
      <c r="Q31" s="96"/>
      <c r="R31" s="96"/>
      <c r="S31" s="96"/>
      <c r="T31" s="75"/>
      <c r="U31" s="75"/>
      <c r="V31" s="75"/>
      <c r="W31" s="75"/>
      <c r="X31" s="76"/>
      <c r="Y31" s="76"/>
      <c r="Z31" s="75"/>
      <c r="AA31" s="75"/>
      <c r="AB31" s="75"/>
      <c r="AC31" s="75"/>
      <c r="AD31" s="75"/>
      <c r="AE31" s="76"/>
      <c r="AF31" s="76"/>
      <c r="AG31" s="75"/>
      <c r="AH31" s="75"/>
      <c r="AI31" s="75"/>
      <c r="AJ31" s="75"/>
      <c r="AK31" s="111"/>
      <c r="AL31" s="76"/>
      <c r="AM31" s="107"/>
      <c r="AN31" s="108"/>
      <c r="AO31" s="108"/>
      <c r="AP31" s="108"/>
      <c r="AQ31" s="108"/>
      <c r="AR31" s="108"/>
      <c r="AS31" s="108"/>
      <c r="AT31" s="428"/>
      <c r="AU31" s="121"/>
      <c r="AV31" s="121"/>
      <c r="AW31" s="428"/>
    </row>
    <row r="32" spans="1:49">
      <c r="A32" s="484"/>
      <c r="B32" s="500"/>
      <c r="C32" s="433"/>
      <c r="D32" s="520"/>
      <c r="E32" s="56"/>
      <c r="F32" s="433"/>
      <c r="G32" s="51" t="s">
        <v>16</v>
      </c>
      <c r="H32" s="46" t="s">
        <v>17</v>
      </c>
      <c r="I32" s="84">
        <v>128.16999999999999</v>
      </c>
      <c r="J32" s="85"/>
      <c r="K32" s="85"/>
      <c r="L32" s="84">
        <v>128.16999999999999</v>
      </c>
      <c r="M32" s="84">
        <v>128.16999999999999</v>
      </c>
      <c r="N32" s="84">
        <v>128.16999999999999</v>
      </c>
      <c r="O32" s="84">
        <v>128.16999999999999</v>
      </c>
      <c r="P32" s="84">
        <v>128.16999999999999</v>
      </c>
      <c r="Q32" s="96"/>
      <c r="R32" s="96"/>
      <c r="S32" s="96"/>
      <c r="T32" s="84">
        <v>128.16999999999999</v>
      </c>
      <c r="U32" s="84">
        <v>128.16999999999999</v>
      </c>
      <c r="V32" s="84">
        <v>128.16999999999999</v>
      </c>
      <c r="W32" s="84">
        <v>128.16999999999999</v>
      </c>
      <c r="X32" s="85"/>
      <c r="Y32" s="85"/>
      <c r="Z32" s="84">
        <v>128.16999999999999</v>
      </c>
      <c r="AA32" s="84">
        <v>128.16999999999999</v>
      </c>
      <c r="AB32" s="84">
        <v>128.16999999999999</v>
      </c>
      <c r="AC32" s="84">
        <v>128.16999999999999</v>
      </c>
      <c r="AD32" s="84">
        <v>128.16999999999999</v>
      </c>
      <c r="AE32" s="85"/>
      <c r="AF32" s="85"/>
      <c r="AG32" s="84">
        <v>128.16999999999999</v>
      </c>
      <c r="AH32" s="84">
        <v>128.16999999999999</v>
      </c>
      <c r="AI32" s="84">
        <v>128.16999999999999</v>
      </c>
      <c r="AJ32" s="84">
        <v>128.16999999999999</v>
      </c>
      <c r="AK32" s="116"/>
      <c r="AL32" s="76"/>
      <c r="AM32" s="107"/>
      <c r="AN32" s="108"/>
      <c r="AO32" s="108"/>
      <c r="AP32" s="108"/>
      <c r="AQ32" s="108"/>
      <c r="AR32" s="108"/>
      <c r="AS32" s="108"/>
      <c r="AT32" s="428"/>
      <c r="AU32" s="121"/>
      <c r="AV32" s="121"/>
      <c r="AW32" s="428"/>
    </row>
    <row r="33" spans="1:49">
      <c r="A33" s="484"/>
      <c r="B33" s="500"/>
      <c r="C33" s="433"/>
      <c r="D33" s="520"/>
      <c r="E33" s="56"/>
      <c r="F33" s="433"/>
      <c r="G33" s="45"/>
      <c r="H33" s="46" t="s">
        <v>14</v>
      </c>
      <c r="I33" s="75">
        <v>0.5</v>
      </c>
      <c r="J33" s="76"/>
      <c r="K33" s="76"/>
      <c r="L33" s="75">
        <v>0.5</v>
      </c>
      <c r="M33" s="75">
        <v>0.5</v>
      </c>
      <c r="N33" s="75">
        <v>0.5</v>
      </c>
      <c r="O33" s="75">
        <v>0.5</v>
      </c>
      <c r="P33" s="75">
        <v>0.5</v>
      </c>
      <c r="Q33" s="96"/>
      <c r="R33" s="96"/>
      <c r="S33" s="96"/>
      <c r="T33" s="75">
        <v>0.5</v>
      </c>
      <c r="U33" s="75">
        <v>0.5</v>
      </c>
      <c r="V33" s="75">
        <v>0.5</v>
      </c>
      <c r="W33" s="75">
        <v>0.5</v>
      </c>
      <c r="X33" s="76"/>
      <c r="Y33" s="76"/>
      <c r="Z33" s="75">
        <v>0.5</v>
      </c>
      <c r="AA33" s="75">
        <v>0.5</v>
      </c>
      <c r="AB33" s="75">
        <v>0.5</v>
      </c>
      <c r="AC33" s="75">
        <v>0.5</v>
      </c>
      <c r="AD33" s="75">
        <v>0.5</v>
      </c>
      <c r="AE33" s="76"/>
      <c r="AF33" s="76"/>
      <c r="AG33" s="75">
        <v>0.5</v>
      </c>
      <c r="AH33" s="75">
        <v>0.5</v>
      </c>
      <c r="AI33" s="75">
        <v>0.5</v>
      </c>
      <c r="AJ33" s="75">
        <v>0.5</v>
      </c>
      <c r="AK33" s="111"/>
      <c r="AL33" s="76"/>
      <c r="AM33" s="107"/>
      <c r="AN33" s="108"/>
      <c r="AO33" s="108"/>
      <c r="AP33" s="108"/>
      <c r="AQ33" s="108"/>
      <c r="AR33" s="108"/>
      <c r="AS33" s="108"/>
      <c r="AT33" s="428"/>
      <c r="AU33" s="121"/>
      <c r="AV33" s="121"/>
      <c r="AW33" s="428"/>
    </row>
    <row r="34" spans="1:49">
      <c r="A34" s="484"/>
      <c r="B34" s="500"/>
      <c r="C34" s="433"/>
      <c r="D34" s="520"/>
      <c r="E34" s="56"/>
      <c r="F34" s="433"/>
      <c r="G34" s="47"/>
      <c r="H34" s="48" t="s">
        <v>15</v>
      </c>
      <c r="I34" s="75"/>
      <c r="J34" s="76"/>
      <c r="K34" s="76"/>
      <c r="L34" s="75"/>
      <c r="M34" s="75"/>
      <c r="N34" s="75"/>
      <c r="O34" s="75"/>
      <c r="P34" s="75"/>
      <c r="Q34" s="96"/>
      <c r="R34" s="96"/>
      <c r="S34" s="96"/>
      <c r="T34" s="75"/>
      <c r="U34" s="75"/>
      <c r="V34" s="75"/>
      <c r="W34" s="75"/>
      <c r="X34" s="76"/>
      <c r="Y34" s="76"/>
      <c r="Z34" s="75"/>
      <c r="AA34" s="75"/>
      <c r="AB34" s="75"/>
      <c r="AC34" s="75"/>
      <c r="AD34" s="75"/>
      <c r="AE34" s="76"/>
      <c r="AF34" s="76"/>
      <c r="AG34" s="75"/>
      <c r="AH34" s="75"/>
      <c r="AI34" s="75"/>
      <c r="AJ34" s="75"/>
      <c r="AK34" s="111"/>
      <c r="AL34" s="76"/>
      <c r="AM34" s="107"/>
      <c r="AN34" s="108"/>
      <c r="AO34" s="108"/>
      <c r="AP34" s="108"/>
      <c r="AQ34" s="108"/>
      <c r="AR34" s="108"/>
      <c r="AS34" s="108"/>
      <c r="AT34" s="428"/>
      <c r="AU34" s="121"/>
      <c r="AV34" s="121"/>
      <c r="AW34" s="428"/>
    </row>
    <row r="35" spans="1:49">
      <c r="A35" s="484"/>
      <c r="B35" s="500"/>
      <c r="C35" s="433"/>
      <c r="D35" s="520"/>
      <c r="E35" s="56"/>
      <c r="F35" s="433"/>
      <c r="G35" s="45" t="s">
        <v>36</v>
      </c>
      <c r="H35" s="46" t="s">
        <v>19</v>
      </c>
      <c r="I35" s="75">
        <f>$I$41*2</f>
        <v>30600</v>
      </c>
      <c r="J35" s="76"/>
      <c r="K35" s="76"/>
      <c r="L35" s="75">
        <f t="shared" ref="L35:P35" si="0">$I$41*2</f>
        <v>30600</v>
      </c>
      <c r="M35" s="75">
        <f t="shared" si="0"/>
        <v>30600</v>
      </c>
      <c r="N35" s="75">
        <f t="shared" si="0"/>
        <v>30600</v>
      </c>
      <c r="O35" s="75">
        <f t="shared" si="0"/>
        <v>30600</v>
      </c>
      <c r="P35" s="75">
        <f t="shared" si="0"/>
        <v>30600</v>
      </c>
      <c r="Q35" s="96"/>
      <c r="R35" s="96"/>
      <c r="S35" s="96"/>
      <c r="T35" s="75">
        <f t="shared" ref="T35:V35" si="1">$I$41*2</f>
        <v>30600</v>
      </c>
      <c r="U35" s="75">
        <f t="shared" si="1"/>
        <v>30600</v>
      </c>
      <c r="V35" s="75">
        <f t="shared" si="1"/>
        <v>30600</v>
      </c>
      <c r="W35" s="75">
        <f t="shared" ref="W35:Z35" si="2">$I$41*2</f>
        <v>30600</v>
      </c>
      <c r="X35" s="76"/>
      <c r="Y35" s="76"/>
      <c r="Z35" s="75">
        <f t="shared" si="2"/>
        <v>30600</v>
      </c>
      <c r="AA35" s="75">
        <f t="shared" ref="AA35:AD35" si="3">$I$41*2</f>
        <v>30600</v>
      </c>
      <c r="AB35" s="75">
        <f t="shared" si="3"/>
        <v>30600</v>
      </c>
      <c r="AC35" s="75">
        <f t="shared" si="3"/>
        <v>30600</v>
      </c>
      <c r="AD35" s="75">
        <f t="shared" si="3"/>
        <v>30600</v>
      </c>
      <c r="AE35" s="76"/>
      <c r="AF35" s="76"/>
      <c r="AG35" s="75">
        <f t="shared" ref="AG35" si="4">$I$41*2</f>
        <v>30600</v>
      </c>
      <c r="AH35" s="75">
        <f t="shared" ref="AH35:AJ35" si="5">$I$41*2</f>
        <v>30600</v>
      </c>
      <c r="AI35" s="75">
        <f t="shared" si="5"/>
        <v>30600</v>
      </c>
      <c r="AJ35" s="75">
        <f t="shared" si="5"/>
        <v>30600</v>
      </c>
      <c r="AK35" s="111"/>
      <c r="AL35" s="76"/>
      <c r="AM35" s="107"/>
      <c r="AN35" s="108"/>
      <c r="AO35" s="108"/>
      <c r="AP35" s="108"/>
      <c r="AQ35" s="108"/>
      <c r="AR35" s="108"/>
      <c r="AS35" s="108"/>
      <c r="AT35" s="428"/>
      <c r="AU35" s="121"/>
      <c r="AV35" s="121"/>
      <c r="AW35" s="428"/>
    </row>
    <row r="36" spans="1:49">
      <c r="A36" s="484"/>
      <c r="B36" s="500"/>
      <c r="C36" s="433"/>
      <c r="D36" s="520"/>
      <c r="E36" s="56"/>
      <c r="F36" s="433"/>
      <c r="G36" s="51"/>
      <c r="H36" s="46" t="s">
        <v>20</v>
      </c>
      <c r="I36" s="75">
        <v>1</v>
      </c>
      <c r="J36" s="76"/>
      <c r="K36" s="76"/>
      <c r="L36" s="75">
        <v>1</v>
      </c>
      <c r="M36" s="75">
        <v>1</v>
      </c>
      <c r="N36" s="75">
        <v>1</v>
      </c>
      <c r="O36" s="75">
        <v>1</v>
      </c>
      <c r="P36" s="75">
        <v>1</v>
      </c>
      <c r="Q36" s="96"/>
      <c r="R36" s="96"/>
      <c r="S36" s="96"/>
      <c r="T36" s="75">
        <v>1</v>
      </c>
      <c r="U36" s="75">
        <v>1</v>
      </c>
      <c r="V36" s="75">
        <v>1</v>
      </c>
      <c r="W36" s="75">
        <v>1</v>
      </c>
      <c r="X36" s="76"/>
      <c r="Y36" s="76"/>
      <c r="Z36" s="75">
        <v>1</v>
      </c>
      <c r="AA36" s="75">
        <v>1</v>
      </c>
      <c r="AB36" s="75">
        <v>1</v>
      </c>
      <c r="AC36" s="75">
        <v>1</v>
      </c>
      <c r="AD36" s="75">
        <v>1</v>
      </c>
      <c r="AE36" s="76"/>
      <c r="AF36" s="76"/>
      <c r="AG36" s="75">
        <v>1</v>
      </c>
      <c r="AH36" s="75">
        <v>1</v>
      </c>
      <c r="AI36" s="75">
        <v>1</v>
      </c>
      <c r="AJ36" s="75">
        <v>1</v>
      </c>
      <c r="AK36" s="111"/>
      <c r="AL36" s="76"/>
      <c r="AM36" s="107"/>
      <c r="AN36" s="108"/>
      <c r="AO36" s="108"/>
      <c r="AP36" s="108"/>
      <c r="AQ36" s="108"/>
      <c r="AR36" s="108"/>
      <c r="AS36" s="108"/>
      <c r="AT36" s="428"/>
      <c r="AU36" s="121"/>
      <c r="AV36" s="121"/>
      <c r="AW36" s="428"/>
    </row>
    <row r="37" spans="1:49">
      <c r="A37" s="484"/>
      <c r="B37" s="500"/>
      <c r="C37" s="433"/>
      <c r="D37" s="520"/>
      <c r="E37" s="56"/>
      <c r="F37" s="433"/>
      <c r="G37" s="47"/>
      <c r="H37" s="48" t="s">
        <v>15</v>
      </c>
      <c r="I37" s="75"/>
      <c r="J37" s="76"/>
      <c r="K37" s="76"/>
      <c r="L37" s="75"/>
      <c r="M37" s="75"/>
      <c r="N37" s="75"/>
      <c r="O37" s="75"/>
      <c r="P37" s="75"/>
      <c r="Q37" s="96"/>
      <c r="R37" s="96"/>
      <c r="S37" s="96"/>
      <c r="T37" s="75"/>
      <c r="U37" s="75"/>
      <c r="V37" s="75"/>
      <c r="W37" s="75"/>
      <c r="X37" s="76"/>
      <c r="Y37" s="76"/>
      <c r="Z37" s="75"/>
      <c r="AA37" s="75"/>
      <c r="AB37" s="75"/>
      <c r="AC37" s="75"/>
      <c r="AD37" s="75"/>
      <c r="AE37" s="76"/>
      <c r="AF37" s="76"/>
      <c r="AG37" s="75"/>
      <c r="AH37" s="75"/>
      <c r="AI37" s="75"/>
      <c r="AJ37" s="75"/>
      <c r="AK37" s="111"/>
      <c r="AL37" s="76"/>
      <c r="AM37" s="107"/>
      <c r="AN37" s="108"/>
      <c r="AO37" s="108"/>
      <c r="AP37" s="108"/>
      <c r="AQ37" s="108"/>
      <c r="AR37" s="108"/>
      <c r="AS37" s="108"/>
      <c r="AT37" s="428"/>
      <c r="AU37" s="121"/>
      <c r="AV37" s="121"/>
      <c r="AW37" s="428"/>
    </row>
    <row r="38" spans="1:49">
      <c r="A38" s="484"/>
      <c r="B38" s="500"/>
      <c r="C38" s="433"/>
      <c r="D38" s="520"/>
      <c r="E38" s="56"/>
      <c r="F38" s="433"/>
      <c r="G38" s="51" t="s">
        <v>37</v>
      </c>
      <c r="H38" s="46" t="s">
        <v>38</v>
      </c>
      <c r="I38" s="75">
        <f>$I$46*2</f>
        <v>30600</v>
      </c>
      <c r="J38" s="76"/>
      <c r="K38" s="76"/>
      <c r="L38" s="75">
        <f t="shared" ref="L38:P38" si="6">$I$46*2</f>
        <v>30600</v>
      </c>
      <c r="M38" s="75">
        <f t="shared" si="6"/>
        <v>30600</v>
      </c>
      <c r="N38" s="75">
        <f t="shared" si="6"/>
        <v>30600</v>
      </c>
      <c r="O38" s="75">
        <f t="shared" si="6"/>
        <v>30600</v>
      </c>
      <c r="P38" s="75">
        <f t="shared" si="6"/>
        <v>30600</v>
      </c>
      <c r="Q38" s="96"/>
      <c r="R38" s="96"/>
      <c r="S38" s="96"/>
      <c r="T38" s="75">
        <f t="shared" ref="T38:V38" si="7">$I$46*2</f>
        <v>30600</v>
      </c>
      <c r="U38" s="75">
        <f t="shared" si="7"/>
        <v>30600</v>
      </c>
      <c r="V38" s="75">
        <f t="shared" si="7"/>
        <v>30600</v>
      </c>
      <c r="W38" s="75">
        <f t="shared" ref="W38:Z38" si="8">$I$46*2</f>
        <v>30600</v>
      </c>
      <c r="X38" s="76"/>
      <c r="Y38" s="76"/>
      <c r="Z38" s="75">
        <f t="shared" si="8"/>
        <v>30600</v>
      </c>
      <c r="AA38" s="75">
        <f t="shared" ref="AA38:AD38" si="9">$I$46*2</f>
        <v>30600</v>
      </c>
      <c r="AB38" s="75">
        <f t="shared" si="9"/>
        <v>30600</v>
      </c>
      <c r="AC38" s="75">
        <f t="shared" si="9"/>
        <v>30600</v>
      </c>
      <c r="AD38" s="75">
        <f t="shared" si="9"/>
        <v>30600</v>
      </c>
      <c r="AE38" s="76"/>
      <c r="AF38" s="76"/>
      <c r="AG38" s="75">
        <f t="shared" ref="AG38" si="10">$I$46*2</f>
        <v>30600</v>
      </c>
      <c r="AH38" s="75">
        <f t="shared" ref="AH38:AJ38" si="11">$I$46*2</f>
        <v>30600</v>
      </c>
      <c r="AI38" s="75">
        <f t="shared" si="11"/>
        <v>30600</v>
      </c>
      <c r="AJ38" s="75">
        <f t="shared" si="11"/>
        <v>30600</v>
      </c>
      <c r="AK38" s="111"/>
      <c r="AL38" s="76"/>
      <c r="AM38" s="107"/>
      <c r="AN38" s="108"/>
      <c r="AO38" s="108"/>
      <c r="AP38" s="108"/>
      <c r="AQ38" s="108"/>
      <c r="AR38" s="108"/>
      <c r="AS38" s="108"/>
      <c r="AT38" s="428"/>
      <c r="AU38" s="121"/>
      <c r="AV38" s="121"/>
      <c r="AW38" s="428"/>
    </row>
    <row r="39" spans="1:49">
      <c r="A39" s="484"/>
      <c r="B39" s="500"/>
      <c r="C39" s="433"/>
      <c r="D39" s="520"/>
      <c r="E39" s="56"/>
      <c r="F39" s="433"/>
      <c r="G39" s="51"/>
      <c r="H39" s="46" t="s">
        <v>20</v>
      </c>
      <c r="I39" s="75">
        <v>4</v>
      </c>
      <c r="J39" s="76"/>
      <c r="K39" s="76"/>
      <c r="L39" s="75">
        <v>4</v>
      </c>
      <c r="M39" s="75">
        <v>4</v>
      </c>
      <c r="N39" s="75">
        <v>4</v>
      </c>
      <c r="O39" s="75">
        <v>4</v>
      </c>
      <c r="P39" s="75">
        <v>4</v>
      </c>
      <c r="Q39" s="96"/>
      <c r="R39" s="96"/>
      <c r="S39" s="96"/>
      <c r="T39" s="75">
        <v>4</v>
      </c>
      <c r="U39" s="75">
        <v>4</v>
      </c>
      <c r="V39" s="75">
        <v>4</v>
      </c>
      <c r="W39" s="75">
        <v>4</v>
      </c>
      <c r="X39" s="76"/>
      <c r="Y39" s="76"/>
      <c r="Z39" s="75">
        <v>4</v>
      </c>
      <c r="AA39" s="75">
        <v>4</v>
      </c>
      <c r="AB39" s="75">
        <v>4</v>
      </c>
      <c r="AC39" s="75">
        <v>4</v>
      </c>
      <c r="AD39" s="75">
        <v>4</v>
      </c>
      <c r="AE39" s="76"/>
      <c r="AF39" s="76"/>
      <c r="AG39" s="75">
        <v>4</v>
      </c>
      <c r="AH39" s="75">
        <v>4</v>
      </c>
      <c r="AI39" s="75">
        <v>4</v>
      </c>
      <c r="AJ39" s="75">
        <v>4</v>
      </c>
      <c r="AK39" s="111"/>
      <c r="AL39" s="76"/>
      <c r="AM39" s="107"/>
      <c r="AN39" s="108"/>
      <c r="AO39" s="108"/>
      <c r="AP39" s="108"/>
      <c r="AQ39" s="108"/>
      <c r="AR39" s="108"/>
      <c r="AS39" s="108"/>
      <c r="AT39" s="428"/>
      <c r="AU39" s="121"/>
      <c r="AV39" s="121"/>
      <c r="AW39" s="428"/>
    </row>
    <row r="40" spans="1:49">
      <c r="A40" s="484"/>
      <c r="B40" s="500"/>
      <c r="C40" s="433"/>
      <c r="D40" s="520"/>
      <c r="E40" s="56"/>
      <c r="F40" s="433"/>
      <c r="G40" s="47"/>
      <c r="H40" s="48" t="s">
        <v>15</v>
      </c>
      <c r="I40" s="75"/>
      <c r="J40" s="76"/>
      <c r="K40" s="76"/>
      <c r="L40" s="75"/>
      <c r="M40" s="75"/>
      <c r="N40" s="75"/>
      <c r="O40" s="75"/>
      <c r="P40" s="75"/>
      <c r="Q40" s="96"/>
      <c r="R40" s="96"/>
      <c r="S40" s="96"/>
      <c r="T40" s="75"/>
      <c r="U40" s="75"/>
      <c r="V40" s="75"/>
      <c r="W40" s="75"/>
      <c r="X40" s="76"/>
      <c r="Y40" s="76"/>
      <c r="Z40" s="75"/>
      <c r="AA40" s="75"/>
      <c r="AB40" s="75"/>
      <c r="AC40" s="75"/>
      <c r="AD40" s="75"/>
      <c r="AE40" s="76"/>
      <c r="AF40" s="76"/>
      <c r="AG40" s="75"/>
      <c r="AH40" s="75"/>
      <c r="AI40" s="75"/>
      <c r="AJ40" s="75"/>
      <c r="AK40" s="111"/>
      <c r="AL40" s="76"/>
      <c r="AM40" s="107"/>
      <c r="AN40" s="108"/>
      <c r="AO40" s="108"/>
      <c r="AP40" s="108"/>
      <c r="AQ40" s="108"/>
      <c r="AR40" s="108"/>
      <c r="AS40" s="108"/>
      <c r="AT40" s="428"/>
      <c r="AU40" s="121"/>
      <c r="AV40" s="121"/>
      <c r="AW40" s="428"/>
    </row>
    <row r="41" spans="1:49">
      <c r="A41" s="484"/>
      <c r="B41" s="500"/>
      <c r="C41" s="433"/>
      <c r="D41" s="520"/>
      <c r="E41" s="56"/>
      <c r="F41" s="433"/>
      <c r="G41" s="51" t="s">
        <v>23</v>
      </c>
      <c r="H41" s="46" t="s">
        <v>24</v>
      </c>
      <c r="I41" s="75">
        <f>$L$54*$D$29/2</f>
        <v>15300</v>
      </c>
      <c r="J41" s="76"/>
      <c r="K41" s="76"/>
      <c r="L41" s="75">
        <f>$L$54*$D$29/2</f>
        <v>15300</v>
      </c>
      <c r="M41" s="75">
        <f>$L$54*$D$29/2</f>
        <v>15300</v>
      </c>
      <c r="N41" s="75">
        <f>$L$54*$D$29/2</f>
        <v>15300</v>
      </c>
      <c r="O41" s="75">
        <f>$L$54*$D$29/2</f>
        <v>15300</v>
      </c>
      <c r="P41" s="75">
        <f>$L$54*$D$29/2</f>
        <v>15300</v>
      </c>
      <c r="Q41" s="96"/>
      <c r="R41" s="96"/>
      <c r="S41" s="96"/>
      <c r="T41" s="75">
        <f>$L$54*$D$29/2</f>
        <v>15300</v>
      </c>
      <c r="U41" s="75">
        <f>$L$54*$D$29/2</f>
        <v>15300</v>
      </c>
      <c r="V41" s="75">
        <f>$L$54*$D$29/2</f>
        <v>15300</v>
      </c>
      <c r="W41" s="75">
        <f>$L$54*$D$29/2</f>
        <v>15300</v>
      </c>
      <c r="X41" s="76"/>
      <c r="Y41" s="76"/>
      <c r="Z41" s="75">
        <f>$L$54*$D$29/2</f>
        <v>15300</v>
      </c>
      <c r="AA41" s="75">
        <f>$L$54*$D$29/2</f>
        <v>15300</v>
      </c>
      <c r="AB41" s="75">
        <f>$L$54*$D$29/2</f>
        <v>15300</v>
      </c>
      <c r="AC41" s="75">
        <f>$L$54*$D$29/2</f>
        <v>15300</v>
      </c>
      <c r="AD41" s="75">
        <f>$L$54*$D$29/2</f>
        <v>15300</v>
      </c>
      <c r="AE41" s="76"/>
      <c r="AF41" s="76"/>
      <c r="AG41" s="75">
        <f>$L$54*$D$29/2</f>
        <v>15300</v>
      </c>
      <c r="AH41" s="75">
        <f>$L$54*$D$29/2</f>
        <v>15300</v>
      </c>
      <c r="AI41" s="75">
        <f>$L$54*$D$29/2</f>
        <v>15300</v>
      </c>
      <c r="AJ41" s="75">
        <f>$L$54*$D$29/2</f>
        <v>15300</v>
      </c>
      <c r="AK41" s="111"/>
      <c r="AL41" s="76"/>
      <c r="AM41" s="107"/>
      <c r="AN41" s="108"/>
      <c r="AO41" s="108"/>
      <c r="AP41" s="108"/>
      <c r="AQ41" s="108"/>
      <c r="AR41" s="108"/>
      <c r="AS41" s="108"/>
      <c r="AT41" s="428"/>
      <c r="AU41" s="121"/>
      <c r="AV41" s="121"/>
      <c r="AW41" s="428"/>
    </row>
    <row r="42" spans="1:49">
      <c r="A42" s="484"/>
      <c r="B42" s="500"/>
      <c r="C42" s="433"/>
      <c r="D42" s="520"/>
      <c r="E42" s="56"/>
      <c r="F42" s="433"/>
      <c r="G42" s="47"/>
      <c r="H42" s="48" t="s">
        <v>15</v>
      </c>
      <c r="I42" s="75"/>
      <c r="J42" s="76"/>
      <c r="K42" s="76"/>
      <c r="L42" s="75"/>
      <c r="M42" s="75"/>
      <c r="N42" s="75"/>
      <c r="O42" s="75"/>
      <c r="P42" s="75"/>
      <c r="Q42" s="96"/>
      <c r="R42" s="96"/>
      <c r="S42" s="96"/>
      <c r="T42" s="75"/>
      <c r="U42" s="75"/>
      <c r="V42" s="75"/>
      <c r="W42" s="75"/>
      <c r="X42" s="76"/>
      <c r="Y42" s="76"/>
      <c r="Z42" s="75"/>
      <c r="AA42" s="75"/>
      <c r="AB42" s="75"/>
      <c r="AC42" s="75"/>
      <c r="AD42" s="75"/>
      <c r="AE42" s="76"/>
      <c r="AF42" s="76"/>
      <c r="AG42" s="75"/>
      <c r="AH42" s="75"/>
      <c r="AI42" s="75"/>
      <c r="AJ42" s="75"/>
      <c r="AK42" s="111"/>
      <c r="AL42" s="76"/>
      <c r="AM42" s="107"/>
      <c r="AN42" s="108"/>
      <c r="AO42" s="108"/>
      <c r="AP42" s="108"/>
      <c r="AQ42" s="108"/>
      <c r="AR42" s="108"/>
      <c r="AS42" s="108"/>
      <c r="AT42" s="428"/>
      <c r="AU42" s="121"/>
      <c r="AV42" s="121"/>
      <c r="AW42" s="428"/>
    </row>
    <row r="43" spans="1:49">
      <c r="A43" s="484"/>
      <c r="B43" s="500"/>
      <c r="C43" s="433"/>
      <c r="D43" s="520"/>
      <c r="E43" s="56"/>
      <c r="F43" s="433"/>
      <c r="G43" s="51" t="s">
        <v>25</v>
      </c>
      <c r="H43" s="46" t="s">
        <v>26</v>
      </c>
      <c r="I43" s="75">
        <f>$L$54*$D$29/2</f>
        <v>15300</v>
      </c>
      <c r="J43" s="76"/>
      <c r="K43" s="76"/>
      <c r="L43" s="75">
        <f>$L$54*$D$29/2</f>
        <v>15300</v>
      </c>
      <c r="M43" s="75">
        <f>$L$54*$D$29/2</f>
        <v>15300</v>
      </c>
      <c r="N43" s="75">
        <f>$L$54*$D$29/2</f>
        <v>15300</v>
      </c>
      <c r="O43" s="75">
        <f>$L$54*$D$29/2</f>
        <v>15300</v>
      </c>
      <c r="P43" s="75">
        <f>$L$54*$D$29/2</f>
        <v>15300</v>
      </c>
      <c r="Q43" s="96"/>
      <c r="R43" s="96"/>
      <c r="S43" s="96"/>
      <c r="T43" s="75">
        <f>$L$54*$D$29/2</f>
        <v>15300</v>
      </c>
      <c r="U43" s="75">
        <f>$L$54*$D$29/2</f>
        <v>15300</v>
      </c>
      <c r="V43" s="75">
        <f>$L$54*$D$29/2</f>
        <v>15300</v>
      </c>
      <c r="W43" s="75">
        <f>$L$54*$D$29/2</f>
        <v>15300</v>
      </c>
      <c r="X43" s="76"/>
      <c r="Y43" s="76"/>
      <c r="Z43" s="75">
        <f>$L$54*$D$29/2</f>
        <v>15300</v>
      </c>
      <c r="AA43" s="75">
        <f>$L$54*$D$29/2</f>
        <v>15300</v>
      </c>
      <c r="AB43" s="75">
        <f>$L$54*$D$29/2</f>
        <v>15300</v>
      </c>
      <c r="AC43" s="75">
        <f>$L$54*$D$29/2</f>
        <v>15300</v>
      </c>
      <c r="AD43" s="75">
        <f>$L$54*$D$29/2</f>
        <v>15300</v>
      </c>
      <c r="AE43" s="76"/>
      <c r="AF43" s="76"/>
      <c r="AG43" s="75">
        <f>$L$54*$D$29/2</f>
        <v>15300</v>
      </c>
      <c r="AH43" s="75">
        <f>$L$54*$D$29/2</f>
        <v>15300</v>
      </c>
      <c r="AI43" s="75">
        <f>$L$54*$D$29/2</f>
        <v>15300</v>
      </c>
      <c r="AJ43" s="75">
        <f>$L$54*$D$29/2</f>
        <v>15300</v>
      </c>
      <c r="AK43" s="111"/>
      <c r="AL43" s="76"/>
      <c r="AM43" s="107"/>
      <c r="AN43" s="108"/>
      <c r="AO43" s="108"/>
      <c r="AP43" s="108"/>
      <c r="AQ43" s="108"/>
      <c r="AR43" s="108"/>
      <c r="AS43" s="108"/>
      <c r="AT43" s="428"/>
      <c r="AU43" s="121"/>
      <c r="AV43" s="121"/>
      <c r="AW43" s="428"/>
    </row>
    <row r="44" spans="1:49">
      <c r="A44" s="484"/>
      <c r="B44" s="500"/>
      <c r="C44" s="433"/>
      <c r="D44" s="520"/>
      <c r="E44" s="56"/>
      <c r="F44" s="433"/>
      <c r="G44" s="51"/>
      <c r="H44" s="46" t="s">
        <v>27</v>
      </c>
      <c r="I44" s="75">
        <v>1</v>
      </c>
      <c r="J44" s="76"/>
      <c r="K44" s="76"/>
      <c r="L44" s="75">
        <v>1</v>
      </c>
      <c r="M44" s="75">
        <v>1</v>
      </c>
      <c r="N44" s="75">
        <v>1</v>
      </c>
      <c r="O44" s="75">
        <v>1</v>
      </c>
      <c r="P44" s="75">
        <v>1</v>
      </c>
      <c r="Q44" s="96"/>
      <c r="R44" s="96"/>
      <c r="S44" s="96"/>
      <c r="T44" s="75">
        <v>1</v>
      </c>
      <c r="U44" s="75">
        <v>1</v>
      </c>
      <c r="V44" s="75">
        <v>1</v>
      </c>
      <c r="W44" s="75">
        <v>1</v>
      </c>
      <c r="X44" s="76"/>
      <c r="Y44" s="76"/>
      <c r="Z44" s="75">
        <v>1</v>
      </c>
      <c r="AA44" s="75">
        <v>1</v>
      </c>
      <c r="AB44" s="75">
        <v>1</v>
      </c>
      <c r="AC44" s="75">
        <v>1</v>
      </c>
      <c r="AD44" s="75">
        <v>1</v>
      </c>
      <c r="AE44" s="76"/>
      <c r="AF44" s="76"/>
      <c r="AG44" s="75">
        <v>1</v>
      </c>
      <c r="AH44" s="75">
        <v>1</v>
      </c>
      <c r="AI44" s="75">
        <v>1</v>
      </c>
      <c r="AJ44" s="75">
        <v>1</v>
      </c>
      <c r="AK44" s="111"/>
      <c r="AL44" s="76"/>
      <c r="AM44" s="107"/>
      <c r="AN44" s="108"/>
      <c r="AO44" s="108"/>
      <c r="AP44" s="108"/>
      <c r="AQ44" s="108"/>
      <c r="AR44" s="108"/>
      <c r="AS44" s="108"/>
      <c r="AT44" s="428"/>
      <c r="AU44" s="121"/>
      <c r="AV44" s="121"/>
      <c r="AW44" s="428"/>
    </row>
    <row r="45" spans="1:49">
      <c r="A45" s="484"/>
      <c r="B45" s="500"/>
      <c r="C45" s="433"/>
      <c r="D45" s="520"/>
      <c r="E45" s="56"/>
      <c r="F45" s="433"/>
      <c r="G45" s="59"/>
      <c r="H45" s="48" t="s">
        <v>15</v>
      </c>
      <c r="I45" s="75"/>
      <c r="J45" s="76"/>
      <c r="K45" s="76"/>
      <c r="L45" s="75"/>
      <c r="M45" s="75"/>
      <c r="N45" s="75"/>
      <c r="O45" s="75"/>
      <c r="P45" s="75"/>
      <c r="Q45" s="96"/>
      <c r="R45" s="96"/>
      <c r="S45" s="96"/>
      <c r="T45" s="75"/>
      <c r="U45" s="75"/>
      <c r="V45" s="75"/>
      <c r="W45" s="75"/>
      <c r="X45" s="76"/>
      <c r="Y45" s="76"/>
      <c r="Z45" s="75"/>
      <c r="AA45" s="75"/>
      <c r="AB45" s="75"/>
      <c r="AC45" s="75"/>
      <c r="AD45" s="75"/>
      <c r="AE45" s="76"/>
      <c r="AF45" s="76"/>
      <c r="AG45" s="75"/>
      <c r="AH45" s="75"/>
      <c r="AI45" s="75"/>
      <c r="AJ45" s="75"/>
      <c r="AK45" s="111"/>
      <c r="AL45" s="76"/>
      <c r="AM45" s="107"/>
      <c r="AN45" s="108"/>
      <c r="AO45" s="108"/>
      <c r="AP45" s="108"/>
      <c r="AQ45" s="108"/>
      <c r="AR45" s="108"/>
      <c r="AS45" s="108"/>
      <c r="AT45" s="428"/>
      <c r="AU45" s="121"/>
      <c r="AV45" s="121"/>
      <c r="AW45" s="428"/>
    </row>
    <row r="46" spans="1:49">
      <c r="A46" s="484"/>
      <c r="B46" s="500"/>
      <c r="C46" s="433"/>
      <c r="D46" s="520"/>
      <c r="E46" s="56"/>
      <c r="F46" s="433"/>
      <c r="G46" s="51" t="s">
        <v>28</v>
      </c>
      <c r="H46" s="46" t="s">
        <v>29</v>
      </c>
      <c r="I46" s="75">
        <f>$L$54*$D$29/2</f>
        <v>15300</v>
      </c>
      <c r="J46" s="76"/>
      <c r="K46" s="76"/>
      <c r="L46" s="75">
        <f>$L$54*$D$29/2</f>
        <v>15300</v>
      </c>
      <c r="M46" s="75">
        <f>$L$54*$D$29/2</f>
        <v>15300</v>
      </c>
      <c r="N46" s="75">
        <f>$L$54*$D$29/2</f>
        <v>15300</v>
      </c>
      <c r="O46" s="75">
        <f>$L$54*$D$29/2</f>
        <v>15300</v>
      </c>
      <c r="P46" s="75">
        <f>$L$54*$D$29/2</f>
        <v>15300</v>
      </c>
      <c r="Q46" s="96"/>
      <c r="R46" s="96"/>
      <c r="S46" s="96"/>
      <c r="T46" s="75">
        <f>$L$54*$D$29/2</f>
        <v>15300</v>
      </c>
      <c r="U46" s="75">
        <f>$L$54*$D$29/2</f>
        <v>15300</v>
      </c>
      <c r="V46" s="75">
        <f>$L$54*$D$29/2</f>
        <v>15300</v>
      </c>
      <c r="W46" s="75">
        <f>$L$54*$D$29/2</f>
        <v>15300</v>
      </c>
      <c r="X46" s="76"/>
      <c r="Y46" s="76"/>
      <c r="Z46" s="75">
        <f>$L$54*$D$29/2</f>
        <v>15300</v>
      </c>
      <c r="AA46" s="75">
        <f>$L$54*$D$29/2</f>
        <v>15300</v>
      </c>
      <c r="AB46" s="75">
        <f>$L$54*$D$29/2</f>
        <v>15300</v>
      </c>
      <c r="AC46" s="75">
        <f>$L$54*$D$29/2</f>
        <v>15300</v>
      </c>
      <c r="AD46" s="75">
        <f>$L$54*$D$29/2</f>
        <v>15300</v>
      </c>
      <c r="AE46" s="76"/>
      <c r="AF46" s="76"/>
      <c r="AG46" s="75">
        <f>$L$54*$D$29/2</f>
        <v>15300</v>
      </c>
      <c r="AH46" s="75">
        <f>$L$54*$D$29/2</f>
        <v>15300</v>
      </c>
      <c r="AI46" s="75">
        <f>$L$54*$D$29/2</f>
        <v>15300</v>
      </c>
      <c r="AJ46" s="75">
        <f>$L$54*$D$29/2</f>
        <v>15300</v>
      </c>
      <c r="AK46" s="111"/>
      <c r="AL46" s="76"/>
      <c r="AM46" s="107"/>
      <c r="AN46" s="108"/>
      <c r="AO46" s="108"/>
      <c r="AP46" s="108"/>
      <c r="AQ46" s="108"/>
      <c r="AR46" s="108"/>
      <c r="AS46" s="108"/>
      <c r="AT46" s="428"/>
      <c r="AU46" s="121"/>
      <c r="AV46" s="121"/>
      <c r="AW46" s="428"/>
    </row>
    <row r="47" spans="1:49">
      <c r="A47" s="484"/>
      <c r="B47" s="500"/>
      <c r="C47" s="433"/>
      <c r="D47" s="520"/>
      <c r="E47" s="56"/>
      <c r="F47" s="433"/>
      <c r="G47" s="47"/>
      <c r="H47" s="48" t="s">
        <v>15</v>
      </c>
      <c r="I47" s="75"/>
      <c r="J47" s="76"/>
      <c r="K47" s="76"/>
      <c r="L47" s="75"/>
      <c r="M47" s="75"/>
      <c r="N47" s="75"/>
      <c r="O47" s="75"/>
      <c r="P47" s="75"/>
      <c r="Q47" s="96"/>
      <c r="R47" s="96"/>
      <c r="S47" s="96"/>
      <c r="T47" s="75"/>
      <c r="U47" s="75"/>
      <c r="V47" s="75"/>
      <c r="W47" s="75"/>
      <c r="X47" s="76"/>
      <c r="Y47" s="76"/>
      <c r="Z47" s="75"/>
      <c r="AA47" s="75"/>
      <c r="AB47" s="75"/>
      <c r="AC47" s="75"/>
      <c r="AD47" s="75"/>
      <c r="AE47" s="76"/>
      <c r="AF47" s="76"/>
      <c r="AG47" s="75"/>
      <c r="AH47" s="75"/>
      <c r="AI47" s="75"/>
      <c r="AJ47" s="75"/>
      <c r="AK47" s="111"/>
      <c r="AL47" s="76"/>
      <c r="AM47" s="107"/>
      <c r="AN47" s="108"/>
      <c r="AO47" s="108"/>
      <c r="AP47" s="108"/>
      <c r="AQ47" s="108"/>
      <c r="AR47" s="108"/>
      <c r="AS47" s="108"/>
      <c r="AT47" s="428"/>
      <c r="AU47" s="121"/>
      <c r="AV47" s="121"/>
      <c r="AW47" s="428"/>
    </row>
    <row r="48" spans="1:49">
      <c r="A48" s="484"/>
      <c r="B48" s="500"/>
      <c r="C48" s="433"/>
      <c r="D48" s="520"/>
      <c r="E48" s="56"/>
      <c r="F48" s="433"/>
      <c r="G48" s="51" t="s">
        <v>39</v>
      </c>
      <c r="H48" s="46" t="s">
        <v>40</v>
      </c>
      <c r="I48" s="75">
        <f>$L$54*$D$29/2</f>
        <v>15300</v>
      </c>
      <c r="J48" s="76"/>
      <c r="K48" s="76"/>
      <c r="L48" s="75">
        <f>$L$54*$D$29/2</f>
        <v>15300</v>
      </c>
      <c r="M48" s="75">
        <f>$L$54*$D$29/2</f>
        <v>15300</v>
      </c>
      <c r="N48" s="75">
        <f>$L$54*$D$29/2</f>
        <v>15300</v>
      </c>
      <c r="O48" s="75">
        <f>$L$54*$D$29/2</f>
        <v>15300</v>
      </c>
      <c r="P48" s="75">
        <f>$L$54*$D$29/2</f>
        <v>15300</v>
      </c>
      <c r="Q48" s="96"/>
      <c r="R48" s="96"/>
      <c r="S48" s="96"/>
      <c r="T48" s="75">
        <f>$L$54*$D$29/2</f>
        <v>15300</v>
      </c>
      <c r="U48" s="75">
        <f>$L$54*$D$29/2</f>
        <v>15300</v>
      </c>
      <c r="V48" s="75">
        <f>$L$54*$D$29/2</f>
        <v>15300</v>
      </c>
      <c r="W48" s="75">
        <f>$L$54*$D$29/2</f>
        <v>15300</v>
      </c>
      <c r="X48" s="76"/>
      <c r="Y48" s="76"/>
      <c r="Z48" s="75">
        <f>$L$54*$D$29/2</f>
        <v>15300</v>
      </c>
      <c r="AA48" s="75">
        <f>$L$54*$D$29/2</f>
        <v>15300</v>
      </c>
      <c r="AB48" s="75">
        <f>$L$54*$D$29/2</f>
        <v>15300</v>
      </c>
      <c r="AC48" s="75">
        <f>$L$54*$D$29/2</f>
        <v>15300</v>
      </c>
      <c r="AD48" s="75">
        <f>$L$54*$D$29/2</f>
        <v>15300</v>
      </c>
      <c r="AE48" s="76"/>
      <c r="AF48" s="76"/>
      <c r="AG48" s="75">
        <f>$L$54*$D$29/2</f>
        <v>15300</v>
      </c>
      <c r="AH48" s="75">
        <f>$L$54*$D$29/2</f>
        <v>15300</v>
      </c>
      <c r="AI48" s="75">
        <f>$L$54*$D$29/2</f>
        <v>15300</v>
      </c>
      <c r="AJ48" s="75">
        <f>$L$54*$D$29/2</f>
        <v>15300</v>
      </c>
      <c r="AK48" s="111"/>
      <c r="AL48" s="76"/>
      <c r="AM48" s="107"/>
      <c r="AN48" s="108"/>
      <c r="AO48" s="108"/>
      <c r="AP48" s="108"/>
      <c r="AQ48" s="108"/>
      <c r="AR48" s="108"/>
      <c r="AS48" s="108"/>
      <c r="AT48" s="428"/>
      <c r="AU48" s="121"/>
      <c r="AV48" s="121"/>
      <c r="AW48" s="428"/>
    </row>
    <row r="49" spans="1:49">
      <c r="A49" s="484"/>
      <c r="B49" s="500"/>
      <c r="C49" s="433"/>
      <c r="D49" s="520"/>
      <c r="E49" s="56"/>
      <c r="F49" s="433"/>
      <c r="G49" s="51"/>
      <c r="H49" s="46" t="s">
        <v>27</v>
      </c>
      <c r="I49" s="75">
        <v>1</v>
      </c>
      <c r="J49" s="76"/>
      <c r="K49" s="76"/>
      <c r="L49" s="75">
        <v>1</v>
      </c>
      <c r="M49" s="75">
        <v>1</v>
      </c>
      <c r="N49" s="75">
        <v>1</v>
      </c>
      <c r="O49" s="75">
        <v>1</v>
      </c>
      <c r="P49" s="75">
        <v>1</v>
      </c>
      <c r="Q49" s="96"/>
      <c r="R49" s="96"/>
      <c r="S49" s="96"/>
      <c r="T49" s="75">
        <v>1</v>
      </c>
      <c r="U49" s="75">
        <v>1</v>
      </c>
      <c r="V49" s="75">
        <v>1</v>
      </c>
      <c r="W49" s="75">
        <v>1</v>
      </c>
      <c r="X49" s="76"/>
      <c r="Y49" s="76"/>
      <c r="Z49" s="75">
        <v>1</v>
      </c>
      <c r="AA49" s="75">
        <v>1</v>
      </c>
      <c r="AB49" s="75">
        <v>1</v>
      </c>
      <c r="AC49" s="75">
        <v>1</v>
      </c>
      <c r="AD49" s="75">
        <v>1</v>
      </c>
      <c r="AE49" s="76"/>
      <c r="AF49" s="76"/>
      <c r="AG49" s="75">
        <v>1</v>
      </c>
      <c r="AH49" s="75">
        <v>1</v>
      </c>
      <c r="AI49" s="75">
        <v>1</v>
      </c>
      <c r="AJ49" s="75">
        <v>1</v>
      </c>
      <c r="AK49" s="111"/>
      <c r="AL49" s="76"/>
      <c r="AM49" s="107"/>
      <c r="AN49" s="117"/>
      <c r="AO49" s="117"/>
      <c r="AP49" s="117"/>
      <c r="AQ49" s="428"/>
      <c r="AR49" s="123"/>
      <c r="AS49" s="123"/>
      <c r="AT49" s="428"/>
      <c r="AU49" s="121"/>
      <c r="AV49" s="121"/>
      <c r="AW49" s="428"/>
    </row>
    <row r="50" spans="1:49">
      <c r="A50" s="484"/>
      <c r="B50" s="500"/>
      <c r="C50" s="433"/>
      <c r="D50" s="520"/>
      <c r="E50" s="56"/>
      <c r="F50" s="433"/>
      <c r="G50" s="47"/>
      <c r="H50" s="48" t="s">
        <v>15</v>
      </c>
      <c r="I50" s="75"/>
      <c r="J50" s="76"/>
      <c r="K50" s="76"/>
      <c r="L50" s="75"/>
      <c r="M50" s="75"/>
      <c r="N50" s="75"/>
      <c r="O50" s="75"/>
      <c r="P50" s="75"/>
      <c r="Q50" s="96"/>
      <c r="R50" s="96"/>
      <c r="S50" s="96"/>
      <c r="T50" s="75"/>
      <c r="U50" s="75"/>
      <c r="V50" s="75"/>
      <c r="W50" s="75"/>
      <c r="X50" s="76"/>
      <c r="Y50" s="76"/>
      <c r="Z50" s="75"/>
      <c r="AA50" s="75"/>
      <c r="AB50" s="75"/>
      <c r="AC50" s="75"/>
      <c r="AD50" s="75"/>
      <c r="AE50" s="76"/>
      <c r="AF50" s="76"/>
      <c r="AG50" s="75"/>
      <c r="AH50" s="75"/>
      <c r="AI50" s="75"/>
      <c r="AJ50" s="75"/>
      <c r="AK50" s="111"/>
      <c r="AL50" s="76"/>
      <c r="AM50" s="107"/>
      <c r="AN50" s="117"/>
      <c r="AO50" s="117"/>
      <c r="AP50" s="117"/>
      <c r="AQ50" s="428"/>
      <c r="AR50" s="123"/>
      <c r="AS50" s="123"/>
      <c r="AT50" s="428"/>
      <c r="AU50" s="121"/>
      <c r="AV50" s="121"/>
      <c r="AW50" s="428"/>
    </row>
    <row r="51" spans="1:49">
      <c r="A51" s="484"/>
      <c r="B51" s="500"/>
      <c r="C51" s="433"/>
      <c r="D51" s="520"/>
      <c r="E51" s="56"/>
      <c r="F51" s="433"/>
      <c r="G51" s="51"/>
      <c r="H51" s="46" t="s">
        <v>30</v>
      </c>
      <c r="I51" s="75">
        <f>$L$54*$D$29/2</f>
        <v>15300</v>
      </c>
      <c r="J51" s="76"/>
      <c r="K51" s="76"/>
      <c r="L51" s="75">
        <f>$L$54*$D$29/2</f>
        <v>15300</v>
      </c>
      <c r="M51" s="75">
        <f>$L$54*$D$29/2</f>
        <v>15300</v>
      </c>
      <c r="N51" s="75">
        <f>$L$54*$D$29/2</f>
        <v>15300</v>
      </c>
      <c r="O51" s="75">
        <f>$L$54*$D$29/2</f>
        <v>15300</v>
      </c>
      <c r="P51" s="75">
        <f>$L$54*$D$29/2</f>
        <v>15300</v>
      </c>
      <c r="Q51" s="96"/>
      <c r="R51" s="96"/>
      <c r="S51" s="96"/>
      <c r="T51" s="75">
        <f>$L$54*$D$29/2</f>
        <v>15300</v>
      </c>
      <c r="U51" s="75">
        <f>$L$54*$D$29/2</f>
        <v>15300</v>
      </c>
      <c r="V51" s="75">
        <f>$L$54*$D$29/2</f>
        <v>15300</v>
      </c>
      <c r="W51" s="75">
        <f>$L$54*$D$29/2</f>
        <v>15300</v>
      </c>
      <c r="X51" s="76"/>
      <c r="Y51" s="76"/>
      <c r="Z51" s="75">
        <f>$L$54*$D$29/2</f>
        <v>15300</v>
      </c>
      <c r="AA51" s="75">
        <f>$L$54*$D$29/2</f>
        <v>15300</v>
      </c>
      <c r="AB51" s="75">
        <f>$L$54*$D$29/2</f>
        <v>15300</v>
      </c>
      <c r="AC51" s="75">
        <f>$L$54*$D$29/2</f>
        <v>15300</v>
      </c>
      <c r="AD51" s="75">
        <f>$L$54*$D$29/2</f>
        <v>15300</v>
      </c>
      <c r="AE51" s="76"/>
      <c r="AF51" s="76"/>
      <c r="AG51" s="75">
        <f>$L$54*$D$29/2</f>
        <v>15300</v>
      </c>
      <c r="AH51" s="75">
        <f>$L$54*$D$29/2</f>
        <v>15300</v>
      </c>
      <c r="AI51" s="75">
        <f>$L$54*$D$29/2</f>
        <v>15300</v>
      </c>
      <c r="AJ51" s="75">
        <f>$L$54*$D$29/2</f>
        <v>15300</v>
      </c>
      <c r="AK51" s="111"/>
      <c r="AL51" s="76"/>
      <c r="AM51" s="107"/>
      <c r="AN51" s="117"/>
      <c r="AO51" s="117"/>
      <c r="AP51" s="117"/>
      <c r="AQ51" s="428"/>
      <c r="AR51" s="123"/>
      <c r="AS51" s="123"/>
      <c r="AT51" s="428"/>
      <c r="AU51" s="121"/>
      <c r="AV51" s="121"/>
      <c r="AW51" s="428"/>
    </row>
    <row r="52" spans="1:49">
      <c r="A52" s="484"/>
      <c r="B52" s="500"/>
      <c r="C52" s="433"/>
      <c r="D52" s="520"/>
      <c r="E52" s="56"/>
      <c r="F52" s="433"/>
      <c r="G52" s="51"/>
      <c r="H52" s="46" t="s">
        <v>31</v>
      </c>
      <c r="I52" s="75">
        <v>1</v>
      </c>
      <c r="J52" s="76"/>
      <c r="K52" s="76"/>
      <c r="L52" s="75">
        <v>1</v>
      </c>
      <c r="M52" s="75">
        <v>1</v>
      </c>
      <c r="N52" s="75">
        <v>1</v>
      </c>
      <c r="O52" s="75">
        <v>1</v>
      </c>
      <c r="P52" s="75">
        <v>1</v>
      </c>
      <c r="Q52" s="96"/>
      <c r="R52" s="96"/>
      <c r="S52" s="96"/>
      <c r="T52" s="75">
        <v>1</v>
      </c>
      <c r="U52" s="75">
        <v>1</v>
      </c>
      <c r="V52" s="75">
        <v>1</v>
      </c>
      <c r="W52" s="75">
        <v>1</v>
      </c>
      <c r="X52" s="76"/>
      <c r="Y52" s="76"/>
      <c r="Z52" s="75">
        <v>1</v>
      </c>
      <c r="AA52" s="75">
        <v>1</v>
      </c>
      <c r="AB52" s="75">
        <v>1</v>
      </c>
      <c r="AC52" s="75">
        <v>1</v>
      </c>
      <c r="AD52" s="75">
        <v>1</v>
      </c>
      <c r="AE52" s="76"/>
      <c r="AF52" s="76"/>
      <c r="AG52" s="75">
        <v>1</v>
      </c>
      <c r="AH52" s="75">
        <v>1</v>
      </c>
      <c r="AI52" s="75">
        <v>1</v>
      </c>
      <c r="AJ52" s="75">
        <v>1</v>
      </c>
      <c r="AK52" s="111"/>
      <c r="AL52" s="76"/>
      <c r="AM52" s="107"/>
      <c r="AN52" s="117"/>
      <c r="AO52" s="117"/>
      <c r="AP52" s="117"/>
      <c r="AQ52" s="428"/>
      <c r="AR52" s="123"/>
      <c r="AS52" s="123"/>
      <c r="AT52" s="428"/>
      <c r="AU52" s="121"/>
      <c r="AV52" s="121"/>
      <c r="AW52" s="428"/>
    </row>
    <row r="53" spans="1:49">
      <c r="A53" s="484"/>
      <c r="B53" s="500"/>
      <c r="C53" s="433"/>
      <c r="D53" s="520"/>
      <c r="E53" s="56"/>
      <c r="F53" s="433"/>
      <c r="G53" s="47"/>
      <c r="H53" s="48" t="s">
        <v>15</v>
      </c>
      <c r="I53" s="75"/>
      <c r="J53" s="76"/>
      <c r="K53" s="76"/>
      <c r="L53" s="75"/>
      <c r="M53" s="82"/>
      <c r="O53" s="75"/>
      <c r="P53" s="75"/>
      <c r="Q53" s="96"/>
      <c r="R53" s="96"/>
      <c r="S53" s="96"/>
      <c r="T53" s="75"/>
      <c r="U53" s="75"/>
      <c r="V53" s="75"/>
      <c r="W53" s="75"/>
      <c r="X53" s="76"/>
      <c r="Y53" s="76"/>
      <c r="Z53" s="75"/>
      <c r="AA53" s="75"/>
      <c r="AB53" s="75"/>
      <c r="AC53" s="75"/>
      <c r="AD53" s="75"/>
      <c r="AE53" s="76"/>
      <c r="AF53" s="76"/>
      <c r="AG53" s="75"/>
      <c r="AH53" s="75"/>
      <c r="AI53" s="75"/>
      <c r="AJ53" s="75"/>
      <c r="AK53" s="111"/>
      <c r="AL53" s="76"/>
      <c r="AM53" s="107"/>
      <c r="AN53" s="117"/>
      <c r="AO53" s="117"/>
      <c r="AP53" s="117"/>
      <c r="AQ53" s="428"/>
      <c r="AR53" s="123"/>
      <c r="AS53" s="123"/>
      <c r="AT53" s="428"/>
      <c r="AU53" s="121"/>
      <c r="AV53" s="121"/>
      <c r="AW53" s="428"/>
    </row>
    <row r="54" spans="1:49">
      <c r="A54" s="484"/>
      <c r="B54" s="500"/>
      <c r="C54" s="433"/>
      <c r="D54" s="520"/>
      <c r="E54" s="56"/>
      <c r="F54" s="433"/>
      <c r="G54" s="51"/>
      <c r="H54" s="46" t="s">
        <v>32</v>
      </c>
      <c r="I54" s="75"/>
      <c r="J54" s="76"/>
      <c r="K54" s="77"/>
      <c r="L54" s="75">
        <f>($C$29*2)</f>
        <v>24000</v>
      </c>
      <c r="M54" s="15"/>
      <c r="N54" s="75">
        <f>($C$29*2)</f>
        <v>24000</v>
      </c>
      <c r="O54" s="75"/>
      <c r="P54" s="75">
        <f>($C$29*2)</f>
        <v>24000</v>
      </c>
      <c r="Q54" s="96"/>
      <c r="R54" s="96"/>
      <c r="S54" s="96"/>
      <c r="T54" s="75"/>
      <c r="U54" s="75">
        <f>($C$29*2)</f>
        <v>24000</v>
      </c>
      <c r="V54" s="75"/>
      <c r="W54" s="75">
        <f>($C$29*2)</f>
        <v>24000</v>
      </c>
      <c r="X54" s="77"/>
      <c r="Y54" s="76"/>
      <c r="Z54" s="75"/>
      <c r="AA54" s="75">
        <f>($C$29*2)</f>
        <v>24000</v>
      </c>
      <c r="AB54" s="75"/>
      <c r="AC54" s="75">
        <f>($C$29*2)</f>
        <v>24000</v>
      </c>
      <c r="AD54" s="75"/>
      <c r="AE54" s="77"/>
      <c r="AF54" s="76"/>
      <c r="AG54" s="75">
        <f>($C$29*2)</f>
        <v>24000</v>
      </c>
      <c r="AH54" s="75"/>
      <c r="AI54" s="75">
        <f>($C$29*2)</f>
        <v>24000</v>
      </c>
      <c r="AJ54" s="75"/>
      <c r="AK54" s="111"/>
      <c r="AL54" s="76"/>
      <c r="AM54" s="107"/>
      <c r="AN54" s="117"/>
      <c r="AO54" s="117"/>
      <c r="AP54" s="117"/>
      <c r="AQ54" s="428"/>
      <c r="AR54" s="123"/>
      <c r="AS54" s="123"/>
      <c r="AT54" s="428"/>
      <c r="AU54" s="121"/>
      <c r="AV54" s="121"/>
      <c r="AW54" s="428"/>
    </row>
    <row r="55" spans="1:49">
      <c r="A55" s="484"/>
      <c r="B55" s="500"/>
      <c r="C55" s="433"/>
      <c r="D55" s="520"/>
      <c r="E55" s="56"/>
      <c r="F55" s="433"/>
      <c r="G55" s="51"/>
      <c r="H55" s="46" t="s">
        <v>33</v>
      </c>
      <c r="I55" s="75"/>
      <c r="J55" s="76"/>
      <c r="K55" s="76"/>
      <c r="L55" s="86">
        <v>1</v>
      </c>
      <c r="M55" s="15"/>
      <c r="N55" s="86">
        <v>1</v>
      </c>
      <c r="O55" s="75"/>
      <c r="P55" s="86">
        <v>1</v>
      </c>
      <c r="Q55" s="96"/>
      <c r="R55" s="96"/>
      <c r="S55" s="96"/>
      <c r="T55" s="86"/>
      <c r="U55" s="86">
        <v>1</v>
      </c>
      <c r="V55" s="75"/>
      <c r="W55" s="86">
        <v>1</v>
      </c>
      <c r="X55" s="77"/>
      <c r="Y55" s="101"/>
      <c r="Z55" s="75"/>
      <c r="AA55" s="86">
        <v>1</v>
      </c>
      <c r="AB55" s="86"/>
      <c r="AC55" s="86">
        <v>1</v>
      </c>
      <c r="AD55" s="86"/>
      <c r="AE55" s="77"/>
      <c r="AF55" s="101"/>
      <c r="AG55" s="86">
        <v>1</v>
      </c>
      <c r="AH55" s="75"/>
      <c r="AI55" s="86">
        <v>1</v>
      </c>
      <c r="AJ55" s="75"/>
      <c r="AK55" s="118"/>
      <c r="AL55" s="76"/>
      <c r="AM55" s="107"/>
      <c r="AN55" s="117"/>
      <c r="AO55" s="117"/>
      <c r="AP55" s="117"/>
      <c r="AQ55" s="428"/>
      <c r="AR55" s="123"/>
      <c r="AS55" s="123"/>
      <c r="AT55" s="428"/>
      <c r="AU55" s="121"/>
      <c r="AV55" s="121"/>
      <c r="AW55" s="428"/>
    </row>
    <row r="56" spans="1:49">
      <c r="A56" s="532"/>
      <c r="B56" s="507"/>
      <c r="C56" s="434"/>
      <c r="D56" s="521"/>
      <c r="E56" s="60"/>
      <c r="F56" s="434"/>
      <c r="G56" s="52"/>
      <c r="H56" s="53" t="s">
        <v>15</v>
      </c>
      <c r="I56" s="87"/>
      <c r="J56" s="88"/>
      <c r="K56" s="79"/>
      <c r="L56" s="87"/>
      <c r="M56" s="87"/>
      <c r="N56" s="87"/>
      <c r="O56" s="87"/>
      <c r="P56" s="87"/>
      <c r="Q56" s="100"/>
      <c r="R56" s="100"/>
      <c r="S56" s="100"/>
      <c r="T56" s="87"/>
      <c r="U56" s="87"/>
      <c r="V56" s="87"/>
      <c r="W56" s="87"/>
      <c r="X56" s="88"/>
      <c r="Y56" s="88"/>
      <c r="Z56" s="87"/>
      <c r="AA56" s="87"/>
      <c r="AB56" s="87"/>
      <c r="AC56" s="87"/>
      <c r="AD56" s="87"/>
      <c r="AE56" s="88"/>
      <c r="AF56" s="88"/>
      <c r="AG56" s="87"/>
      <c r="AH56" s="87"/>
      <c r="AI56" s="87"/>
      <c r="AJ56" s="87"/>
      <c r="AK56" s="119"/>
      <c r="AL56" s="76"/>
      <c r="AM56" s="107"/>
      <c r="AN56" s="117"/>
      <c r="AO56" s="117"/>
      <c r="AP56" s="117"/>
      <c r="AQ56" s="428"/>
      <c r="AR56" s="123"/>
      <c r="AS56" s="123"/>
      <c r="AT56" s="428"/>
      <c r="AU56" s="121"/>
      <c r="AV56" s="121"/>
      <c r="AW56" s="428"/>
    </row>
    <row r="57" spans="1:49" ht="15" customHeight="1">
      <c r="A57" s="494" t="s">
        <v>41</v>
      </c>
      <c r="B57" s="499" t="s">
        <v>42</v>
      </c>
      <c r="C57" s="432">
        <v>2500</v>
      </c>
      <c r="D57" s="522">
        <v>1.59</v>
      </c>
      <c r="E57" s="446"/>
      <c r="F57" s="432" t="s">
        <v>43</v>
      </c>
      <c r="G57" s="62">
        <v>0.08</v>
      </c>
      <c r="H57" s="44" t="s">
        <v>12</v>
      </c>
      <c r="I57" s="80">
        <v>43.82</v>
      </c>
      <c r="J57" s="81"/>
      <c r="K57" s="81"/>
      <c r="L57" s="80">
        <v>43.82</v>
      </c>
      <c r="M57" s="80">
        <v>43.82</v>
      </c>
      <c r="N57" s="80">
        <v>43.82</v>
      </c>
      <c r="O57" s="80">
        <v>43.82</v>
      </c>
      <c r="P57" s="80">
        <v>43.82</v>
      </c>
      <c r="Q57" s="99"/>
      <c r="R57" s="99"/>
      <c r="S57" s="99"/>
      <c r="T57" s="80">
        <v>43.82</v>
      </c>
      <c r="U57" s="80">
        <v>43.82</v>
      </c>
      <c r="V57" s="80">
        <v>43.82</v>
      </c>
      <c r="W57" s="80">
        <v>43.82</v>
      </c>
      <c r="X57" s="81"/>
      <c r="Y57" s="81"/>
      <c r="Z57" s="80">
        <v>43.82</v>
      </c>
      <c r="AA57" s="80">
        <v>43.82</v>
      </c>
      <c r="AB57" s="80">
        <v>43.82</v>
      </c>
      <c r="AC57" s="80">
        <v>43.82</v>
      </c>
      <c r="AD57" s="80">
        <v>43.82</v>
      </c>
      <c r="AE57" s="81"/>
      <c r="AF57" s="81"/>
      <c r="AG57" s="80">
        <v>43.82</v>
      </c>
      <c r="AH57" s="80">
        <v>43.82</v>
      </c>
      <c r="AI57" s="80">
        <v>43.82</v>
      </c>
      <c r="AJ57" s="80">
        <v>43.82</v>
      </c>
      <c r="AK57" s="115"/>
      <c r="AL57" s="76"/>
      <c r="AM57" s="107"/>
      <c r="AN57" s="428"/>
      <c r="AO57" s="428"/>
      <c r="AP57" s="108"/>
      <c r="AQ57" s="108"/>
      <c r="AR57" s="108"/>
      <c r="AS57" s="108"/>
      <c r="AT57" s="428"/>
      <c r="AU57" s="121"/>
      <c r="AV57" s="428"/>
      <c r="AW57" s="428"/>
    </row>
    <row r="58" spans="1:49">
      <c r="A58" s="490"/>
      <c r="B58" s="500"/>
      <c r="C58" s="433"/>
      <c r="D58" s="523"/>
      <c r="E58" s="447"/>
      <c r="F58" s="433"/>
      <c r="G58" s="47"/>
      <c r="H58" s="46" t="s">
        <v>14</v>
      </c>
      <c r="I58" s="75">
        <v>0.5</v>
      </c>
      <c r="J58" s="76"/>
      <c r="K58" s="76"/>
      <c r="L58" s="75">
        <v>0.5</v>
      </c>
      <c r="M58" s="75">
        <v>0.5</v>
      </c>
      <c r="N58" s="75">
        <v>0.5</v>
      </c>
      <c r="O58" s="75">
        <v>0.5</v>
      </c>
      <c r="P58" s="75">
        <v>0.5</v>
      </c>
      <c r="Q58" s="96"/>
      <c r="R58" s="96"/>
      <c r="S58" s="96"/>
      <c r="T58" s="75">
        <v>0.5</v>
      </c>
      <c r="U58" s="75">
        <v>0.5</v>
      </c>
      <c r="V58" s="75">
        <v>0.5</v>
      </c>
      <c r="W58" s="75">
        <v>0.5</v>
      </c>
      <c r="X58" s="76"/>
      <c r="Y58" s="76"/>
      <c r="Z58" s="75">
        <v>0.5</v>
      </c>
      <c r="AA58" s="75">
        <v>0.5</v>
      </c>
      <c r="AB58" s="75">
        <v>0.5</v>
      </c>
      <c r="AC58" s="75">
        <v>0.5</v>
      </c>
      <c r="AD58" s="75">
        <v>0.5</v>
      </c>
      <c r="AE58" s="76"/>
      <c r="AF58" s="76"/>
      <c r="AG58" s="75">
        <v>0.5</v>
      </c>
      <c r="AH58" s="75">
        <v>0.5</v>
      </c>
      <c r="AI58" s="75">
        <v>0.5</v>
      </c>
      <c r="AJ58" s="75">
        <v>0.5</v>
      </c>
      <c r="AK58" s="111"/>
      <c r="AL58" s="76"/>
      <c r="AM58" s="107"/>
      <c r="AN58" s="428"/>
      <c r="AO58" s="428"/>
      <c r="AP58" s="108"/>
      <c r="AQ58" s="108"/>
      <c r="AR58" s="108"/>
      <c r="AS58" s="108"/>
      <c r="AT58" s="428"/>
      <c r="AU58" s="121"/>
      <c r="AV58" s="428"/>
      <c r="AW58" s="428"/>
    </row>
    <row r="59" spans="1:49">
      <c r="A59" s="490"/>
      <c r="B59" s="500"/>
      <c r="C59" s="433"/>
      <c r="D59" s="523"/>
      <c r="E59" s="447"/>
      <c r="F59" s="433"/>
      <c r="G59" s="47"/>
      <c r="H59" s="48" t="s">
        <v>15</v>
      </c>
      <c r="I59" s="82"/>
      <c r="J59" s="76"/>
      <c r="K59" s="76"/>
      <c r="L59" s="75"/>
      <c r="M59" s="75"/>
      <c r="N59" s="75"/>
      <c r="O59" s="75"/>
      <c r="P59" s="75"/>
      <c r="Q59" s="96"/>
      <c r="R59" s="96"/>
      <c r="S59" s="96"/>
      <c r="T59" s="75"/>
      <c r="U59" s="75"/>
      <c r="V59" s="75"/>
      <c r="W59" s="75"/>
      <c r="X59" s="76"/>
      <c r="Y59" s="76"/>
      <c r="Z59" s="75"/>
      <c r="AA59" s="75"/>
      <c r="AB59" s="75"/>
      <c r="AC59" s="75"/>
      <c r="AD59" s="75"/>
      <c r="AE59" s="76"/>
      <c r="AF59" s="76"/>
      <c r="AG59" s="75"/>
      <c r="AH59" s="75"/>
      <c r="AI59" s="75"/>
      <c r="AJ59" s="75"/>
      <c r="AK59" s="111"/>
      <c r="AL59" s="76"/>
      <c r="AM59" s="107"/>
      <c r="AN59" s="117"/>
      <c r="AO59" s="117"/>
      <c r="AP59" s="117"/>
      <c r="AQ59" s="428"/>
      <c r="AR59" s="123"/>
      <c r="AS59" s="123"/>
      <c r="AT59" s="428"/>
      <c r="AU59" s="121"/>
      <c r="AV59" s="428"/>
      <c r="AW59" s="428"/>
    </row>
    <row r="60" spans="1:49">
      <c r="A60" s="490"/>
      <c r="B60" s="500"/>
      <c r="C60" s="433"/>
      <c r="D60" s="523"/>
      <c r="E60" s="447"/>
      <c r="F60" s="433"/>
      <c r="G60" s="50" t="s">
        <v>16</v>
      </c>
      <c r="H60" s="49" t="s">
        <v>17</v>
      </c>
      <c r="I60" s="84">
        <v>43.82</v>
      </c>
      <c r="J60" s="85"/>
      <c r="K60" s="85"/>
      <c r="L60" s="84">
        <v>43.82</v>
      </c>
      <c r="M60" s="84">
        <v>43.82</v>
      </c>
      <c r="N60" s="84">
        <v>43.82</v>
      </c>
      <c r="O60" s="84">
        <v>43.82</v>
      </c>
      <c r="P60" s="84">
        <v>43.82</v>
      </c>
      <c r="Q60" s="96"/>
      <c r="R60" s="96"/>
      <c r="S60" s="96"/>
      <c r="T60" s="84">
        <v>43.82</v>
      </c>
      <c r="U60" s="84">
        <v>43.82</v>
      </c>
      <c r="V60" s="84">
        <v>43.82</v>
      </c>
      <c r="W60" s="84">
        <v>43.82</v>
      </c>
      <c r="X60" s="85"/>
      <c r="Y60" s="85"/>
      <c r="Z60" s="84">
        <v>43.82</v>
      </c>
      <c r="AA60" s="84">
        <v>43.82</v>
      </c>
      <c r="AB60" s="84">
        <v>43.82</v>
      </c>
      <c r="AC60" s="84">
        <v>43.82</v>
      </c>
      <c r="AD60" s="84">
        <v>43.82</v>
      </c>
      <c r="AE60" s="85"/>
      <c r="AF60" s="85"/>
      <c r="AG60" s="84">
        <v>43.82</v>
      </c>
      <c r="AH60" s="84">
        <v>43.82</v>
      </c>
      <c r="AI60" s="84">
        <v>43.82</v>
      </c>
      <c r="AJ60" s="84">
        <v>43.82</v>
      </c>
      <c r="AK60" s="116"/>
      <c r="AL60" s="76"/>
      <c r="AM60" s="107"/>
      <c r="AN60" s="117"/>
      <c r="AO60" s="117"/>
      <c r="AP60" s="117"/>
      <c r="AQ60" s="428"/>
      <c r="AR60" s="123"/>
      <c r="AS60" s="123"/>
      <c r="AT60" s="428"/>
      <c r="AU60" s="121"/>
      <c r="AV60" s="428"/>
      <c r="AW60" s="428"/>
    </row>
    <row r="61" spans="1:49">
      <c r="A61" s="490"/>
      <c r="B61" s="500"/>
      <c r="C61" s="433"/>
      <c r="D61" s="523"/>
      <c r="E61" s="447"/>
      <c r="F61" s="433"/>
      <c r="G61" s="47"/>
      <c r="H61" s="46" t="s">
        <v>14</v>
      </c>
      <c r="I61" s="75">
        <v>0.2</v>
      </c>
      <c r="J61" s="76"/>
      <c r="K61" s="76"/>
      <c r="L61" s="75">
        <v>0.2</v>
      </c>
      <c r="M61" s="75">
        <v>0.2</v>
      </c>
      <c r="N61" s="75">
        <v>0.2</v>
      </c>
      <c r="O61" s="75">
        <v>0.2</v>
      </c>
      <c r="P61" s="75">
        <v>0.2</v>
      </c>
      <c r="Q61" s="96"/>
      <c r="R61" s="96"/>
      <c r="S61" s="96"/>
      <c r="T61" s="75">
        <v>0.2</v>
      </c>
      <c r="U61" s="75">
        <v>0.2</v>
      </c>
      <c r="V61" s="75">
        <v>0.2</v>
      </c>
      <c r="W61" s="75">
        <v>0.2</v>
      </c>
      <c r="X61" s="76"/>
      <c r="Y61" s="76"/>
      <c r="Z61" s="75">
        <v>0.2</v>
      </c>
      <c r="AA61" s="75">
        <v>0.2</v>
      </c>
      <c r="AB61" s="75">
        <v>0.2</v>
      </c>
      <c r="AC61" s="75">
        <v>0.2</v>
      </c>
      <c r="AD61" s="75">
        <v>0.2</v>
      </c>
      <c r="AE61" s="76"/>
      <c r="AF61" s="76"/>
      <c r="AG61" s="75">
        <v>0.2</v>
      </c>
      <c r="AH61" s="75">
        <v>0.2</v>
      </c>
      <c r="AI61" s="75">
        <v>0.2</v>
      </c>
      <c r="AJ61" s="75">
        <v>0.2</v>
      </c>
      <c r="AK61" s="111"/>
      <c r="AL61" s="76"/>
      <c r="AM61" s="107"/>
      <c r="AN61" s="117"/>
      <c r="AO61" s="117"/>
      <c r="AP61" s="117"/>
      <c r="AQ61" s="428"/>
      <c r="AR61" s="123"/>
      <c r="AS61" s="123"/>
      <c r="AT61" s="428"/>
      <c r="AU61" s="121"/>
      <c r="AV61" s="428"/>
      <c r="AW61" s="428"/>
    </row>
    <row r="62" spans="1:49">
      <c r="A62" s="490"/>
      <c r="B62" s="500"/>
      <c r="C62" s="433"/>
      <c r="D62" s="523"/>
      <c r="E62" s="447"/>
      <c r="F62" s="433"/>
      <c r="G62" s="57"/>
      <c r="H62" s="48" t="s">
        <v>15</v>
      </c>
      <c r="I62" s="75"/>
      <c r="J62" s="76"/>
      <c r="K62" s="76"/>
      <c r="L62" s="75"/>
      <c r="M62" s="75"/>
      <c r="N62" s="75"/>
      <c r="O62" s="75"/>
      <c r="P62" s="75"/>
      <c r="Q62" s="96"/>
      <c r="R62" s="96"/>
      <c r="S62" s="96"/>
      <c r="T62" s="75"/>
      <c r="U62" s="75"/>
      <c r="V62" s="75"/>
      <c r="W62" s="75"/>
      <c r="X62" s="76"/>
      <c r="Y62" s="76"/>
      <c r="Z62" s="75"/>
      <c r="AA62" s="75"/>
      <c r="AB62" s="75"/>
      <c r="AC62" s="75"/>
      <c r="AD62" s="75"/>
      <c r="AE62" s="76"/>
      <c r="AF62" s="76"/>
      <c r="AG62" s="75"/>
      <c r="AH62" s="75"/>
      <c r="AI62" s="75"/>
      <c r="AJ62" s="75"/>
      <c r="AK62" s="111"/>
      <c r="AL62" s="76"/>
      <c r="AM62" s="107"/>
      <c r="AN62" s="117"/>
      <c r="AO62" s="117"/>
      <c r="AP62" s="117"/>
      <c r="AQ62" s="428"/>
      <c r="AR62" s="123"/>
      <c r="AS62" s="123"/>
      <c r="AT62" s="428"/>
      <c r="AU62" s="121"/>
      <c r="AV62" s="428"/>
      <c r="AW62" s="428"/>
    </row>
    <row r="63" spans="1:49">
      <c r="A63" s="490"/>
      <c r="B63" s="500"/>
      <c r="C63" s="433"/>
      <c r="D63" s="523"/>
      <c r="E63" s="447"/>
      <c r="F63" s="433"/>
      <c r="G63" s="47" t="s">
        <v>44</v>
      </c>
      <c r="H63" s="46" t="s">
        <v>45</v>
      </c>
      <c r="I63" s="89">
        <f>$O$83*$D$57/5</f>
        <v>3975</v>
      </c>
      <c r="J63" s="90"/>
      <c r="K63" s="90"/>
      <c r="L63" s="89">
        <f>$O$83*$D$57/5</f>
        <v>3975</v>
      </c>
      <c r="M63" s="89">
        <f>$O$83*$D$57/5</f>
        <v>3975</v>
      </c>
      <c r="N63" s="89">
        <f>$O$83*$D$57/5</f>
        <v>3975</v>
      </c>
      <c r="O63" s="89">
        <f>$O$83*$D$57/5</f>
        <v>3975</v>
      </c>
      <c r="P63" s="89">
        <f>$O$83*$D$57/5</f>
        <v>3975</v>
      </c>
      <c r="Q63" s="96"/>
      <c r="R63" s="96"/>
      <c r="S63" s="96"/>
      <c r="T63" s="89">
        <f>$O$83*$D$57/5</f>
        <v>3975</v>
      </c>
      <c r="U63" s="89">
        <f>$O$83*$D$57/5</f>
        <v>3975</v>
      </c>
      <c r="V63" s="89">
        <f>$O$83*$D$57/5</f>
        <v>3975</v>
      </c>
      <c r="W63" s="89">
        <f>$O$83*$D$57/5</f>
        <v>3975</v>
      </c>
      <c r="X63" s="90"/>
      <c r="Y63" s="90"/>
      <c r="Z63" s="89">
        <f>$O$83*$D$57/5</f>
        <v>3975</v>
      </c>
      <c r="AA63" s="89">
        <f t="shared" ref="AA63:AD63" si="12">$O$83*$D$57/5</f>
        <v>3975</v>
      </c>
      <c r="AB63" s="89">
        <f t="shared" si="12"/>
        <v>3975</v>
      </c>
      <c r="AC63" s="89">
        <f t="shared" si="12"/>
        <v>3975</v>
      </c>
      <c r="AD63" s="89">
        <f t="shared" si="12"/>
        <v>3975</v>
      </c>
      <c r="AE63" s="90"/>
      <c r="AF63" s="90"/>
      <c r="AG63" s="89">
        <f>$O$83*$D$57/5</f>
        <v>3975</v>
      </c>
      <c r="AH63" s="89">
        <f>$O$83*$D$57/5</f>
        <v>3975</v>
      </c>
      <c r="AI63" s="89">
        <f>$O$83*$D$57/5</f>
        <v>3975</v>
      </c>
      <c r="AJ63" s="89">
        <f>$O$83*$D$57/5</f>
        <v>3975</v>
      </c>
      <c r="AK63" s="120"/>
      <c r="AL63" s="76"/>
      <c r="AM63" s="107"/>
      <c r="AN63" s="117"/>
      <c r="AO63" s="117"/>
      <c r="AP63" s="117"/>
      <c r="AQ63" s="428"/>
      <c r="AR63" s="123"/>
      <c r="AS63" s="123"/>
      <c r="AT63" s="428"/>
      <c r="AU63" s="121"/>
      <c r="AV63" s="428"/>
      <c r="AW63" s="428"/>
    </row>
    <row r="64" spans="1:49">
      <c r="A64" s="490"/>
      <c r="B64" s="500"/>
      <c r="C64" s="433"/>
      <c r="D64" s="523"/>
      <c r="E64" s="447"/>
      <c r="F64" s="433"/>
      <c r="G64" s="50"/>
      <c r="H64" s="46" t="s">
        <v>20</v>
      </c>
      <c r="I64" s="75">
        <v>1</v>
      </c>
      <c r="J64" s="76"/>
      <c r="K64" s="76"/>
      <c r="L64" s="75"/>
      <c r="M64" s="75"/>
      <c r="N64" s="75"/>
      <c r="O64" s="75">
        <v>1</v>
      </c>
      <c r="P64" s="75"/>
      <c r="Q64" s="96"/>
      <c r="R64" s="96"/>
      <c r="S64" s="96"/>
      <c r="T64" s="75"/>
      <c r="U64" s="75">
        <v>1</v>
      </c>
      <c r="V64" s="75"/>
      <c r="W64" s="75"/>
      <c r="X64" s="76"/>
      <c r="Y64" s="76"/>
      <c r="Z64" s="75"/>
      <c r="AA64" s="75"/>
      <c r="AB64" s="75">
        <v>1</v>
      </c>
      <c r="AC64" s="75"/>
      <c r="AD64" s="75"/>
      <c r="AE64" s="76"/>
      <c r="AF64" s="76"/>
      <c r="AG64" s="75"/>
      <c r="AH64" s="75">
        <v>1</v>
      </c>
      <c r="AI64" s="75"/>
      <c r="AJ64" s="75"/>
      <c r="AK64" s="111"/>
      <c r="AL64" s="76"/>
      <c r="AM64" s="107"/>
      <c r="AN64" s="117"/>
      <c r="AO64" s="117"/>
      <c r="AP64" s="117"/>
      <c r="AQ64" s="428"/>
      <c r="AR64" s="123"/>
      <c r="AS64" s="123"/>
      <c r="AT64" s="428"/>
      <c r="AU64" s="121"/>
      <c r="AV64" s="428"/>
      <c r="AW64" s="428"/>
    </row>
    <row r="65" spans="1:49">
      <c r="A65" s="490"/>
      <c r="B65" s="500"/>
      <c r="C65" s="433"/>
      <c r="D65" s="523"/>
      <c r="E65" s="447"/>
      <c r="F65" s="433"/>
      <c r="G65" s="47"/>
      <c r="H65" s="48" t="s">
        <v>15</v>
      </c>
      <c r="I65" s="75"/>
      <c r="J65" s="76"/>
      <c r="K65" s="76"/>
      <c r="L65" s="75"/>
      <c r="M65" s="75"/>
      <c r="N65" s="75"/>
      <c r="O65" s="75"/>
      <c r="P65" s="75"/>
      <c r="Q65" s="96"/>
      <c r="R65" s="96"/>
      <c r="S65" s="96"/>
      <c r="T65" s="75"/>
      <c r="U65" s="75"/>
      <c r="V65" s="75"/>
      <c r="W65" s="75"/>
      <c r="X65" s="76"/>
      <c r="Y65" s="76"/>
      <c r="Z65" s="75"/>
      <c r="AA65" s="75"/>
      <c r="AB65" s="75"/>
      <c r="AC65" s="75"/>
      <c r="AD65" s="75"/>
      <c r="AE65" s="76"/>
      <c r="AF65" s="76"/>
      <c r="AG65" s="75"/>
      <c r="AH65" s="75"/>
      <c r="AI65" s="75"/>
      <c r="AJ65" s="75"/>
      <c r="AK65" s="111"/>
      <c r="AL65" s="76"/>
      <c r="AM65" s="107"/>
      <c r="AN65" s="117"/>
      <c r="AO65" s="117"/>
      <c r="AP65" s="117"/>
      <c r="AQ65" s="428"/>
      <c r="AR65" s="123"/>
      <c r="AS65" s="123"/>
      <c r="AT65" s="428"/>
      <c r="AU65" s="121"/>
      <c r="AV65" s="428"/>
      <c r="AW65" s="428"/>
    </row>
    <row r="66" spans="1:49">
      <c r="A66" s="490"/>
      <c r="B66" s="500"/>
      <c r="C66" s="433"/>
      <c r="D66" s="523"/>
      <c r="E66" s="447"/>
      <c r="F66" s="433"/>
      <c r="G66" s="47" t="s">
        <v>37</v>
      </c>
      <c r="H66" s="46" t="s">
        <v>46</v>
      </c>
      <c r="I66" s="75">
        <f>($O$83*$D$57/5)*2</f>
        <v>7950</v>
      </c>
      <c r="J66" s="76"/>
      <c r="K66" s="76"/>
      <c r="L66" s="75">
        <f>($O$83*$D$57/5)*2</f>
        <v>7950</v>
      </c>
      <c r="M66" s="75">
        <f>($O$83*$D$57/5)*2</f>
        <v>7950</v>
      </c>
      <c r="N66" s="75">
        <f>($O$83*$D$57/5)*2</f>
        <v>7950</v>
      </c>
      <c r="O66" s="75">
        <f>($O$83*$D$57/5)*2</f>
        <v>7950</v>
      </c>
      <c r="P66" s="75">
        <f>($O$83*$D$57/5)*2</f>
        <v>7950</v>
      </c>
      <c r="Q66" s="96"/>
      <c r="R66" s="96"/>
      <c r="S66" s="96"/>
      <c r="T66" s="75">
        <f>($O$83*$D$57/5)*2</f>
        <v>7950</v>
      </c>
      <c r="U66" s="75">
        <f>($O$83*$D$57/5)*2</f>
        <v>7950</v>
      </c>
      <c r="V66" s="75">
        <f>($O$83*$D$57/5)*2</f>
        <v>7950</v>
      </c>
      <c r="W66" s="75">
        <f>($O$83*$D$57/5)*2</f>
        <v>7950</v>
      </c>
      <c r="X66" s="76"/>
      <c r="Y66" s="76"/>
      <c r="Z66" s="75">
        <f>($O$83*$D$57/5)*2</f>
        <v>7950</v>
      </c>
      <c r="AA66" s="75">
        <f t="shared" ref="AA66:AD66" si="13">($O$83*$D$57/5)*2</f>
        <v>7950</v>
      </c>
      <c r="AB66" s="75">
        <f t="shared" si="13"/>
        <v>7950</v>
      </c>
      <c r="AC66" s="75">
        <f t="shared" si="13"/>
        <v>7950</v>
      </c>
      <c r="AD66" s="75">
        <f t="shared" si="13"/>
        <v>7950</v>
      </c>
      <c r="AE66" s="76"/>
      <c r="AF66" s="76"/>
      <c r="AG66" s="75">
        <f>($O$83*$D$57/5)*2</f>
        <v>7950</v>
      </c>
      <c r="AH66" s="75">
        <f>($O$83*$D$57/5)*2</f>
        <v>7950</v>
      </c>
      <c r="AI66" s="75">
        <f>($O$83*$D$57/5)*2</f>
        <v>7950</v>
      </c>
      <c r="AJ66" s="75">
        <f>($O$83*$D$57/5)*2</f>
        <v>7950</v>
      </c>
      <c r="AK66" s="111"/>
      <c r="AL66" s="76"/>
      <c r="AM66" s="107"/>
      <c r="AN66" s="117"/>
      <c r="AO66" s="117"/>
      <c r="AP66" s="117"/>
      <c r="AQ66" s="428"/>
      <c r="AR66" s="123"/>
      <c r="AS66" s="123"/>
      <c r="AT66" s="428"/>
      <c r="AU66" s="121"/>
      <c r="AV66" s="428"/>
      <c r="AW66" s="428"/>
    </row>
    <row r="67" spans="1:49">
      <c r="A67" s="490"/>
      <c r="B67" s="500"/>
      <c r="C67" s="433"/>
      <c r="D67" s="523"/>
      <c r="E67" s="447"/>
      <c r="F67" s="433"/>
      <c r="G67" s="47"/>
      <c r="H67" s="46" t="s">
        <v>20</v>
      </c>
      <c r="I67" s="75">
        <v>1</v>
      </c>
      <c r="J67" s="76"/>
      <c r="K67" s="76"/>
      <c r="L67" s="75">
        <v>1</v>
      </c>
      <c r="M67" s="75">
        <v>1</v>
      </c>
      <c r="N67" s="75">
        <v>1</v>
      </c>
      <c r="O67" s="75">
        <v>1</v>
      </c>
      <c r="P67" s="75">
        <v>1</v>
      </c>
      <c r="Q67" s="96"/>
      <c r="R67" s="96"/>
      <c r="S67" s="96"/>
      <c r="T67" s="75">
        <v>1</v>
      </c>
      <c r="U67" s="75">
        <v>1</v>
      </c>
      <c r="V67" s="75">
        <v>1</v>
      </c>
      <c r="W67" s="75">
        <v>1</v>
      </c>
      <c r="X67" s="76"/>
      <c r="Y67" s="76"/>
      <c r="Z67" s="75">
        <v>1</v>
      </c>
      <c r="AA67" s="75">
        <v>1</v>
      </c>
      <c r="AB67" s="75">
        <v>1</v>
      </c>
      <c r="AC67" s="75">
        <v>1</v>
      </c>
      <c r="AD67" s="75">
        <v>1</v>
      </c>
      <c r="AE67" s="76"/>
      <c r="AF67" s="76"/>
      <c r="AG67" s="75">
        <v>1</v>
      </c>
      <c r="AH67" s="75">
        <v>1</v>
      </c>
      <c r="AI67" s="75">
        <v>1</v>
      </c>
      <c r="AJ67" s="75">
        <v>1</v>
      </c>
      <c r="AK67" s="111"/>
      <c r="AL67" s="76"/>
      <c r="AM67" s="107"/>
      <c r="AN67" s="117"/>
      <c r="AO67" s="117"/>
      <c r="AP67" s="117"/>
      <c r="AQ67" s="428"/>
      <c r="AR67" s="123"/>
      <c r="AS67" s="123"/>
      <c r="AT67" s="428"/>
      <c r="AU67" s="121"/>
      <c r="AV67" s="428"/>
      <c r="AW67" s="428"/>
    </row>
    <row r="68" spans="1:49">
      <c r="A68" s="490"/>
      <c r="B68" s="500"/>
      <c r="C68" s="433"/>
      <c r="D68" s="523"/>
      <c r="E68" s="447"/>
      <c r="F68" s="433"/>
      <c r="G68" s="47"/>
      <c r="H68" s="48" t="s">
        <v>15</v>
      </c>
      <c r="I68" s="75"/>
      <c r="J68" s="76"/>
      <c r="K68" s="76"/>
      <c r="L68" s="75"/>
      <c r="M68" s="75"/>
      <c r="N68" s="75"/>
      <c r="O68" s="75"/>
      <c r="P68" s="75"/>
      <c r="Q68" s="96"/>
      <c r="R68" s="96"/>
      <c r="S68" s="96"/>
      <c r="T68" s="75"/>
      <c r="U68" s="75"/>
      <c r="V68" s="75"/>
      <c r="W68" s="75"/>
      <c r="X68" s="76"/>
      <c r="Y68" s="76"/>
      <c r="Z68" s="75"/>
      <c r="AA68" s="75"/>
      <c r="AB68" s="75"/>
      <c r="AC68" s="75"/>
      <c r="AD68" s="75"/>
      <c r="AE68" s="76"/>
      <c r="AF68" s="76"/>
      <c r="AG68" s="75"/>
      <c r="AH68" s="75"/>
      <c r="AI68" s="75"/>
      <c r="AJ68" s="75"/>
      <c r="AK68" s="111"/>
      <c r="AL68" s="76"/>
      <c r="AM68" s="107"/>
      <c r="AN68" s="117"/>
      <c r="AO68" s="117"/>
      <c r="AP68" s="117"/>
      <c r="AQ68" s="428"/>
      <c r="AR68" s="123"/>
      <c r="AS68" s="123"/>
      <c r="AT68" s="428"/>
      <c r="AU68" s="121"/>
      <c r="AV68" s="428"/>
      <c r="AW68" s="428"/>
    </row>
    <row r="69" spans="1:49">
      <c r="A69" s="490"/>
      <c r="B69" s="500"/>
      <c r="C69" s="433"/>
      <c r="D69" s="523"/>
      <c r="E69" s="447"/>
      <c r="F69" s="433"/>
      <c r="G69" s="47" t="s">
        <v>23</v>
      </c>
      <c r="H69" s="46" t="s">
        <v>24</v>
      </c>
      <c r="I69" s="89">
        <f>$O$83*$D$57/5</f>
        <v>3975</v>
      </c>
      <c r="J69" s="90"/>
      <c r="K69" s="90"/>
      <c r="L69" s="89">
        <f>$O$83*$D$57/5</f>
        <v>3975</v>
      </c>
      <c r="M69" s="89">
        <f>$O$83*$D$57/5</f>
        <v>3975</v>
      </c>
      <c r="N69" s="89">
        <f>$O$83*$D$57/5</f>
        <v>3975</v>
      </c>
      <c r="O69" s="89">
        <f>$O$83*$D$57/5</f>
        <v>3975</v>
      </c>
      <c r="P69" s="89">
        <f>$O$83*$D$57/5</f>
        <v>3975</v>
      </c>
      <c r="Q69" s="96"/>
      <c r="R69" s="96"/>
      <c r="S69" s="96"/>
      <c r="T69" s="89">
        <f>$O$83*$D$57/5</f>
        <v>3975</v>
      </c>
      <c r="U69" s="89">
        <f>$O$83*$D$57/5</f>
        <v>3975</v>
      </c>
      <c r="V69" s="89">
        <f>$O$83*$D$57/5</f>
        <v>3975</v>
      </c>
      <c r="W69" s="89">
        <f>$O$83*$D$57/5</f>
        <v>3975</v>
      </c>
      <c r="X69" s="90"/>
      <c r="Y69" s="90"/>
      <c r="Z69" s="89">
        <f>$O$83*$D$57/5</f>
        <v>3975</v>
      </c>
      <c r="AA69" s="89">
        <f t="shared" ref="AA69:AD69" si="14">$O$83*$D$57/5</f>
        <v>3975</v>
      </c>
      <c r="AB69" s="89">
        <f t="shared" si="14"/>
        <v>3975</v>
      </c>
      <c r="AC69" s="89">
        <f t="shared" si="14"/>
        <v>3975</v>
      </c>
      <c r="AD69" s="89">
        <f t="shared" si="14"/>
        <v>3975</v>
      </c>
      <c r="AE69" s="90"/>
      <c r="AF69" s="90"/>
      <c r="AG69" s="89">
        <f>$O$83*$D$57/5</f>
        <v>3975</v>
      </c>
      <c r="AH69" s="89">
        <f>$O$83*$D$57/5</f>
        <v>3975</v>
      </c>
      <c r="AI69" s="89">
        <f>$O$83*$D$57/5</f>
        <v>3975</v>
      </c>
      <c r="AJ69" s="89">
        <f>$O$83*$D$57/5</f>
        <v>3975</v>
      </c>
      <c r="AK69" s="120"/>
      <c r="AL69" s="76"/>
      <c r="AM69" s="107"/>
      <c r="AN69" s="117"/>
      <c r="AO69" s="117"/>
      <c r="AP69" s="117"/>
      <c r="AQ69" s="428"/>
      <c r="AR69" s="123"/>
      <c r="AS69" s="123"/>
      <c r="AT69" s="428"/>
      <c r="AU69" s="121"/>
      <c r="AV69" s="428"/>
      <c r="AW69" s="428"/>
    </row>
    <row r="70" spans="1:49">
      <c r="A70" s="490"/>
      <c r="B70" s="500"/>
      <c r="C70" s="433"/>
      <c r="D70" s="523"/>
      <c r="E70" s="447"/>
      <c r="F70" s="433"/>
      <c r="G70" s="47"/>
      <c r="H70" s="46" t="s">
        <v>27</v>
      </c>
      <c r="I70" s="75">
        <v>1</v>
      </c>
      <c r="J70" s="76"/>
      <c r="K70" s="76"/>
      <c r="L70" s="75">
        <v>1</v>
      </c>
      <c r="M70" s="75">
        <v>1</v>
      </c>
      <c r="N70" s="75"/>
      <c r="O70" s="75"/>
      <c r="P70" s="75">
        <v>1</v>
      </c>
      <c r="Q70" s="96"/>
      <c r="R70" s="96"/>
      <c r="S70" s="96"/>
      <c r="T70" s="75">
        <v>1</v>
      </c>
      <c r="U70" s="75"/>
      <c r="V70" s="75">
        <v>1</v>
      </c>
      <c r="W70" s="75">
        <v>1</v>
      </c>
      <c r="X70" s="76"/>
      <c r="Y70" s="76"/>
      <c r="Z70" s="75">
        <v>1</v>
      </c>
      <c r="AA70" s="75">
        <v>1</v>
      </c>
      <c r="AB70" s="75"/>
      <c r="AC70" s="75">
        <v>1</v>
      </c>
      <c r="AD70" s="75"/>
      <c r="AE70" s="76"/>
      <c r="AF70" s="76"/>
      <c r="AG70" s="75">
        <v>1</v>
      </c>
      <c r="AH70" s="75"/>
      <c r="AI70" s="75">
        <v>1</v>
      </c>
      <c r="AJ70" s="75"/>
      <c r="AK70" s="111"/>
      <c r="AL70" s="76"/>
      <c r="AM70" s="107"/>
      <c r="AN70" s="117"/>
      <c r="AO70" s="117"/>
      <c r="AP70" s="117"/>
      <c r="AQ70" s="428"/>
      <c r="AR70" s="123"/>
      <c r="AS70" s="123"/>
      <c r="AT70" s="428"/>
      <c r="AU70" s="121"/>
      <c r="AV70" s="428"/>
      <c r="AW70" s="428"/>
    </row>
    <row r="71" spans="1:49">
      <c r="A71" s="490"/>
      <c r="B71" s="500"/>
      <c r="C71" s="433"/>
      <c r="D71" s="523"/>
      <c r="E71" s="447"/>
      <c r="F71" s="433"/>
      <c r="G71" s="47"/>
      <c r="H71" s="48" t="s">
        <v>15</v>
      </c>
      <c r="I71" s="75"/>
      <c r="J71" s="76"/>
      <c r="K71" s="76"/>
      <c r="L71" s="75"/>
      <c r="M71" s="75"/>
      <c r="N71" s="75"/>
      <c r="O71" s="75"/>
      <c r="P71" s="75"/>
      <c r="Q71" s="96"/>
      <c r="R71" s="96"/>
      <c r="S71" s="96"/>
      <c r="T71" s="75"/>
      <c r="U71" s="75"/>
      <c r="V71" s="75"/>
      <c r="W71" s="75"/>
      <c r="X71" s="76"/>
      <c r="Y71" s="76"/>
      <c r="Z71" s="75"/>
      <c r="AA71" s="75"/>
      <c r="AB71" s="75"/>
      <c r="AC71" s="75"/>
      <c r="AD71" s="75"/>
      <c r="AE71" s="76"/>
      <c r="AF71" s="76"/>
      <c r="AG71" s="75"/>
      <c r="AH71" s="75"/>
      <c r="AI71" s="75"/>
      <c r="AJ71" s="75"/>
      <c r="AK71" s="111"/>
      <c r="AL71" s="76"/>
      <c r="AM71" s="107"/>
      <c r="AN71" s="117"/>
      <c r="AO71" s="117"/>
      <c r="AP71" s="117"/>
      <c r="AQ71" s="428"/>
      <c r="AR71" s="123"/>
      <c r="AS71" s="123"/>
      <c r="AT71" s="428"/>
      <c r="AU71" s="121"/>
      <c r="AV71" s="428"/>
      <c r="AW71" s="428"/>
    </row>
    <row r="72" spans="1:49">
      <c r="A72" s="490"/>
      <c r="B72" s="500"/>
      <c r="C72" s="433"/>
      <c r="D72" s="523"/>
      <c r="E72" s="447"/>
      <c r="F72" s="433"/>
      <c r="G72" s="47" t="s">
        <v>28</v>
      </c>
      <c r="H72" s="46" t="s">
        <v>29</v>
      </c>
      <c r="I72" s="89">
        <f>$O$83*$D$57/5</f>
        <v>3975</v>
      </c>
      <c r="J72" s="90"/>
      <c r="K72" s="90"/>
      <c r="L72" s="89">
        <f>$O$83*$D$57/5</f>
        <v>3975</v>
      </c>
      <c r="M72" s="89">
        <f>$O$83*$D$57/5</f>
        <v>3975</v>
      </c>
      <c r="N72" s="89">
        <f>$O$83*$D$57/5</f>
        <v>3975</v>
      </c>
      <c r="O72" s="89">
        <f>$O$83*$D$57/5</f>
        <v>3975</v>
      </c>
      <c r="P72" s="89">
        <f>$O$83*$D$57/5</f>
        <v>3975</v>
      </c>
      <c r="Q72" s="96"/>
      <c r="R72" s="96"/>
      <c r="S72" s="96"/>
      <c r="T72" s="89">
        <f>$O$83*$D$57/5</f>
        <v>3975</v>
      </c>
      <c r="U72" s="89">
        <f>$O$83*$D$57/5</f>
        <v>3975</v>
      </c>
      <c r="V72" s="89">
        <f>$O$83*$D$57/5</f>
        <v>3975</v>
      </c>
      <c r="W72" s="89">
        <f>$O$83*$D$57/5</f>
        <v>3975</v>
      </c>
      <c r="X72" s="90"/>
      <c r="Y72" s="90"/>
      <c r="Z72" s="89">
        <f>$O$83*$D$57/5</f>
        <v>3975</v>
      </c>
      <c r="AA72" s="89">
        <f t="shared" ref="AA72:AD72" si="15">$O$83*$D$57/5</f>
        <v>3975</v>
      </c>
      <c r="AB72" s="89">
        <f t="shared" si="15"/>
        <v>3975</v>
      </c>
      <c r="AC72" s="89">
        <f t="shared" si="15"/>
        <v>3975</v>
      </c>
      <c r="AD72" s="89">
        <f t="shared" si="15"/>
        <v>3975</v>
      </c>
      <c r="AE72" s="90"/>
      <c r="AF72" s="90"/>
      <c r="AG72" s="89">
        <f>$O$83*$D$57/5</f>
        <v>3975</v>
      </c>
      <c r="AH72" s="89">
        <f>$O$83*$D$57/5</f>
        <v>3975</v>
      </c>
      <c r="AI72" s="89">
        <f>$O$83*$D$57/5</f>
        <v>3975</v>
      </c>
      <c r="AJ72" s="89">
        <f>$O$83*$D$57/5</f>
        <v>3975</v>
      </c>
      <c r="AK72" s="120"/>
      <c r="AL72" s="76"/>
      <c r="AM72" s="107"/>
      <c r="AN72" s="117"/>
      <c r="AO72" s="117"/>
      <c r="AP72" s="117"/>
      <c r="AQ72" s="428"/>
      <c r="AR72" s="123"/>
      <c r="AS72" s="123"/>
      <c r="AT72" s="428"/>
      <c r="AU72" s="121"/>
      <c r="AV72" s="428"/>
      <c r="AW72" s="428"/>
    </row>
    <row r="73" spans="1:49">
      <c r="A73" s="490"/>
      <c r="B73" s="500"/>
      <c r="C73" s="433"/>
      <c r="D73" s="523"/>
      <c r="E73" s="447"/>
      <c r="F73" s="433"/>
      <c r="G73" s="47"/>
      <c r="H73" s="48" t="s">
        <v>15</v>
      </c>
      <c r="I73" s="89"/>
      <c r="J73" s="90"/>
      <c r="K73" s="90"/>
      <c r="L73" s="89"/>
      <c r="M73" s="89"/>
      <c r="N73" s="89"/>
      <c r="O73" s="89"/>
      <c r="P73" s="89"/>
      <c r="Q73" s="96"/>
      <c r="R73" s="96"/>
      <c r="S73" s="96"/>
      <c r="T73" s="89"/>
      <c r="U73" s="89"/>
      <c r="V73" s="89"/>
      <c r="W73" s="89"/>
      <c r="X73" s="90"/>
      <c r="Y73" s="90"/>
      <c r="Z73" s="89"/>
      <c r="AA73" s="89"/>
      <c r="AB73" s="89"/>
      <c r="AC73" s="89"/>
      <c r="AD73" s="89"/>
      <c r="AE73" s="90"/>
      <c r="AF73" s="90"/>
      <c r="AG73" s="89"/>
      <c r="AH73" s="89"/>
      <c r="AI73" s="89"/>
      <c r="AJ73" s="89"/>
      <c r="AK73" s="120"/>
      <c r="AL73" s="76"/>
      <c r="AM73" s="107"/>
      <c r="AN73" s="117"/>
      <c r="AO73" s="117"/>
      <c r="AP73" s="117"/>
      <c r="AQ73" s="428"/>
      <c r="AR73" s="123"/>
      <c r="AS73" s="123"/>
      <c r="AT73" s="428"/>
      <c r="AU73" s="121"/>
      <c r="AV73" s="428"/>
      <c r="AW73" s="428"/>
    </row>
    <row r="74" spans="1:49">
      <c r="A74" s="490"/>
      <c r="B74" s="500"/>
      <c r="C74" s="433"/>
      <c r="D74" s="523"/>
      <c r="E74" s="447"/>
      <c r="F74" s="433"/>
      <c r="G74" s="47" t="s">
        <v>47</v>
      </c>
      <c r="H74" s="46" t="s">
        <v>48</v>
      </c>
      <c r="I74" s="89">
        <f>$O$83*$D$57/5</f>
        <v>3975</v>
      </c>
      <c r="J74" s="90"/>
      <c r="K74" s="90"/>
      <c r="L74" s="89">
        <f>$O$83*$D$57/5</f>
        <v>3975</v>
      </c>
      <c r="M74" s="89">
        <f>$O$83*$D$57/5</f>
        <v>3975</v>
      </c>
      <c r="N74" s="89">
        <f>$O$83*$D$57/5</f>
        <v>3975</v>
      </c>
      <c r="O74" s="89">
        <f>$O$83*$D$57/5</f>
        <v>3975</v>
      </c>
      <c r="P74" s="89">
        <f>$O$83*$D$57/5</f>
        <v>3975</v>
      </c>
      <c r="Q74" s="96"/>
      <c r="R74" s="96"/>
      <c r="S74" s="96"/>
      <c r="T74" s="89">
        <f>$O$83*$D$57/5</f>
        <v>3975</v>
      </c>
      <c r="U74" s="89">
        <f>$O$83*$D$57/5</f>
        <v>3975</v>
      </c>
      <c r="V74" s="89">
        <f>$O$83*$D$57/5</f>
        <v>3975</v>
      </c>
      <c r="W74" s="89">
        <f>$O$83*$D$57/5</f>
        <v>3975</v>
      </c>
      <c r="X74" s="90"/>
      <c r="Y74" s="90"/>
      <c r="Z74" s="89">
        <f>$O$83*$D$57/5</f>
        <v>3975</v>
      </c>
      <c r="AA74" s="89">
        <f t="shared" ref="AA74:AD74" si="16">$O$83*$D$57/5</f>
        <v>3975</v>
      </c>
      <c r="AB74" s="89">
        <f t="shared" si="16"/>
        <v>3975</v>
      </c>
      <c r="AC74" s="89">
        <f t="shared" si="16"/>
        <v>3975</v>
      </c>
      <c r="AD74" s="89">
        <f t="shared" si="16"/>
        <v>3975</v>
      </c>
      <c r="AE74" s="90"/>
      <c r="AF74" s="90"/>
      <c r="AG74" s="89">
        <f>$O$83*$D$57/5</f>
        <v>3975</v>
      </c>
      <c r="AH74" s="89">
        <f>$O$83*$D$57/5</f>
        <v>3975</v>
      </c>
      <c r="AI74" s="89">
        <f>$O$83*$D$57/5</f>
        <v>3975</v>
      </c>
      <c r="AJ74" s="89">
        <f>$O$83*$D$57/5</f>
        <v>3975</v>
      </c>
      <c r="AK74" s="120"/>
      <c r="AL74" s="76"/>
      <c r="AM74" s="107"/>
      <c r="AN74" s="117"/>
      <c r="AO74" s="117"/>
      <c r="AP74" s="117"/>
      <c r="AQ74" s="428"/>
      <c r="AR74" s="123"/>
      <c r="AS74" s="123"/>
      <c r="AT74" s="428"/>
      <c r="AU74" s="121"/>
      <c r="AV74" s="428"/>
      <c r="AW74" s="428"/>
    </row>
    <row r="75" spans="1:49">
      <c r="A75" s="490"/>
      <c r="B75" s="500"/>
      <c r="C75" s="433"/>
      <c r="D75" s="523"/>
      <c r="E75" s="447"/>
      <c r="F75" s="433"/>
      <c r="G75" s="47"/>
      <c r="H75" s="46" t="s">
        <v>27</v>
      </c>
      <c r="I75" s="75">
        <v>1</v>
      </c>
      <c r="J75" s="76"/>
      <c r="K75" s="76"/>
      <c r="L75" s="75">
        <v>1</v>
      </c>
      <c r="M75" s="75">
        <v>1</v>
      </c>
      <c r="N75" s="75"/>
      <c r="O75" s="75"/>
      <c r="P75" s="75">
        <v>1</v>
      </c>
      <c r="Q75" s="96"/>
      <c r="R75" s="96"/>
      <c r="S75" s="96"/>
      <c r="T75" s="75">
        <v>1</v>
      </c>
      <c r="U75" s="75"/>
      <c r="V75" s="75">
        <v>1</v>
      </c>
      <c r="W75" s="75">
        <v>1</v>
      </c>
      <c r="X75" s="76"/>
      <c r="Y75" s="76"/>
      <c r="Z75" s="75">
        <v>1</v>
      </c>
      <c r="AA75" s="75">
        <v>1</v>
      </c>
      <c r="AB75" s="75"/>
      <c r="AC75" s="75">
        <v>1</v>
      </c>
      <c r="AD75" s="75"/>
      <c r="AE75" s="76"/>
      <c r="AF75" s="76"/>
      <c r="AG75" s="75">
        <v>1</v>
      </c>
      <c r="AH75" s="75"/>
      <c r="AI75" s="75">
        <v>1</v>
      </c>
      <c r="AJ75" s="75"/>
      <c r="AK75" s="111"/>
      <c r="AL75" s="76"/>
      <c r="AM75" s="107"/>
      <c r="AN75" s="117"/>
      <c r="AO75" s="117"/>
      <c r="AP75" s="117"/>
      <c r="AQ75" s="428"/>
      <c r="AR75" s="123"/>
      <c r="AS75" s="123"/>
      <c r="AT75" s="428"/>
      <c r="AU75" s="121"/>
      <c r="AV75" s="428"/>
      <c r="AW75" s="428"/>
    </row>
    <row r="76" spans="1:49">
      <c r="A76" s="490"/>
      <c r="B76" s="500"/>
      <c r="C76" s="433"/>
      <c r="D76" s="523"/>
      <c r="E76" s="447"/>
      <c r="F76" s="433"/>
      <c r="G76" s="47"/>
      <c r="H76" s="48" t="s">
        <v>15</v>
      </c>
      <c r="I76" s="75"/>
      <c r="J76" s="76"/>
      <c r="K76" s="76"/>
      <c r="L76" s="75"/>
      <c r="M76" s="75"/>
      <c r="N76" s="75"/>
      <c r="O76" s="75"/>
      <c r="P76" s="75"/>
      <c r="Q76" s="96"/>
      <c r="R76" s="96"/>
      <c r="S76" s="96"/>
      <c r="T76" s="75"/>
      <c r="U76" s="75"/>
      <c r="V76" s="75"/>
      <c r="W76" s="75"/>
      <c r="X76" s="76"/>
      <c r="Y76" s="76"/>
      <c r="Z76" s="75"/>
      <c r="AA76" s="75"/>
      <c r="AB76" s="75"/>
      <c r="AC76" s="75"/>
      <c r="AD76" s="75"/>
      <c r="AE76" s="76"/>
      <c r="AF76" s="76"/>
      <c r="AG76" s="75"/>
      <c r="AH76" s="75"/>
      <c r="AI76" s="75"/>
      <c r="AJ76" s="75"/>
      <c r="AK76" s="111"/>
      <c r="AL76" s="76"/>
      <c r="AM76" s="107"/>
      <c r="AN76" s="117"/>
      <c r="AO76" s="117"/>
      <c r="AP76" s="117"/>
      <c r="AQ76" s="428"/>
      <c r="AR76" s="123"/>
      <c r="AS76" s="123"/>
      <c r="AT76" s="428"/>
      <c r="AU76" s="121"/>
      <c r="AV76" s="428"/>
      <c r="AW76" s="428"/>
    </row>
    <row r="77" spans="1:49">
      <c r="A77" s="490"/>
      <c r="B77" s="500"/>
      <c r="C77" s="433"/>
      <c r="D77" s="523"/>
      <c r="E77" s="447"/>
      <c r="F77" s="433"/>
      <c r="G77" s="47"/>
      <c r="H77" s="46" t="s">
        <v>30</v>
      </c>
      <c r="I77" s="75">
        <f>$O$83*$D$57/5</f>
        <v>3975</v>
      </c>
      <c r="J77" s="76"/>
      <c r="K77" s="76"/>
      <c r="L77" s="75">
        <f>$O$83*$D$57/5</f>
        <v>3975</v>
      </c>
      <c r="M77" s="75">
        <f>$O$83*$D$57/5</f>
        <v>3975</v>
      </c>
      <c r="N77" s="75">
        <f>$O$83*$D$57/5</f>
        <v>3975</v>
      </c>
      <c r="O77" s="75">
        <f>$O$83*$D$57/5</f>
        <v>3975</v>
      </c>
      <c r="P77" s="75">
        <f>$O$83*$D$57/5</f>
        <v>3975</v>
      </c>
      <c r="Q77" s="96"/>
      <c r="R77" s="96"/>
      <c r="S77" s="96"/>
      <c r="T77" s="75">
        <f>$O$83*$D$57/5</f>
        <v>3975</v>
      </c>
      <c r="U77" s="75">
        <f>$O$83*$D$57/5</f>
        <v>3975</v>
      </c>
      <c r="V77" s="75">
        <f>$O$83*$D$57/5</f>
        <v>3975</v>
      </c>
      <c r="W77" s="75">
        <f>$O$83*$D$57/5</f>
        <v>3975</v>
      </c>
      <c r="X77" s="76"/>
      <c r="Y77" s="76"/>
      <c r="Z77" s="75">
        <f>$O$83*$D$57/5</f>
        <v>3975</v>
      </c>
      <c r="AA77" s="75">
        <f t="shared" ref="AA77:AD77" si="17">$O$83*$D$57/5</f>
        <v>3975</v>
      </c>
      <c r="AB77" s="75">
        <f t="shared" si="17"/>
        <v>3975</v>
      </c>
      <c r="AC77" s="75">
        <f t="shared" si="17"/>
        <v>3975</v>
      </c>
      <c r="AD77" s="75">
        <f t="shared" si="17"/>
        <v>3975</v>
      </c>
      <c r="AE77" s="76"/>
      <c r="AF77" s="76"/>
      <c r="AG77" s="75">
        <f>$O$83*$D$57/5</f>
        <v>3975</v>
      </c>
      <c r="AH77" s="75">
        <f>$O$83*$D$57/5</f>
        <v>3975</v>
      </c>
      <c r="AI77" s="75">
        <f>$O$83*$D$57/5</f>
        <v>3975</v>
      </c>
      <c r="AJ77" s="75">
        <f>$O$83*$D$57/5</f>
        <v>3975</v>
      </c>
      <c r="AK77" s="111"/>
      <c r="AL77" s="76"/>
      <c r="AM77" s="107"/>
      <c r="AN77" s="117"/>
      <c r="AO77" s="117"/>
      <c r="AP77" s="117"/>
      <c r="AQ77" s="428"/>
      <c r="AR77" s="123"/>
      <c r="AS77" s="123"/>
      <c r="AT77" s="428"/>
      <c r="AU77" s="121"/>
      <c r="AV77" s="428"/>
      <c r="AW77" s="428"/>
    </row>
    <row r="78" spans="1:49">
      <c r="A78" s="490"/>
      <c r="B78" s="500"/>
      <c r="C78" s="433"/>
      <c r="D78" s="523"/>
      <c r="E78" s="447"/>
      <c r="F78" s="433"/>
      <c r="G78" s="47"/>
      <c r="H78" s="46" t="s">
        <v>31</v>
      </c>
      <c r="I78" s="75">
        <v>1</v>
      </c>
      <c r="J78" s="76"/>
      <c r="K78" s="76"/>
      <c r="L78" s="75">
        <v>1</v>
      </c>
      <c r="M78" s="75">
        <v>1</v>
      </c>
      <c r="N78" s="75">
        <v>1</v>
      </c>
      <c r="O78" s="75"/>
      <c r="P78" s="75">
        <v>1</v>
      </c>
      <c r="Q78" s="96"/>
      <c r="R78" s="96"/>
      <c r="S78" s="96"/>
      <c r="T78" s="75"/>
      <c r="U78" s="75">
        <v>1</v>
      </c>
      <c r="V78" s="75">
        <v>1</v>
      </c>
      <c r="W78" s="75">
        <v>1</v>
      </c>
      <c r="X78" s="76"/>
      <c r="Y78" s="76"/>
      <c r="Z78" s="75">
        <v>1</v>
      </c>
      <c r="AA78" s="75"/>
      <c r="AB78" s="75">
        <v>1</v>
      </c>
      <c r="AC78" s="75">
        <v>1</v>
      </c>
      <c r="AD78" s="75">
        <v>1</v>
      </c>
      <c r="AE78" s="76"/>
      <c r="AF78" s="76"/>
      <c r="AG78" s="75">
        <v>1</v>
      </c>
      <c r="AH78" s="75">
        <v>1</v>
      </c>
      <c r="AI78" s="75">
        <v>1</v>
      </c>
      <c r="AJ78" s="75">
        <v>1</v>
      </c>
      <c r="AK78" s="111"/>
      <c r="AL78" s="76"/>
      <c r="AM78" s="107"/>
      <c r="AN78" s="117"/>
      <c r="AO78" s="117"/>
      <c r="AP78" s="117"/>
      <c r="AQ78" s="428"/>
      <c r="AR78" s="123"/>
      <c r="AS78" s="123"/>
      <c r="AT78" s="428"/>
      <c r="AU78" s="121"/>
      <c r="AV78" s="428"/>
      <c r="AW78" s="428"/>
    </row>
    <row r="79" spans="1:49">
      <c r="A79" s="490"/>
      <c r="B79" s="500"/>
      <c r="C79" s="433"/>
      <c r="D79" s="523"/>
      <c r="E79" s="447"/>
      <c r="F79" s="433"/>
      <c r="G79" s="15"/>
      <c r="H79" s="48" t="s">
        <v>15</v>
      </c>
      <c r="I79" s="75"/>
      <c r="J79" s="76"/>
      <c r="K79" s="76"/>
      <c r="L79" s="75"/>
      <c r="M79" s="75"/>
      <c r="N79" s="75"/>
      <c r="O79" s="75"/>
      <c r="P79" s="75"/>
      <c r="Q79" s="96"/>
      <c r="R79" s="96"/>
      <c r="S79" s="96"/>
      <c r="T79" s="75"/>
      <c r="U79" s="75"/>
      <c r="V79" s="75"/>
      <c r="W79" s="75"/>
      <c r="X79" s="76"/>
      <c r="Y79" s="76"/>
      <c r="Z79" s="75"/>
      <c r="AA79" s="75"/>
      <c r="AB79" s="75"/>
      <c r="AC79" s="75"/>
      <c r="AD79" s="75"/>
      <c r="AE79" s="76"/>
      <c r="AF79" s="76"/>
      <c r="AG79" s="75"/>
      <c r="AH79" s="75"/>
      <c r="AI79" s="75"/>
      <c r="AJ79" s="75"/>
      <c r="AK79" s="111"/>
      <c r="AL79" s="76"/>
      <c r="AM79" s="107"/>
      <c r="AN79" s="117"/>
      <c r="AO79" s="117"/>
      <c r="AP79" s="117"/>
      <c r="AQ79" s="428"/>
      <c r="AR79" s="123"/>
      <c r="AS79" s="123"/>
      <c r="AT79" s="428"/>
      <c r="AU79" s="121"/>
      <c r="AV79" s="428"/>
      <c r="AW79" s="428"/>
    </row>
    <row r="80" spans="1:49">
      <c r="A80" s="490"/>
      <c r="B80" s="500"/>
      <c r="C80" s="433"/>
      <c r="D80" s="523"/>
      <c r="E80" s="447"/>
      <c r="F80" s="433"/>
      <c r="G80" s="15"/>
      <c r="H80" s="46" t="s">
        <v>49</v>
      </c>
      <c r="I80" s="75">
        <f>$O$83*$D$57/5</f>
        <v>3975</v>
      </c>
      <c r="J80" s="76"/>
      <c r="K80" s="76"/>
      <c r="L80" s="75">
        <f>$O$83*$D$57/5</f>
        <v>3975</v>
      </c>
      <c r="M80" s="75">
        <f>$O$83*$D$57/5</f>
        <v>3975</v>
      </c>
      <c r="N80" s="75">
        <f>$O$83*$D$57/5</f>
        <v>3975</v>
      </c>
      <c r="O80" s="75">
        <f>$O$83*$D$57/5</f>
        <v>3975</v>
      </c>
      <c r="P80" s="75">
        <f>$O$83*$D$57/5</f>
        <v>3975</v>
      </c>
      <c r="Q80" s="96"/>
      <c r="R80" s="96"/>
      <c r="S80" s="96"/>
      <c r="T80" s="75">
        <f>$O$83*$D$57/5</f>
        <v>3975</v>
      </c>
      <c r="U80" s="75">
        <f>$O$83*$D$57/5</f>
        <v>3975</v>
      </c>
      <c r="V80" s="75">
        <f>$O$83*$D$57/5</f>
        <v>3975</v>
      </c>
      <c r="W80" s="75">
        <f>$O$83*$D$57/5</f>
        <v>3975</v>
      </c>
      <c r="X80" s="76"/>
      <c r="Y80" s="76"/>
      <c r="Z80" s="75">
        <f>$O$83*$D$57/5</f>
        <v>3975</v>
      </c>
      <c r="AA80" s="75">
        <f t="shared" ref="AA80:AD80" si="18">$O$83*$D$57/5</f>
        <v>3975</v>
      </c>
      <c r="AB80" s="75">
        <f t="shared" si="18"/>
        <v>3975</v>
      </c>
      <c r="AC80" s="75">
        <f t="shared" si="18"/>
        <v>3975</v>
      </c>
      <c r="AD80" s="75">
        <f t="shared" si="18"/>
        <v>3975</v>
      </c>
      <c r="AE80" s="76"/>
      <c r="AF80" s="76"/>
      <c r="AG80" s="75">
        <f>$O$83*$D$57/5</f>
        <v>3975</v>
      </c>
      <c r="AH80" s="75">
        <f>$O$83*$D$57/5</f>
        <v>3975</v>
      </c>
      <c r="AI80" s="75">
        <f>$O$83*$D$57/5</f>
        <v>3975</v>
      </c>
      <c r="AJ80" s="75">
        <f>$O$83*$D$57/5</f>
        <v>3975</v>
      </c>
      <c r="AK80" s="111"/>
      <c r="AL80" s="76"/>
      <c r="AM80" s="107"/>
      <c r="AN80" s="117"/>
      <c r="AO80" s="117"/>
      <c r="AP80" s="117"/>
      <c r="AQ80" s="108"/>
      <c r="AR80" s="123"/>
      <c r="AS80" s="123"/>
      <c r="AT80" s="108"/>
      <c r="AU80" s="121"/>
      <c r="AV80" s="108"/>
      <c r="AW80" s="108"/>
    </row>
    <row r="81" spans="1:49">
      <c r="A81" s="490"/>
      <c r="B81" s="500"/>
      <c r="C81" s="433"/>
      <c r="D81" s="523"/>
      <c r="E81" s="447"/>
      <c r="F81" s="433"/>
      <c r="G81" s="15"/>
      <c r="H81" s="46" t="s">
        <v>50</v>
      </c>
      <c r="I81" s="75">
        <v>2</v>
      </c>
      <c r="J81" s="76"/>
      <c r="K81" s="76"/>
      <c r="L81" s="75">
        <v>2</v>
      </c>
      <c r="M81" s="75">
        <v>2</v>
      </c>
      <c r="N81" s="75">
        <v>2</v>
      </c>
      <c r="O81" s="75">
        <v>2</v>
      </c>
      <c r="P81" s="75">
        <v>2</v>
      </c>
      <c r="Q81" s="96"/>
      <c r="R81" s="96"/>
      <c r="S81" s="96"/>
      <c r="T81" s="75"/>
      <c r="U81" s="75"/>
      <c r="V81" s="75">
        <v>2</v>
      </c>
      <c r="W81" s="75">
        <v>2</v>
      </c>
      <c r="X81" s="76"/>
      <c r="Y81" s="76"/>
      <c r="Z81" s="75">
        <v>2</v>
      </c>
      <c r="AA81" s="75"/>
      <c r="AB81" s="75"/>
      <c r="AC81" s="75">
        <v>2</v>
      </c>
      <c r="AD81" s="75">
        <v>2</v>
      </c>
      <c r="AE81" s="76"/>
      <c r="AF81" s="76"/>
      <c r="AG81" s="75">
        <v>2</v>
      </c>
      <c r="AH81" s="75"/>
      <c r="AI81" s="75">
        <v>2</v>
      </c>
      <c r="AJ81" s="75">
        <v>2</v>
      </c>
      <c r="AK81" s="111"/>
      <c r="AL81" s="76"/>
      <c r="AM81" s="107"/>
      <c r="AN81" s="117"/>
      <c r="AO81" s="117"/>
      <c r="AP81" s="117"/>
      <c r="AQ81" s="108"/>
      <c r="AR81" s="123"/>
      <c r="AS81" s="123"/>
      <c r="AT81" s="108"/>
      <c r="AU81" s="121"/>
      <c r="AV81" s="108"/>
      <c r="AW81" s="108"/>
    </row>
    <row r="82" spans="1:49">
      <c r="A82" s="490"/>
      <c r="B82" s="500"/>
      <c r="C82" s="433"/>
      <c r="D82" s="523"/>
      <c r="E82" s="447"/>
      <c r="F82" s="433"/>
      <c r="G82" s="15"/>
      <c r="H82" s="48" t="s">
        <v>15</v>
      </c>
      <c r="I82" s="75"/>
      <c r="J82" s="76"/>
      <c r="K82" s="76"/>
      <c r="L82" s="75"/>
      <c r="M82" s="75"/>
      <c r="N82" s="75"/>
      <c r="O82" s="75"/>
      <c r="P82" s="75"/>
      <c r="Q82" s="96"/>
      <c r="R82" s="96"/>
      <c r="S82" s="96"/>
      <c r="T82" s="75"/>
      <c r="U82" s="75"/>
      <c r="V82" s="75"/>
      <c r="W82" s="75"/>
      <c r="X82" s="76"/>
      <c r="Y82" s="76"/>
      <c r="Z82" s="75"/>
      <c r="AA82" s="75"/>
      <c r="AB82" s="75"/>
      <c r="AC82" s="75"/>
      <c r="AD82" s="75"/>
      <c r="AE82" s="76"/>
      <c r="AF82" s="76"/>
      <c r="AG82" s="75"/>
      <c r="AH82" s="75"/>
      <c r="AI82" s="75"/>
      <c r="AJ82" s="75"/>
      <c r="AK82" s="111"/>
      <c r="AL82" s="76"/>
      <c r="AM82" s="107"/>
      <c r="AN82" s="117"/>
      <c r="AO82" s="117"/>
      <c r="AP82" s="117"/>
      <c r="AQ82" s="108"/>
      <c r="AR82" s="123"/>
      <c r="AS82" s="123"/>
      <c r="AT82" s="108"/>
      <c r="AU82" s="121"/>
      <c r="AV82" s="108"/>
      <c r="AW82" s="108"/>
    </row>
    <row r="83" spans="1:49">
      <c r="A83" s="490"/>
      <c r="B83" s="500"/>
      <c r="C83" s="433"/>
      <c r="D83" s="523"/>
      <c r="E83" s="447"/>
      <c r="F83" s="433"/>
      <c r="G83" s="47"/>
      <c r="H83" s="46" t="s">
        <v>32</v>
      </c>
      <c r="I83" s="75"/>
      <c r="J83" s="76"/>
      <c r="K83" s="76"/>
      <c r="L83" s="75"/>
      <c r="M83" s="75"/>
      <c r="N83" s="75"/>
      <c r="O83" s="75">
        <f>($C$57*5)</f>
        <v>12500</v>
      </c>
      <c r="P83" s="75"/>
      <c r="Q83" s="96"/>
      <c r="R83" s="96"/>
      <c r="S83" s="96"/>
      <c r="T83" s="75"/>
      <c r="U83" s="75"/>
      <c r="V83" s="75"/>
      <c r="W83" s="75">
        <f>($C$57*5)+($C$57*5*10%)</f>
        <v>13750</v>
      </c>
      <c r="X83" s="76"/>
      <c r="Y83" s="76"/>
      <c r="Z83" s="75"/>
      <c r="AA83" s="75"/>
      <c r="AB83" s="75"/>
      <c r="AC83" s="75"/>
      <c r="AD83" s="75">
        <f>($C$57*5)+($C$57*5*10%)</f>
        <v>13750</v>
      </c>
      <c r="AE83" s="76"/>
      <c r="AF83" s="76"/>
      <c r="AG83" s="75"/>
      <c r="AH83" s="75"/>
      <c r="AI83" s="75"/>
      <c r="AJ83" s="75"/>
      <c r="AK83" s="111"/>
      <c r="AL83" s="76"/>
      <c r="AM83" s="107"/>
      <c r="AN83" s="117"/>
      <c r="AO83" s="117"/>
      <c r="AP83" s="117"/>
      <c r="AQ83" s="108"/>
      <c r="AR83" s="123"/>
      <c r="AS83" s="123"/>
      <c r="AT83" s="108"/>
      <c r="AU83" s="121"/>
      <c r="AV83" s="108"/>
      <c r="AW83" s="108"/>
    </row>
    <row r="84" spans="1:49">
      <c r="A84" s="490"/>
      <c r="B84" s="500"/>
      <c r="C84" s="433"/>
      <c r="D84" s="523"/>
      <c r="E84" s="447"/>
      <c r="F84" s="433"/>
      <c r="G84" s="47"/>
      <c r="H84" s="46" t="s">
        <v>51</v>
      </c>
      <c r="I84" s="75"/>
      <c r="J84" s="76"/>
      <c r="K84" s="76"/>
      <c r="L84" s="75"/>
      <c r="M84" s="75"/>
      <c r="N84" s="75"/>
      <c r="O84" s="75">
        <v>1</v>
      </c>
      <c r="P84" s="75"/>
      <c r="Q84" s="96"/>
      <c r="R84" s="96"/>
      <c r="S84" s="96"/>
      <c r="T84" s="75"/>
      <c r="U84" s="75"/>
      <c r="V84" s="75"/>
      <c r="W84" s="75">
        <v>1</v>
      </c>
      <c r="X84" s="76"/>
      <c r="Y84" s="76"/>
      <c r="Z84" s="75"/>
      <c r="AA84" s="75"/>
      <c r="AB84" s="75"/>
      <c r="AC84" s="75"/>
      <c r="AD84" s="75">
        <v>1</v>
      </c>
      <c r="AE84" s="76"/>
      <c r="AF84" s="76"/>
      <c r="AG84" s="75"/>
      <c r="AH84" s="75"/>
      <c r="AI84" s="75"/>
      <c r="AJ84" s="75"/>
      <c r="AK84" s="111"/>
      <c r="AL84" s="76"/>
      <c r="AM84" s="107"/>
      <c r="AN84" s="117"/>
      <c r="AO84" s="117"/>
      <c r="AP84" s="117"/>
      <c r="AQ84" s="108"/>
      <c r="AR84" s="123"/>
      <c r="AS84" s="123"/>
      <c r="AT84" s="108"/>
      <c r="AU84" s="121"/>
      <c r="AV84" s="108"/>
      <c r="AW84" s="108"/>
    </row>
    <row r="85" spans="1:49">
      <c r="A85" s="495"/>
      <c r="B85" s="507"/>
      <c r="C85" s="434"/>
      <c r="D85" s="524"/>
      <c r="E85" s="448"/>
      <c r="F85" s="434"/>
      <c r="G85" s="52"/>
      <c r="H85" s="53" t="s">
        <v>15</v>
      </c>
      <c r="I85" s="87"/>
      <c r="J85" s="88"/>
      <c r="K85" s="88"/>
      <c r="L85" s="87"/>
      <c r="M85" s="87"/>
      <c r="N85" s="87"/>
      <c r="O85" s="87"/>
      <c r="P85" s="87"/>
      <c r="Q85" s="100"/>
      <c r="R85" s="100"/>
      <c r="S85" s="100"/>
      <c r="T85" s="87"/>
      <c r="U85" s="87"/>
      <c r="V85" s="87"/>
      <c r="W85" s="87"/>
      <c r="X85" s="88"/>
      <c r="Y85" s="88"/>
      <c r="Z85" s="87"/>
      <c r="AA85" s="87"/>
      <c r="AB85" s="87"/>
      <c r="AC85" s="87"/>
      <c r="AD85" s="87"/>
      <c r="AE85" s="88"/>
      <c r="AF85" s="88"/>
      <c r="AG85" s="87"/>
      <c r="AH85" s="87"/>
      <c r="AI85" s="87"/>
      <c r="AJ85" s="87"/>
      <c r="AK85" s="119"/>
      <c r="AL85" s="76"/>
      <c r="AM85" s="107"/>
      <c r="AN85" s="117"/>
      <c r="AO85" s="117"/>
      <c r="AP85" s="117"/>
      <c r="AQ85" s="108"/>
      <c r="AR85" s="123"/>
      <c r="AS85" s="123"/>
      <c r="AT85" s="108"/>
      <c r="AU85" s="121"/>
      <c r="AV85" s="108"/>
      <c r="AW85" s="108"/>
    </row>
    <row r="86" spans="1:49" ht="15" customHeight="1">
      <c r="A86" s="494" t="s">
        <v>52</v>
      </c>
      <c r="B86" s="499" t="s">
        <v>53</v>
      </c>
      <c r="C86" s="432">
        <v>2000</v>
      </c>
      <c r="D86" s="525">
        <v>1.56</v>
      </c>
      <c r="E86" s="446"/>
      <c r="F86" s="432" t="s">
        <v>54</v>
      </c>
      <c r="G86" s="62">
        <v>0.16</v>
      </c>
      <c r="H86" s="44" t="s">
        <v>12</v>
      </c>
      <c r="I86" s="127">
        <f>6.91*20</f>
        <v>138.19999999999999</v>
      </c>
      <c r="J86" s="128"/>
      <c r="K86" s="128"/>
      <c r="L86" s="127"/>
      <c r="M86" s="127"/>
      <c r="N86" s="127"/>
      <c r="O86" s="127"/>
      <c r="P86" s="127"/>
      <c r="Q86" s="99"/>
      <c r="R86" s="99"/>
      <c r="S86" s="99"/>
      <c r="T86" s="127"/>
      <c r="U86" s="127"/>
      <c r="V86" s="127"/>
      <c r="W86" s="127"/>
      <c r="X86" s="128"/>
      <c r="Y86" s="128"/>
      <c r="Z86" s="127"/>
      <c r="AA86" s="127"/>
      <c r="AB86" s="127"/>
      <c r="AC86" s="127"/>
      <c r="AD86" s="127"/>
      <c r="AE86" s="128"/>
      <c r="AF86" s="128"/>
      <c r="AG86" s="127"/>
      <c r="AH86" s="127"/>
      <c r="AI86" s="127"/>
      <c r="AJ86" s="127"/>
      <c r="AK86" s="131"/>
      <c r="AL86" s="76"/>
      <c r="AM86" s="107"/>
      <c r="AN86" s="123"/>
      <c r="AO86" s="123"/>
      <c r="AP86" s="123"/>
      <c r="AQ86" s="123"/>
      <c r="AR86" s="123"/>
      <c r="AS86" s="123"/>
      <c r="AT86" s="123"/>
      <c r="AU86" s="123"/>
      <c r="AV86" s="428"/>
      <c r="AW86" s="428"/>
    </row>
    <row r="87" spans="1:49" ht="15" customHeight="1">
      <c r="A87" s="490"/>
      <c r="B87" s="500"/>
      <c r="C87" s="433"/>
      <c r="D87" s="474"/>
      <c r="E87" s="447"/>
      <c r="F87" s="433"/>
      <c r="G87" s="50"/>
      <c r="H87" s="46" t="s">
        <v>14</v>
      </c>
      <c r="I87" s="86">
        <v>1</v>
      </c>
      <c r="J87" s="101"/>
      <c r="K87" s="101"/>
      <c r="L87" s="86"/>
      <c r="M87" s="86"/>
      <c r="N87" s="86"/>
      <c r="O87" s="86"/>
      <c r="P87" s="86"/>
      <c r="Q87" s="130"/>
      <c r="R87" s="130"/>
      <c r="S87" s="130"/>
      <c r="T87" s="86"/>
      <c r="U87" s="86"/>
      <c r="V87" s="86"/>
      <c r="W87" s="86"/>
      <c r="X87" s="101"/>
      <c r="Y87" s="101"/>
      <c r="Z87" s="86"/>
      <c r="AA87" s="86"/>
      <c r="AB87" s="86"/>
      <c r="AC87" s="86"/>
      <c r="AD87" s="86"/>
      <c r="AE87" s="101"/>
      <c r="AF87" s="101"/>
      <c r="AG87" s="86"/>
      <c r="AH87" s="86"/>
      <c r="AI87" s="86"/>
      <c r="AJ87" s="86"/>
      <c r="AK87" s="118"/>
      <c r="AL87" s="76"/>
      <c r="AM87" s="107"/>
      <c r="AN87" s="123"/>
      <c r="AO87" s="123"/>
      <c r="AP87" s="123"/>
      <c r="AQ87" s="123"/>
      <c r="AR87" s="123"/>
      <c r="AS87" s="123"/>
      <c r="AT87" s="123"/>
      <c r="AU87" s="123"/>
      <c r="AV87" s="428"/>
      <c r="AW87" s="428"/>
    </row>
    <row r="88" spans="1:49" ht="15" customHeight="1">
      <c r="A88" s="490"/>
      <c r="B88" s="500"/>
      <c r="C88" s="433"/>
      <c r="D88" s="474"/>
      <c r="E88" s="447"/>
      <c r="F88" s="433"/>
      <c r="G88" s="50"/>
      <c r="H88" s="48" t="s">
        <v>15</v>
      </c>
      <c r="I88" s="86"/>
      <c r="J88" s="101"/>
      <c r="K88" s="101"/>
      <c r="L88" s="86"/>
      <c r="M88" s="86"/>
      <c r="N88" s="86"/>
      <c r="O88" s="86"/>
      <c r="P88" s="86"/>
      <c r="Q88" s="130"/>
      <c r="R88" s="130"/>
      <c r="S88" s="130"/>
      <c r="T88" s="86"/>
      <c r="U88" s="86"/>
      <c r="V88" s="86"/>
      <c r="W88" s="86"/>
      <c r="X88" s="101"/>
      <c r="Y88" s="101"/>
      <c r="Z88" s="86"/>
      <c r="AA88" s="86"/>
      <c r="AB88" s="86"/>
      <c r="AC88" s="86"/>
      <c r="AD88" s="86"/>
      <c r="AE88" s="101"/>
      <c r="AF88" s="101"/>
      <c r="AG88" s="86"/>
      <c r="AH88" s="86"/>
      <c r="AI88" s="86"/>
      <c r="AJ88" s="86"/>
      <c r="AK88" s="118"/>
      <c r="AL88" s="76"/>
      <c r="AM88" s="107"/>
      <c r="AN88" s="123"/>
      <c r="AO88" s="123"/>
      <c r="AP88" s="123"/>
      <c r="AQ88" s="123"/>
      <c r="AR88" s="123"/>
      <c r="AS88" s="123"/>
      <c r="AT88" s="123"/>
      <c r="AU88" s="123"/>
      <c r="AV88" s="428"/>
      <c r="AW88" s="428"/>
    </row>
    <row r="89" spans="1:49" ht="15" customHeight="1">
      <c r="A89" s="490"/>
      <c r="B89" s="500"/>
      <c r="C89" s="433"/>
      <c r="D89" s="474"/>
      <c r="E89" s="447"/>
      <c r="F89" s="433"/>
      <c r="G89" s="50">
        <v>0.12</v>
      </c>
      <c r="H89" s="49" t="s">
        <v>12</v>
      </c>
      <c r="I89" s="129">
        <f>8.1*20</f>
        <v>162</v>
      </c>
      <c r="J89" s="101"/>
      <c r="K89" s="101"/>
      <c r="L89" s="86"/>
      <c r="M89" s="86"/>
      <c r="N89" s="86"/>
      <c r="O89" s="86"/>
      <c r="P89" s="86"/>
      <c r="Q89" s="130"/>
      <c r="R89" s="130"/>
      <c r="S89" s="130"/>
      <c r="T89" s="86"/>
      <c r="U89" s="86"/>
      <c r="V89" s="86"/>
      <c r="W89" s="86"/>
      <c r="X89" s="101"/>
      <c r="Y89" s="101"/>
      <c r="Z89" s="86"/>
      <c r="AA89" s="86"/>
      <c r="AB89" s="86"/>
      <c r="AC89" s="86"/>
      <c r="AD89" s="86"/>
      <c r="AE89" s="101"/>
      <c r="AF89" s="101"/>
      <c r="AG89" s="86"/>
      <c r="AH89" s="86"/>
      <c r="AI89" s="86"/>
      <c r="AJ89" s="86"/>
      <c r="AK89" s="118"/>
      <c r="AL89" s="76"/>
      <c r="AM89" s="107"/>
      <c r="AN89" s="123"/>
      <c r="AO89" s="123"/>
      <c r="AP89" s="123"/>
      <c r="AQ89" s="123"/>
      <c r="AR89" s="123"/>
      <c r="AS89" s="123"/>
      <c r="AT89" s="123"/>
      <c r="AU89" s="123"/>
      <c r="AV89" s="428"/>
      <c r="AW89" s="428"/>
    </row>
    <row r="90" spans="1:49">
      <c r="A90" s="490"/>
      <c r="B90" s="500"/>
      <c r="C90" s="433"/>
      <c r="D90" s="474"/>
      <c r="E90" s="447"/>
      <c r="F90" s="433"/>
      <c r="G90" s="47"/>
      <c r="H90" s="46" t="s">
        <v>14</v>
      </c>
      <c r="I90" s="75">
        <v>1</v>
      </c>
      <c r="J90" s="76"/>
      <c r="K90" s="76"/>
      <c r="L90" s="75"/>
      <c r="M90" s="75"/>
      <c r="N90" s="75"/>
      <c r="O90" s="75"/>
      <c r="P90" s="75"/>
      <c r="Q90" s="96"/>
      <c r="R90" s="96"/>
      <c r="S90" s="96"/>
      <c r="T90" s="75"/>
      <c r="U90" s="75"/>
      <c r="V90" s="75"/>
      <c r="W90" s="75"/>
      <c r="X90" s="76"/>
      <c r="Y90" s="76"/>
      <c r="Z90" s="75"/>
      <c r="AA90" s="75"/>
      <c r="AB90" s="75"/>
      <c r="AC90" s="75"/>
      <c r="AD90" s="75"/>
      <c r="AE90" s="76"/>
      <c r="AF90" s="76"/>
      <c r="AG90" s="75"/>
      <c r="AH90" s="75"/>
      <c r="AI90" s="75"/>
      <c r="AJ90" s="75"/>
      <c r="AK90" s="111"/>
      <c r="AL90" s="76"/>
      <c r="AM90" s="107"/>
      <c r="AN90" s="117"/>
      <c r="AO90" s="117"/>
      <c r="AP90" s="117"/>
      <c r="AQ90" s="123"/>
      <c r="AR90" s="123"/>
      <c r="AS90" s="123"/>
      <c r="AT90" s="123"/>
      <c r="AU90" s="123"/>
      <c r="AV90" s="428"/>
      <c r="AW90" s="428"/>
    </row>
    <row r="91" spans="1:49">
      <c r="A91" s="490"/>
      <c r="B91" s="500"/>
      <c r="C91" s="433"/>
      <c r="D91" s="474"/>
      <c r="E91" s="447"/>
      <c r="F91" s="433"/>
      <c r="G91" s="47"/>
      <c r="H91" s="48" t="s">
        <v>15</v>
      </c>
      <c r="I91" s="75"/>
      <c r="J91" s="76"/>
      <c r="K91" s="76"/>
      <c r="L91" s="75"/>
      <c r="M91" s="75"/>
      <c r="N91" s="75"/>
      <c r="O91" s="75"/>
      <c r="P91" s="75"/>
      <c r="Q91" s="96"/>
      <c r="R91" s="96"/>
      <c r="S91" s="96"/>
      <c r="T91" s="75"/>
      <c r="U91" s="75"/>
      <c r="V91" s="75"/>
      <c r="W91" s="75"/>
      <c r="X91" s="76"/>
      <c r="Y91" s="76"/>
      <c r="Z91" s="75"/>
      <c r="AA91" s="75"/>
      <c r="AB91" s="75"/>
      <c r="AC91" s="75"/>
      <c r="AD91" s="75"/>
      <c r="AE91" s="76"/>
      <c r="AF91" s="76"/>
      <c r="AG91" s="75"/>
      <c r="AH91" s="75"/>
      <c r="AI91" s="75"/>
      <c r="AJ91" s="75"/>
      <c r="AK91" s="111"/>
      <c r="AL91" s="76"/>
      <c r="AM91" s="107"/>
      <c r="AN91" s="123"/>
      <c r="AO91" s="123"/>
      <c r="AP91" s="123"/>
      <c r="AQ91" s="123"/>
      <c r="AR91" s="123"/>
      <c r="AS91" s="123"/>
      <c r="AT91" s="123"/>
      <c r="AU91" s="123"/>
      <c r="AV91" s="428"/>
      <c r="AW91" s="428"/>
    </row>
    <row r="92" spans="1:49">
      <c r="A92" s="490"/>
      <c r="B92" s="500"/>
      <c r="C92" s="433"/>
      <c r="D92" s="474"/>
      <c r="E92" s="447"/>
      <c r="F92" s="433"/>
      <c r="G92" s="47" t="s">
        <v>55</v>
      </c>
      <c r="H92" s="46" t="s">
        <v>22</v>
      </c>
      <c r="I92" s="75">
        <f>$P$101*$D$86</f>
        <v>15600</v>
      </c>
      <c r="J92" s="76"/>
      <c r="K92" s="76"/>
      <c r="L92" s="75"/>
      <c r="M92" s="75"/>
      <c r="N92" s="75"/>
      <c r="O92" s="75"/>
      <c r="P92" s="75">
        <f>$P$101*$D$86</f>
        <v>15600</v>
      </c>
      <c r="Q92" s="96"/>
      <c r="R92" s="96"/>
      <c r="S92" s="96"/>
      <c r="T92" s="75"/>
      <c r="U92" s="75"/>
      <c r="V92" s="75"/>
      <c r="W92" s="75"/>
      <c r="X92" s="76"/>
      <c r="Y92" s="76"/>
      <c r="Z92" s="75">
        <f>$P$101*$D$86</f>
        <v>15600</v>
      </c>
      <c r="AA92" s="75"/>
      <c r="AB92" s="75"/>
      <c r="AC92" s="75"/>
      <c r="AD92" s="75"/>
      <c r="AE92" s="76"/>
      <c r="AF92" s="76"/>
      <c r="AG92" s="75">
        <f>$P$101*$D$86</f>
        <v>15600</v>
      </c>
      <c r="AH92" s="75"/>
      <c r="AI92" s="75"/>
      <c r="AJ92" s="75"/>
      <c r="AK92" s="111"/>
      <c r="AL92" s="76"/>
      <c r="AM92" s="107"/>
      <c r="AN92" s="123"/>
      <c r="AO92" s="123"/>
      <c r="AP92" s="123"/>
      <c r="AQ92" s="123"/>
      <c r="AR92" s="123"/>
      <c r="AS92" s="123"/>
      <c r="AT92" s="123"/>
      <c r="AU92" s="123"/>
      <c r="AV92" s="108"/>
      <c r="AW92" s="428"/>
    </row>
    <row r="93" spans="1:49">
      <c r="A93" s="490"/>
      <c r="B93" s="500"/>
      <c r="C93" s="433"/>
      <c r="D93" s="474"/>
      <c r="E93" s="447"/>
      <c r="F93" s="433"/>
      <c r="G93" s="47"/>
      <c r="H93" s="46" t="s">
        <v>20</v>
      </c>
      <c r="I93" s="75">
        <v>1</v>
      </c>
      <c r="J93" s="76"/>
      <c r="K93" s="76"/>
      <c r="L93" s="75"/>
      <c r="M93" s="75"/>
      <c r="N93" s="75"/>
      <c r="O93" s="75"/>
      <c r="P93" s="75">
        <v>1</v>
      </c>
      <c r="Q93" s="96"/>
      <c r="R93" s="96"/>
      <c r="S93" s="96"/>
      <c r="T93" s="75"/>
      <c r="U93" s="75"/>
      <c r="V93" s="75"/>
      <c r="W93" s="75"/>
      <c r="X93" s="76"/>
      <c r="Y93" s="76"/>
      <c r="Z93" s="75">
        <v>1</v>
      </c>
      <c r="AA93" s="75"/>
      <c r="AB93" s="75"/>
      <c r="AC93" s="75"/>
      <c r="AD93" s="75"/>
      <c r="AE93" s="76"/>
      <c r="AF93" s="76"/>
      <c r="AG93" s="75">
        <v>1</v>
      </c>
      <c r="AH93" s="75"/>
      <c r="AI93" s="75"/>
      <c r="AJ93" s="75"/>
      <c r="AK93" s="111"/>
      <c r="AL93" s="76"/>
      <c r="AM93" s="107"/>
      <c r="AN93" s="123"/>
      <c r="AO93" s="123"/>
      <c r="AP93" s="123"/>
      <c r="AQ93" s="123"/>
      <c r="AR93" s="123"/>
      <c r="AS93" s="123"/>
      <c r="AT93" s="123"/>
      <c r="AU93" s="123"/>
      <c r="AV93" s="108"/>
      <c r="AW93" s="428"/>
    </row>
    <row r="94" spans="1:49">
      <c r="A94" s="490"/>
      <c r="B94" s="500"/>
      <c r="C94" s="433"/>
      <c r="D94" s="474"/>
      <c r="E94" s="447"/>
      <c r="F94" s="433"/>
      <c r="G94" s="47"/>
      <c r="H94" s="48" t="s">
        <v>15</v>
      </c>
      <c r="I94" s="75"/>
      <c r="J94" s="76"/>
      <c r="K94" s="76"/>
      <c r="L94" s="75"/>
      <c r="M94" s="75"/>
      <c r="N94" s="75"/>
      <c r="O94" s="75"/>
      <c r="P94" s="75"/>
      <c r="Q94" s="96"/>
      <c r="R94" s="96"/>
      <c r="S94" s="96"/>
      <c r="T94" s="75"/>
      <c r="U94" s="75"/>
      <c r="V94" s="75"/>
      <c r="W94" s="75"/>
      <c r="X94" s="76"/>
      <c r="Y94" s="76"/>
      <c r="Z94" s="75"/>
      <c r="AA94" s="75"/>
      <c r="AB94" s="75"/>
      <c r="AC94" s="75"/>
      <c r="AD94" s="75"/>
      <c r="AE94" s="76"/>
      <c r="AF94" s="76"/>
      <c r="AG94" s="75"/>
      <c r="AH94" s="75"/>
      <c r="AI94" s="75"/>
      <c r="AJ94" s="75"/>
      <c r="AK94" s="111"/>
      <c r="AL94" s="76"/>
      <c r="AM94" s="107"/>
      <c r="AN94" s="123"/>
      <c r="AO94" s="123"/>
      <c r="AP94" s="123"/>
      <c r="AQ94" s="123"/>
      <c r="AR94" s="123"/>
      <c r="AS94" s="123"/>
      <c r="AT94" s="123"/>
      <c r="AU94" s="123"/>
      <c r="AV94" s="108"/>
      <c r="AW94" s="428"/>
    </row>
    <row r="95" spans="1:49">
      <c r="A95" s="490"/>
      <c r="B95" s="500"/>
      <c r="C95" s="433"/>
      <c r="D95" s="474"/>
      <c r="E95" s="447"/>
      <c r="F95" s="433"/>
      <c r="G95" s="47" t="s">
        <v>28</v>
      </c>
      <c r="H95" s="46" t="s">
        <v>29</v>
      </c>
      <c r="I95" s="75"/>
      <c r="J95" s="76"/>
      <c r="K95" s="76"/>
      <c r="L95" s="75">
        <f>$P$101*$D$86</f>
        <v>15600</v>
      </c>
      <c r="M95" s="75"/>
      <c r="N95" s="75"/>
      <c r="O95" s="75"/>
      <c r="P95" s="75"/>
      <c r="Q95" s="96"/>
      <c r="R95" s="96"/>
      <c r="S95" s="96"/>
      <c r="T95" s="75">
        <f>$P$101*$D$86</f>
        <v>15600</v>
      </c>
      <c r="U95" s="75"/>
      <c r="V95" s="75"/>
      <c r="W95" s="75"/>
      <c r="X95" s="76"/>
      <c r="Y95" s="76"/>
      <c r="Z95" s="75"/>
      <c r="AA95" s="75">
        <f>$P$101*$D$86</f>
        <v>15600</v>
      </c>
      <c r="AB95" s="75"/>
      <c r="AC95" s="75"/>
      <c r="AD95" s="75"/>
      <c r="AE95" s="76"/>
      <c r="AF95" s="76"/>
      <c r="AG95" s="75"/>
      <c r="AH95" s="75">
        <f>$P$101*$D$86</f>
        <v>15600</v>
      </c>
      <c r="AI95" s="75"/>
      <c r="AJ95" s="75"/>
      <c r="AK95" s="111"/>
      <c r="AL95" s="76"/>
      <c r="AM95" s="107"/>
      <c r="AN95" s="123"/>
      <c r="AO95" s="123"/>
      <c r="AP95" s="123"/>
      <c r="AQ95" s="123"/>
      <c r="AR95" s="123"/>
      <c r="AS95" s="123"/>
      <c r="AT95" s="123"/>
      <c r="AU95" s="123"/>
      <c r="AV95" s="108"/>
      <c r="AW95" s="428"/>
    </row>
    <row r="96" spans="1:49">
      <c r="A96" s="490"/>
      <c r="B96" s="500"/>
      <c r="C96" s="433"/>
      <c r="D96" s="474"/>
      <c r="E96" s="447"/>
      <c r="F96" s="433"/>
      <c r="G96" s="47"/>
      <c r="H96" s="46" t="s">
        <v>27</v>
      </c>
      <c r="I96" s="75"/>
      <c r="J96" s="76"/>
      <c r="K96" s="76"/>
      <c r="L96" s="75">
        <v>1</v>
      </c>
      <c r="M96" s="75"/>
      <c r="N96" s="75"/>
      <c r="O96" s="75"/>
      <c r="P96" s="75"/>
      <c r="Q96" s="96"/>
      <c r="R96" s="96"/>
      <c r="S96" s="96"/>
      <c r="T96" s="75">
        <v>1</v>
      </c>
      <c r="U96" s="75"/>
      <c r="V96" s="75"/>
      <c r="W96" s="75"/>
      <c r="X96" s="76"/>
      <c r="Y96" s="76"/>
      <c r="Z96" s="75"/>
      <c r="AA96" s="75">
        <v>1</v>
      </c>
      <c r="AB96" s="75"/>
      <c r="AC96" s="75"/>
      <c r="AD96" s="75"/>
      <c r="AE96" s="76"/>
      <c r="AF96" s="76"/>
      <c r="AG96" s="75"/>
      <c r="AH96" s="75">
        <v>1</v>
      </c>
      <c r="AI96" s="75"/>
      <c r="AJ96" s="75"/>
      <c r="AK96" s="111"/>
      <c r="AL96" s="76"/>
      <c r="AM96" s="107"/>
      <c r="AN96" s="123"/>
      <c r="AO96" s="123"/>
      <c r="AP96" s="123"/>
      <c r="AQ96" s="123"/>
      <c r="AR96" s="123"/>
      <c r="AS96" s="123"/>
      <c r="AT96" s="123"/>
      <c r="AU96" s="123"/>
      <c r="AV96" s="108"/>
      <c r="AW96" s="428"/>
    </row>
    <row r="97" spans="1:49">
      <c r="A97" s="490"/>
      <c r="B97" s="500"/>
      <c r="C97" s="433"/>
      <c r="D97" s="474"/>
      <c r="E97" s="447"/>
      <c r="F97" s="433"/>
      <c r="G97" s="47"/>
      <c r="H97" s="48" t="s">
        <v>15</v>
      </c>
      <c r="I97" s="75"/>
      <c r="J97" s="76"/>
      <c r="K97" s="76"/>
      <c r="L97" s="75"/>
      <c r="M97" s="75"/>
      <c r="N97" s="75"/>
      <c r="O97" s="75"/>
      <c r="P97" s="75"/>
      <c r="Q97" s="96"/>
      <c r="R97" s="96"/>
      <c r="S97" s="96"/>
      <c r="T97" s="75"/>
      <c r="U97" s="75"/>
      <c r="V97" s="75"/>
      <c r="W97" s="75"/>
      <c r="X97" s="76"/>
      <c r="Y97" s="76"/>
      <c r="Z97" s="75"/>
      <c r="AA97" s="75"/>
      <c r="AB97" s="75"/>
      <c r="AC97" s="75"/>
      <c r="AD97" s="75"/>
      <c r="AE97" s="76"/>
      <c r="AF97" s="76"/>
      <c r="AG97" s="75"/>
      <c r="AH97" s="75"/>
      <c r="AI97" s="75"/>
      <c r="AJ97" s="75"/>
      <c r="AK97" s="111"/>
      <c r="AL97" s="76"/>
      <c r="AM97" s="107"/>
      <c r="AN97" s="123"/>
      <c r="AO97" s="123"/>
      <c r="AP97" s="123"/>
      <c r="AQ97" s="123"/>
      <c r="AR97" s="123"/>
      <c r="AS97" s="123"/>
      <c r="AT97" s="123"/>
      <c r="AU97" s="123"/>
      <c r="AV97" s="108"/>
      <c r="AW97" s="428"/>
    </row>
    <row r="98" spans="1:49">
      <c r="A98" s="490"/>
      <c r="B98" s="500"/>
      <c r="C98" s="433"/>
      <c r="D98" s="474"/>
      <c r="E98" s="447"/>
      <c r="F98" s="433"/>
      <c r="G98" s="47"/>
      <c r="H98" s="46" t="s">
        <v>49</v>
      </c>
      <c r="I98" s="75"/>
      <c r="J98" s="76"/>
      <c r="K98" s="76"/>
      <c r="L98" s="75"/>
      <c r="M98" s="75">
        <f>$P$101*$D$86/3</f>
        <v>5200</v>
      </c>
      <c r="N98" s="75">
        <f>$P$101*$D$86/3</f>
        <v>5200</v>
      </c>
      <c r="O98" s="75">
        <f>$P$101*$D$86/3</f>
        <v>5200</v>
      </c>
      <c r="P98" s="75"/>
      <c r="Q98" s="96"/>
      <c r="R98" s="96"/>
      <c r="S98" s="96"/>
      <c r="T98" s="75"/>
      <c r="U98" s="75">
        <f>$P$101*$D$86/3</f>
        <v>5200</v>
      </c>
      <c r="V98" s="75">
        <f>$P$101*$D$86/3</f>
        <v>5200</v>
      </c>
      <c r="W98" s="75">
        <f>$P$101*$D$86/3</f>
        <v>5200</v>
      </c>
      <c r="X98" s="76"/>
      <c r="Y98" s="76"/>
      <c r="Z98" s="75"/>
      <c r="AA98" s="75"/>
      <c r="AB98" s="75">
        <f>$P$101*$D$86/3</f>
        <v>5200</v>
      </c>
      <c r="AC98" s="75">
        <f>$P$101*$D$86/3</f>
        <v>5200</v>
      </c>
      <c r="AD98" s="75">
        <f>$P$101*$D$86/3</f>
        <v>5200</v>
      </c>
      <c r="AE98" s="76"/>
      <c r="AF98" s="76"/>
      <c r="AG98" s="75"/>
      <c r="AH98" s="75"/>
      <c r="AI98" s="75">
        <f>$P$101*$D$86/3</f>
        <v>5200</v>
      </c>
      <c r="AJ98" s="75">
        <f>$P$101*$D$86/3</f>
        <v>5200</v>
      </c>
      <c r="AK98" s="111"/>
      <c r="AL98" s="76"/>
      <c r="AM98" s="107"/>
      <c r="AN98" s="123"/>
      <c r="AO98" s="123"/>
      <c r="AP98" s="123"/>
      <c r="AQ98" s="123"/>
      <c r="AR98" s="123"/>
      <c r="AS98" s="123"/>
      <c r="AT98" s="123"/>
      <c r="AU98" s="123"/>
      <c r="AV98" s="108"/>
      <c r="AW98" s="428"/>
    </row>
    <row r="99" spans="1:49">
      <c r="A99" s="490"/>
      <c r="B99" s="500"/>
      <c r="C99" s="433"/>
      <c r="D99" s="474"/>
      <c r="E99" s="447"/>
      <c r="F99" s="433"/>
      <c r="G99" s="47"/>
      <c r="H99" s="46" t="s">
        <v>50</v>
      </c>
      <c r="I99" s="75"/>
      <c r="J99" s="76"/>
      <c r="K99" s="76"/>
      <c r="L99" s="75"/>
      <c r="M99" s="75">
        <v>1</v>
      </c>
      <c r="N99" s="75">
        <v>1</v>
      </c>
      <c r="O99" s="75">
        <v>1</v>
      </c>
      <c r="P99" s="75"/>
      <c r="Q99" s="96"/>
      <c r="R99" s="96"/>
      <c r="S99" s="96"/>
      <c r="T99" s="75"/>
      <c r="U99" s="75">
        <v>1</v>
      </c>
      <c r="V99" s="75">
        <v>1</v>
      </c>
      <c r="W99" s="75">
        <v>1</v>
      </c>
      <c r="X99" s="76"/>
      <c r="Y99" s="76"/>
      <c r="Z99" s="75"/>
      <c r="AA99" s="75"/>
      <c r="AB99" s="75">
        <v>1</v>
      </c>
      <c r="AC99" s="75">
        <v>1</v>
      </c>
      <c r="AD99" s="75">
        <v>1</v>
      </c>
      <c r="AE99" s="76"/>
      <c r="AF99" s="76"/>
      <c r="AG99" s="75"/>
      <c r="AH99" s="75"/>
      <c r="AI99" s="75">
        <v>1</v>
      </c>
      <c r="AJ99" s="75">
        <v>1</v>
      </c>
      <c r="AK99" s="111"/>
      <c r="AL99" s="76"/>
      <c r="AM99" s="107"/>
      <c r="AN99" s="123"/>
      <c r="AO99" s="123"/>
      <c r="AP99" s="123"/>
      <c r="AQ99" s="123"/>
      <c r="AR99" s="123"/>
      <c r="AS99" s="123"/>
      <c r="AT99" s="123"/>
      <c r="AU99" s="123"/>
      <c r="AV99" s="108"/>
      <c r="AW99" s="428"/>
    </row>
    <row r="100" spans="1:49">
      <c r="A100" s="490"/>
      <c r="B100" s="500"/>
      <c r="C100" s="433"/>
      <c r="D100" s="474"/>
      <c r="E100" s="447"/>
      <c r="F100" s="433"/>
      <c r="G100" s="47"/>
      <c r="H100" s="48" t="s">
        <v>15</v>
      </c>
      <c r="I100" s="75"/>
      <c r="J100" s="76"/>
      <c r="K100" s="77"/>
      <c r="L100" s="47"/>
      <c r="M100" s="47"/>
      <c r="N100" s="47"/>
      <c r="O100" s="47"/>
      <c r="P100" s="75"/>
      <c r="Q100" s="96"/>
      <c r="R100" s="96"/>
      <c r="S100" s="96"/>
      <c r="T100" s="75"/>
      <c r="U100" s="47"/>
      <c r="V100" s="47"/>
      <c r="W100" s="47"/>
      <c r="X100" s="77"/>
      <c r="Y100" s="76"/>
      <c r="Z100" s="75"/>
      <c r="AA100" s="75"/>
      <c r="AB100" s="47"/>
      <c r="AC100" s="47"/>
      <c r="AD100" s="47"/>
      <c r="AE100" s="76"/>
      <c r="AF100" s="76"/>
      <c r="AG100" s="75"/>
      <c r="AH100" s="75"/>
      <c r="AI100" s="47"/>
      <c r="AJ100" s="47"/>
      <c r="AK100" s="111"/>
      <c r="AL100" s="76"/>
      <c r="AM100" s="107"/>
      <c r="AN100" s="123"/>
      <c r="AO100" s="123"/>
      <c r="AP100" s="123"/>
      <c r="AQ100" s="123"/>
      <c r="AR100" s="123"/>
      <c r="AS100" s="123"/>
      <c r="AT100" s="123"/>
      <c r="AU100" s="123"/>
      <c r="AV100" s="108"/>
      <c r="AW100" s="428"/>
    </row>
    <row r="101" spans="1:49">
      <c r="A101" s="490"/>
      <c r="B101" s="500"/>
      <c r="C101" s="433"/>
      <c r="D101" s="474"/>
      <c r="E101" s="447"/>
      <c r="F101" s="433"/>
      <c r="G101" s="47"/>
      <c r="H101" s="46" t="s">
        <v>32</v>
      </c>
      <c r="I101" s="75"/>
      <c r="J101" s="76"/>
      <c r="K101" s="76"/>
      <c r="L101" s="75"/>
      <c r="M101" s="75"/>
      <c r="N101" s="75"/>
      <c r="O101" s="75"/>
      <c r="P101" s="75">
        <f>($C$86*5)</f>
        <v>10000</v>
      </c>
      <c r="Q101" s="96"/>
      <c r="R101" s="96"/>
      <c r="S101" s="96"/>
      <c r="T101" s="75"/>
      <c r="U101" s="75"/>
      <c r="V101" s="75"/>
      <c r="W101" s="75"/>
      <c r="X101" s="76"/>
      <c r="Y101" s="76"/>
      <c r="Z101" s="75">
        <f>($C$86*5)+($C$86*5*10%)</f>
        <v>11000</v>
      </c>
      <c r="AA101" s="75"/>
      <c r="AB101" s="75"/>
      <c r="AC101" s="75"/>
      <c r="AD101" s="75"/>
      <c r="AE101" s="76"/>
      <c r="AF101" s="76"/>
      <c r="AG101" s="75">
        <f>($C$86*5)+($C$86*5*10%)</f>
        <v>11000</v>
      </c>
      <c r="AH101" s="75"/>
      <c r="AI101" s="75"/>
      <c r="AJ101" s="75"/>
      <c r="AK101" s="111"/>
      <c r="AL101" s="76"/>
      <c r="AM101" s="107"/>
      <c r="AN101" s="123"/>
      <c r="AO101" s="123"/>
      <c r="AP101" s="123"/>
      <c r="AQ101" s="123"/>
      <c r="AR101" s="123"/>
      <c r="AS101" s="123"/>
      <c r="AT101" s="123"/>
      <c r="AU101" s="123"/>
      <c r="AV101" s="108"/>
      <c r="AW101" s="428"/>
    </row>
    <row r="102" spans="1:49">
      <c r="A102" s="490"/>
      <c r="B102" s="500"/>
      <c r="C102" s="433"/>
      <c r="D102" s="474"/>
      <c r="E102" s="447"/>
      <c r="F102" s="433"/>
      <c r="G102" s="47"/>
      <c r="H102" s="46" t="s">
        <v>51</v>
      </c>
      <c r="I102" s="75"/>
      <c r="J102" s="76"/>
      <c r="K102" s="76"/>
      <c r="L102" s="75"/>
      <c r="M102" s="75"/>
      <c r="N102" s="75"/>
      <c r="O102" s="75"/>
      <c r="P102" s="75">
        <v>1</v>
      </c>
      <c r="Q102" s="96"/>
      <c r="R102" s="96"/>
      <c r="S102" s="96"/>
      <c r="T102" s="75"/>
      <c r="U102" s="75"/>
      <c r="V102" s="75"/>
      <c r="W102" s="75"/>
      <c r="X102" s="76"/>
      <c r="Y102" s="76"/>
      <c r="Z102" s="75">
        <v>1</v>
      </c>
      <c r="AA102" s="75"/>
      <c r="AB102" s="75"/>
      <c r="AC102" s="75"/>
      <c r="AD102" s="75"/>
      <c r="AE102" s="76"/>
      <c r="AF102" s="76"/>
      <c r="AG102" s="75">
        <v>1</v>
      </c>
      <c r="AH102" s="75"/>
      <c r="AI102" s="75"/>
      <c r="AJ102" s="75"/>
      <c r="AK102" s="111"/>
      <c r="AL102" s="76"/>
      <c r="AM102" s="107"/>
      <c r="AN102" s="123"/>
      <c r="AO102" s="123"/>
      <c r="AP102" s="123"/>
      <c r="AQ102" s="123"/>
      <c r="AR102" s="123"/>
      <c r="AS102" s="123"/>
      <c r="AT102" s="123"/>
      <c r="AU102" s="123"/>
      <c r="AV102" s="108"/>
      <c r="AW102" s="428"/>
    </row>
    <row r="103" spans="1:49">
      <c r="A103" s="495"/>
      <c r="B103" s="507"/>
      <c r="C103" s="434"/>
      <c r="D103" s="526"/>
      <c r="E103" s="448"/>
      <c r="F103" s="434"/>
      <c r="G103" s="52"/>
      <c r="H103" s="53" t="s">
        <v>15</v>
      </c>
      <c r="I103" s="87"/>
      <c r="J103" s="88"/>
      <c r="K103" s="88"/>
      <c r="L103" s="87"/>
      <c r="M103" s="87"/>
      <c r="N103" s="87"/>
      <c r="O103" s="87"/>
      <c r="P103" s="82"/>
      <c r="Q103" s="100"/>
      <c r="R103" s="100"/>
      <c r="S103" s="100"/>
      <c r="T103" s="87"/>
      <c r="U103" s="87"/>
      <c r="V103" s="87"/>
      <c r="W103" s="87"/>
      <c r="X103" s="88"/>
      <c r="Y103" s="88"/>
      <c r="Z103" s="87"/>
      <c r="AA103" s="87"/>
      <c r="AB103" s="87"/>
      <c r="AC103" s="87"/>
      <c r="AD103" s="87"/>
      <c r="AE103" s="88"/>
      <c r="AF103" s="88"/>
      <c r="AG103" s="87"/>
      <c r="AH103" s="87"/>
      <c r="AI103" s="87"/>
      <c r="AJ103" s="87"/>
      <c r="AK103" s="119"/>
      <c r="AL103" s="76"/>
      <c r="AM103" s="107"/>
      <c r="AN103" s="123"/>
      <c r="AO103" s="123"/>
      <c r="AP103" s="123"/>
      <c r="AQ103" s="123"/>
      <c r="AR103" s="123"/>
      <c r="AS103" s="123"/>
      <c r="AT103" s="123"/>
      <c r="AU103" s="123"/>
      <c r="AV103" s="108"/>
      <c r="AW103" s="428"/>
    </row>
    <row r="104" spans="1:49" ht="15" customHeight="1">
      <c r="A104" s="494" t="s">
        <v>56</v>
      </c>
      <c r="B104" s="499" t="s">
        <v>57</v>
      </c>
      <c r="C104" s="432">
        <v>1000</v>
      </c>
      <c r="D104" s="525">
        <v>1.0900000000000001</v>
      </c>
      <c r="E104" s="446"/>
      <c r="F104" s="432" t="s">
        <v>54</v>
      </c>
      <c r="G104" s="62">
        <v>0.16</v>
      </c>
      <c r="H104" s="44" t="s">
        <v>12</v>
      </c>
      <c r="I104" s="127">
        <f>2.41*20</f>
        <v>48.2</v>
      </c>
      <c r="J104" s="128"/>
      <c r="K104" s="128"/>
      <c r="L104" s="127"/>
      <c r="M104" s="127"/>
      <c r="N104" s="127"/>
      <c r="O104" s="127"/>
      <c r="P104" s="127"/>
      <c r="Q104" s="99"/>
      <c r="R104" s="99"/>
      <c r="S104" s="99"/>
      <c r="T104" s="127"/>
      <c r="U104" s="127"/>
      <c r="V104" s="127"/>
      <c r="W104" s="127"/>
      <c r="X104" s="128"/>
      <c r="Y104" s="128"/>
      <c r="Z104" s="127"/>
      <c r="AA104" s="127"/>
      <c r="AB104" s="127"/>
      <c r="AC104" s="127"/>
      <c r="AD104" s="127"/>
      <c r="AE104" s="128"/>
      <c r="AF104" s="128"/>
      <c r="AG104" s="127"/>
      <c r="AH104" s="127"/>
      <c r="AI104" s="127"/>
      <c r="AJ104" s="127"/>
      <c r="AK104" s="131"/>
      <c r="AL104" s="76"/>
      <c r="AM104" s="107"/>
      <c r="AN104" s="123"/>
      <c r="AO104" s="123"/>
      <c r="AP104" s="123"/>
      <c r="AQ104" s="123"/>
      <c r="AR104" s="123"/>
      <c r="AS104" s="123"/>
      <c r="AT104" s="123"/>
      <c r="AU104" s="123"/>
      <c r="AV104" s="428"/>
      <c r="AW104" s="428"/>
    </row>
    <row r="105" spans="1:49" ht="15" customHeight="1">
      <c r="A105" s="490"/>
      <c r="B105" s="500"/>
      <c r="C105" s="433"/>
      <c r="D105" s="474"/>
      <c r="E105" s="447"/>
      <c r="F105" s="433"/>
      <c r="G105" s="50"/>
      <c r="H105" s="46" t="s">
        <v>14</v>
      </c>
      <c r="I105" s="86">
        <v>0.25</v>
      </c>
      <c r="J105" s="101"/>
      <c r="K105" s="101"/>
      <c r="L105" s="86"/>
      <c r="M105" s="86"/>
      <c r="N105" s="86"/>
      <c r="O105" s="86"/>
      <c r="P105" s="86"/>
      <c r="Q105" s="130"/>
      <c r="R105" s="130"/>
      <c r="S105" s="130"/>
      <c r="T105" s="86"/>
      <c r="U105" s="86"/>
      <c r="V105" s="86"/>
      <c r="W105" s="86"/>
      <c r="X105" s="101"/>
      <c r="Y105" s="101"/>
      <c r="Z105" s="86"/>
      <c r="AA105" s="86"/>
      <c r="AB105" s="86"/>
      <c r="AC105" s="86"/>
      <c r="AD105" s="86"/>
      <c r="AE105" s="101"/>
      <c r="AF105" s="101"/>
      <c r="AG105" s="86"/>
      <c r="AH105" s="86"/>
      <c r="AI105" s="86"/>
      <c r="AJ105" s="86"/>
      <c r="AK105" s="118"/>
      <c r="AL105" s="76"/>
      <c r="AM105" s="107"/>
      <c r="AN105" s="123"/>
      <c r="AO105" s="123"/>
      <c r="AP105" s="123"/>
      <c r="AQ105" s="123"/>
      <c r="AR105" s="123"/>
      <c r="AS105" s="123"/>
      <c r="AT105" s="123"/>
      <c r="AU105" s="123"/>
      <c r="AV105" s="428"/>
      <c r="AW105" s="428"/>
    </row>
    <row r="106" spans="1:49" ht="15" customHeight="1">
      <c r="A106" s="490"/>
      <c r="B106" s="500"/>
      <c r="C106" s="433"/>
      <c r="D106" s="474"/>
      <c r="E106" s="447"/>
      <c r="F106" s="433"/>
      <c r="G106" s="50"/>
      <c r="H106" s="48" t="s">
        <v>15</v>
      </c>
      <c r="I106" s="86"/>
      <c r="J106" s="101"/>
      <c r="K106" s="101"/>
      <c r="L106" s="86"/>
      <c r="M106" s="86"/>
      <c r="N106" s="86"/>
      <c r="O106" s="86"/>
      <c r="P106" s="86"/>
      <c r="Q106" s="130"/>
      <c r="R106" s="130"/>
      <c r="S106" s="130"/>
      <c r="T106" s="86"/>
      <c r="U106" s="86"/>
      <c r="V106" s="86"/>
      <c r="W106" s="86"/>
      <c r="X106" s="101"/>
      <c r="Y106" s="101"/>
      <c r="Z106" s="86"/>
      <c r="AA106" s="86"/>
      <c r="AB106" s="86"/>
      <c r="AC106" s="86"/>
      <c r="AD106" s="86"/>
      <c r="AE106" s="101"/>
      <c r="AF106" s="101"/>
      <c r="AG106" s="86"/>
      <c r="AH106" s="86"/>
      <c r="AI106" s="86"/>
      <c r="AJ106" s="86"/>
      <c r="AK106" s="118"/>
      <c r="AL106" s="76"/>
      <c r="AM106" s="107"/>
      <c r="AN106" s="123"/>
      <c r="AO106" s="123"/>
      <c r="AP106" s="123"/>
      <c r="AQ106" s="123"/>
      <c r="AR106" s="123"/>
      <c r="AS106" s="123"/>
      <c r="AT106" s="123"/>
      <c r="AU106" s="123"/>
      <c r="AV106" s="428"/>
      <c r="AW106" s="428"/>
    </row>
    <row r="107" spans="1:49">
      <c r="A107" s="490"/>
      <c r="B107" s="500"/>
      <c r="C107" s="433"/>
      <c r="D107" s="474"/>
      <c r="E107" s="447"/>
      <c r="F107" s="433"/>
      <c r="G107" s="50">
        <v>0.12</v>
      </c>
      <c r="H107" s="49" t="s">
        <v>12</v>
      </c>
      <c r="I107" s="75">
        <f>2.81*20</f>
        <v>56.2</v>
      </c>
      <c r="J107" s="76"/>
      <c r="K107" s="76"/>
      <c r="L107" s="75"/>
      <c r="M107" s="75"/>
      <c r="N107" s="75"/>
      <c r="O107" s="75"/>
      <c r="P107" s="75"/>
      <c r="Q107" s="96"/>
      <c r="R107" s="96"/>
      <c r="S107" s="96"/>
      <c r="T107" s="75"/>
      <c r="U107" s="75"/>
      <c r="V107" s="75"/>
      <c r="W107" s="75"/>
      <c r="X107" s="76"/>
      <c r="Y107" s="76"/>
      <c r="Z107" s="75"/>
      <c r="AA107" s="75"/>
      <c r="AB107" s="75"/>
      <c r="AC107" s="75"/>
      <c r="AD107" s="75"/>
      <c r="AE107" s="76"/>
      <c r="AF107" s="76"/>
      <c r="AG107" s="75"/>
      <c r="AH107" s="75"/>
      <c r="AI107" s="75"/>
      <c r="AJ107" s="75"/>
      <c r="AK107" s="111"/>
      <c r="AL107" s="76"/>
      <c r="AM107" s="107"/>
      <c r="AN107" s="117"/>
      <c r="AO107" s="117"/>
      <c r="AP107" s="117"/>
      <c r="AQ107" s="123"/>
      <c r="AR107" s="123"/>
      <c r="AS107" s="123"/>
      <c r="AT107" s="123"/>
      <c r="AU107" s="123"/>
      <c r="AV107" s="428"/>
      <c r="AW107" s="428"/>
    </row>
    <row r="108" spans="1:49">
      <c r="A108" s="490"/>
      <c r="B108" s="500"/>
      <c r="C108" s="433"/>
      <c r="D108" s="474"/>
      <c r="E108" s="447"/>
      <c r="F108" s="433"/>
      <c r="G108" s="47"/>
      <c r="H108" s="46" t="s">
        <v>14</v>
      </c>
      <c r="I108" s="75">
        <v>0.5</v>
      </c>
      <c r="J108" s="76"/>
      <c r="K108" s="76"/>
      <c r="L108" s="75"/>
      <c r="M108" s="75"/>
      <c r="N108" s="75"/>
      <c r="O108" s="75"/>
      <c r="P108" s="75"/>
      <c r="Q108" s="96"/>
      <c r="R108" s="96"/>
      <c r="S108" s="96"/>
      <c r="T108" s="75"/>
      <c r="U108" s="75"/>
      <c r="V108" s="75"/>
      <c r="W108" s="75"/>
      <c r="X108" s="76"/>
      <c r="Y108" s="76"/>
      <c r="Z108" s="75"/>
      <c r="AA108" s="75"/>
      <c r="AB108" s="75"/>
      <c r="AC108" s="75"/>
      <c r="AD108" s="75"/>
      <c r="AE108" s="76"/>
      <c r="AF108" s="76"/>
      <c r="AG108" s="75"/>
      <c r="AH108" s="75"/>
      <c r="AI108" s="75"/>
      <c r="AJ108" s="75"/>
      <c r="AK108" s="111"/>
      <c r="AL108" s="76"/>
      <c r="AM108" s="107"/>
      <c r="AN108" s="123"/>
      <c r="AO108" s="123"/>
      <c r="AP108" s="123"/>
      <c r="AQ108" s="123"/>
      <c r="AR108" s="123"/>
      <c r="AS108" s="123"/>
      <c r="AT108" s="123"/>
      <c r="AU108" s="123"/>
      <c r="AV108" s="428"/>
      <c r="AW108" s="428"/>
    </row>
    <row r="109" spans="1:49">
      <c r="A109" s="490"/>
      <c r="B109" s="500"/>
      <c r="C109" s="433"/>
      <c r="D109" s="474"/>
      <c r="E109" s="447"/>
      <c r="F109" s="433"/>
      <c r="G109" s="47"/>
      <c r="H109" s="48" t="s">
        <v>15</v>
      </c>
      <c r="I109" s="75"/>
      <c r="J109" s="76"/>
      <c r="K109" s="76"/>
      <c r="L109" s="75"/>
      <c r="M109" s="75"/>
      <c r="N109" s="75"/>
      <c r="O109" s="75"/>
      <c r="P109" s="75"/>
      <c r="Q109" s="96"/>
      <c r="R109" s="96"/>
      <c r="S109" s="96"/>
      <c r="T109" s="75"/>
      <c r="U109" s="75"/>
      <c r="V109" s="75"/>
      <c r="W109" s="75"/>
      <c r="X109" s="76"/>
      <c r="Y109" s="76"/>
      <c r="Z109" s="75"/>
      <c r="AA109" s="75"/>
      <c r="AB109" s="75"/>
      <c r="AC109" s="75"/>
      <c r="AD109" s="75"/>
      <c r="AE109" s="76"/>
      <c r="AF109" s="76"/>
      <c r="AG109" s="75"/>
      <c r="AH109" s="75"/>
      <c r="AI109" s="75"/>
      <c r="AJ109" s="75"/>
      <c r="AK109" s="111"/>
      <c r="AL109" s="76"/>
      <c r="AM109" s="107"/>
      <c r="AN109" s="123"/>
      <c r="AO109" s="123"/>
      <c r="AP109" s="123"/>
      <c r="AQ109" s="123"/>
      <c r="AR109" s="123"/>
      <c r="AS109" s="123"/>
      <c r="AT109" s="123"/>
      <c r="AU109" s="123"/>
      <c r="AV109" s="108"/>
      <c r="AW109" s="108"/>
    </row>
    <row r="110" spans="1:49">
      <c r="A110" s="490"/>
      <c r="B110" s="500"/>
      <c r="C110" s="433"/>
      <c r="D110" s="474"/>
      <c r="E110" s="447"/>
      <c r="F110" s="433"/>
      <c r="G110" s="47" t="s">
        <v>55</v>
      </c>
      <c r="H110" s="46" t="s">
        <v>22</v>
      </c>
      <c r="I110" s="75"/>
      <c r="J110" s="76"/>
      <c r="K110" s="76"/>
      <c r="L110" s="75"/>
      <c r="M110" s="75"/>
      <c r="N110" s="75"/>
      <c r="O110" s="75">
        <f>$O$119*$D$104</f>
        <v>5450</v>
      </c>
      <c r="P110" s="75"/>
      <c r="Q110" s="96"/>
      <c r="R110" s="96"/>
      <c r="S110" s="96"/>
      <c r="T110" s="75"/>
      <c r="U110" s="75"/>
      <c r="V110" s="75"/>
      <c r="W110" s="75">
        <f>$O$119*$D$104</f>
        <v>5450</v>
      </c>
      <c r="X110" s="76"/>
      <c r="Y110" s="76"/>
      <c r="Z110" s="75"/>
      <c r="AA110" s="75"/>
      <c r="AB110" s="75"/>
      <c r="AC110" s="75"/>
      <c r="AD110" s="75">
        <f>$O$119*$D$104</f>
        <v>5450</v>
      </c>
      <c r="AE110" s="76"/>
      <c r="AF110" s="76"/>
      <c r="AG110" s="75"/>
      <c r="AH110" s="75"/>
      <c r="AI110" s="75"/>
      <c r="AJ110" s="75"/>
      <c r="AK110" s="111"/>
      <c r="AL110" s="76"/>
      <c r="AM110" s="107"/>
      <c r="AN110" s="123"/>
      <c r="AO110" s="123"/>
      <c r="AP110" s="123"/>
      <c r="AQ110" s="123"/>
      <c r="AR110" s="123"/>
      <c r="AS110" s="123"/>
      <c r="AT110" s="123"/>
      <c r="AU110" s="123"/>
      <c r="AV110" s="108"/>
      <c r="AW110" s="108"/>
    </row>
    <row r="111" spans="1:49">
      <c r="A111" s="490"/>
      <c r="B111" s="500"/>
      <c r="C111" s="433"/>
      <c r="D111" s="474"/>
      <c r="E111" s="447"/>
      <c r="F111" s="433"/>
      <c r="G111" s="47"/>
      <c r="H111" s="46" t="s">
        <v>20</v>
      </c>
      <c r="I111" s="75"/>
      <c r="J111" s="76"/>
      <c r="K111" s="76"/>
      <c r="L111" s="75"/>
      <c r="M111" s="75"/>
      <c r="N111" s="75"/>
      <c r="O111" s="75">
        <v>0.5</v>
      </c>
      <c r="P111" s="75"/>
      <c r="Q111" s="96"/>
      <c r="R111" s="96"/>
      <c r="S111" s="96"/>
      <c r="T111" s="75"/>
      <c r="U111" s="75"/>
      <c r="V111" s="75"/>
      <c r="W111" s="75">
        <v>0.5</v>
      </c>
      <c r="X111" s="76"/>
      <c r="Y111" s="76"/>
      <c r="Z111" s="75"/>
      <c r="AA111" s="75"/>
      <c r="AB111" s="75"/>
      <c r="AC111" s="75"/>
      <c r="AD111" s="75">
        <v>0.5</v>
      </c>
      <c r="AE111" s="76"/>
      <c r="AF111" s="76"/>
      <c r="AG111" s="75"/>
      <c r="AH111" s="75"/>
      <c r="AI111" s="75"/>
      <c r="AJ111" s="75"/>
      <c r="AK111" s="111"/>
      <c r="AL111" s="76"/>
      <c r="AM111" s="107"/>
      <c r="AN111" s="123"/>
      <c r="AO111" s="123"/>
      <c r="AP111" s="123"/>
      <c r="AQ111" s="123"/>
      <c r="AR111" s="123"/>
      <c r="AS111" s="123"/>
      <c r="AT111" s="123"/>
      <c r="AU111" s="123"/>
      <c r="AV111" s="108"/>
      <c r="AW111" s="108"/>
    </row>
    <row r="112" spans="1:49">
      <c r="A112" s="490"/>
      <c r="B112" s="500"/>
      <c r="C112" s="433"/>
      <c r="D112" s="474"/>
      <c r="E112" s="447"/>
      <c r="F112" s="433"/>
      <c r="G112" s="47"/>
      <c r="H112" s="48" t="s">
        <v>15</v>
      </c>
      <c r="I112" s="75"/>
      <c r="J112" s="76"/>
      <c r="K112" s="76"/>
      <c r="L112" s="75"/>
      <c r="M112" s="75"/>
      <c r="N112" s="75"/>
      <c r="O112" s="75"/>
      <c r="P112" s="75"/>
      <c r="Q112" s="96"/>
      <c r="R112" s="96"/>
      <c r="S112" s="96"/>
      <c r="T112" s="75"/>
      <c r="U112" s="75"/>
      <c r="V112" s="75"/>
      <c r="W112" s="75"/>
      <c r="X112" s="76"/>
      <c r="Y112" s="76"/>
      <c r="Z112" s="75"/>
      <c r="AA112" s="75"/>
      <c r="AB112" s="75"/>
      <c r="AC112" s="75"/>
      <c r="AD112" s="75"/>
      <c r="AE112" s="76"/>
      <c r="AF112" s="76"/>
      <c r="AG112" s="75"/>
      <c r="AH112" s="75"/>
      <c r="AI112" s="75"/>
      <c r="AJ112" s="75"/>
      <c r="AK112" s="111"/>
      <c r="AL112" s="76"/>
      <c r="AM112" s="107"/>
      <c r="AN112" s="123"/>
      <c r="AO112" s="123"/>
      <c r="AP112" s="123"/>
      <c r="AQ112" s="123"/>
      <c r="AR112" s="123"/>
      <c r="AS112" s="123"/>
      <c r="AT112" s="123"/>
      <c r="AU112" s="123"/>
      <c r="AV112" s="108"/>
      <c r="AW112" s="108"/>
    </row>
    <row r="113" spans="1:49">
      <c r="A113" s="490"/>
      <c r="B113" s="500"/>
      <c r="C113" s="433"/>
      <c r="D113" s="474"/>
      <c r="E113" s="447"/>
      <c r="F113" s="433"/>
      <c r="G113" s="47" t="s">
        <v>28</v>
      </c>
      <c r="H113" s="46" t="s">
        <v>29</v>
      </c>
      <c r="I113" s="75">
        <f>$O$119*$D$104</f>
        <v>5450</v>
      </c>
      <c r="J113" s="76"/>
      <c r="K113" s="76"/>
      <c r="L113" s="75"/>
      <c r="M113" s="75"/>
      <c r="N113" s="75"/>
      <c r="O113" s="75"/>
      <c r="P113" s="75">
        <f>$O$119*$D$104</f>
        <v>5450</v>
      </c>
      <c r="Q113" s="96"/>
      <c r="R113" s="96"/>
      <c r="S113" s="96"/>
      <c r="T113" s="75"/>
      <c r="U113" s="75"/>
      <c r="V113" s="75"/>
      <c r="W113" s="75"/>
      <c r="X113" s="76"/>
      <c r="Y113" s="76"/>
      <c r="Z113" s="75">
        <f>$O$119*$D$104</f>
        <v>5450</v>
      </c>
      <c r="AA113" s="75"/>
      <c r="AB113" s="75"/>
      <c r="AC113" s="75"/>
      <c r="AD113" s="75"/>
      <c r="AE113" s="76"/>
      <c r="AF113" s="76"/>
      <c r="AG113" s="75">
        <f>$O$119*$D$104</f>
        <v>5450</v>
      </c>
      <c r="AH113" s="75"/>
      <c r="AI113" s="75"/>
      <c r="AJ113" s="75"/>
      <c r="AK113" s="111"/>
      <c r="AL113" s="76"/>
      <c r="AM113" s="107"/>
      <c r="AN113" s="123"/>
      <c r="AO113" s="123"/>
      <c r="AP113" s="123"/>
      <c r="AQ113" s="123"/>
      <c r="AR113" s="123"/>
      <c r="AS113" s="123"/>
      <c r="AT113" s="123"/>
      <c r="AU113" s="123"/>
      <c r="AV113" s="108"/>
      <c r="AW113" s="108"/>
    </row>
    <row r="114" spans="1:49">
      <c r="A114" s="490"/>
      <c r="B114" s="500"/>
      <c r="C114" s="433"/>
      <c r="D114" s="474"/>
      <c r="E114" s="447"/>
      <c r="F114" s="433"/>
      <c r="G114" s="47"/>
      <c r="H114" s="46" t="s">
        <v>27</v>
      </c>
      <c r="I114" s="75">
        <v>0.5</v>
      </c>
      <c r="J114" s="76"/>
      <c r="K114" s="76"/>
      <c r="L114" s="75"/>
      <c r="M114" s="75"/>
      <c r="N114" s="75"/>
      <c r="O114" s="75"/>
      <c r="P114" s="75">
        <v>0.5</v>
      </c>
      <c r="Q114" s="96"/>
      <c r="R114" s="96"/>
      <c r="S114" s="96"/>
      <c r="T114" s="75"/>
      <c r="U114" s="75"/>
      <c r="V114" s="75"/>
      <c r="W114" s="75"/>
      <c r="X114" s="76"/>
      <c r="Y114" s="76"/>
      <c r="Z114" s="75">
        <v>0.5</v>
      </c>
      <c r="AA114" s="75"/>
      <c r="AB114" s="75"/>
      <c r="AC114" s="75"/>
      <c r="AD114" s="75"/>
      <c r="AE114" s="76"/>
      <c r="AF114" s="76"/>
      <c r="AG114" s="75">
        <v>0.5</v>
      </c>
      <c r="AH114" s="75"/>
      <c r="AI114" s="75"/>
      <c r="AJ114" s="75"/>
      <c r="AK114" s="111"/>
      <c r="AL114" s="76"/>
      <c r="AM114" s="107"/>
      <c r="AN114" s="123"/>
      <c r="AO114" s="123"/>
      <c r="AP114" s="123"/>
      <c r="AQ114" s="123"/>
      <c r="AR114" s="123"/>
      <c r="AS114" s="123"/>
      <c r="AT114" s="123"/>
      <c r="AU114" s="123"/>
      <c r="AV114" s="108"/>
      <c r="AW114" s="108"/>
    </row>
    <row r="115" spans="1:49">
      <c r="A115" s="490"/>
      <c r="B115" s="500"/>
      <c r="C115" s="433"/>
      <c r="D115" s="474"/>
      <c r="E115" s="447"/>
      <c r="F115" s="433"/>
      <c r="G115" s="47"/>
      <c r="H115" s="48" t="s">
        <v>15</v>
      </c>
      <c r="I115" s="75"/>
      <c r="J115" s="76"/>
      <c r="K115" s="76"/>
      <c r="L115" s="75"/>
      <c r="M115" s="75"/>
      <c r="N115" s="75"/>
      <c r="O115" s="75"/>
      <c r="P115" s="75"/>
      <c r="Q115" s="96"/>
      <c r="R115" s="96"/>
      <c r="S115" s="96"/>
      <c r="T115" s="75"/>
      <c r="U115" s="75"/>
      <c r="V115" s="75"/>
      <c r="W115" s="75"/>
      <c r="X115" s="76"/>
      <c r="Y115" s="76"/>
      <c r="Z115" s="75"/>
      <c r="AA115" s="75"/>
      <c r="AB115" s="75"/>
      <c r="AC115" s="75"/>
      <c r="AD115" s="75"/>
      <c r="AE115" s="76"/>
      <c r="AF115" s="76"/>
      <c r="AG115" s="75"/>
      <c r="AH115" s="75"/>
      <c r="AI115" s="75"/>
      <c r="AJ115" s="75"/>
      <c r="AK115" s="111"/>
      <c r="AL115" s="76"/>
      <c r="AM115" s="107"/>
      <c r="AN115" s="123"/>
      <c r="AO115" s="123"/>
      <c r="AP115" s="123"/>
      <c r="AQ115" s="123"/>
      <c r="AR115" s="123"/>
      <c r="AS115" s="123"/>
      <c r="AT115" s="123"/>
      <c r="AU115" s="123"/>
      <c r="AV115" s="108"/>
      <c r="AW115" s="108"/>
    </row>
    <row r="116" spans="1:49">
      <c r="A116" s="490"/>
      <c r="B116" s="500"/>
      <c r="C116" s="433"/>
      <c r="D116" s="474"/>
      <c r="E116" s="447"/>
      <c r="F116" s="433"/>
      <c r="G116" s="47"/>
      <c r="H116" s="46" t="s">
        <v>49</v>
      </c>
      <c r="I116" s="75"/>
      <c r="J116" s="76"/>
      <c r="K116" s="90"/>
      <c r="L116" s="89"/>
      <c r="M116" s="89">
        <f>$O$119*$D$104</f>
        <v>5450</v>
      </c>
      <c r="N116" s="75"/>
      <c r="O116" s="75"/>
      <c r="P116" s="75"/>
      <c r="Q116" s="96"/>
      <c r="R116" s="96"/>
      <c r="S116" s="96"/>
      <c r="T116" s="89"/>
      <c r="U116" s="89">
        <f>$O$119*$D$104</f>
        <v>5450</v>
      </c>
      <c r="V116" s="75"/>
      <c r="W116" s="75"/>
      <c r="X116" s="90"/>
      <c r="Y116" s="76"/>
      <c r="Z116" s="75"/>
      <c r="AA116" s="89"/>
      <c r="AB116" s="89">
        <f>$O$119*$D$104</f>
        <v>5450</v>
      </c>
      <c r="AC116" s="75"/>
      <c r="AD116" s="75"/>
      <c r="AE116" s="76"/>
      <c r="AF116" s="76"/>
      <c r="AG116" s="75"/>
      <c r="AH116" s="89"/>
      <c r="AI116" s="89">
        <f>$O$119*$D$104</f>
        <v>5450</v>
      </c>
      <c r="AJ116" s="75"/>
      <c r="AK116" s="111"/>
      <c r="AL116" s="76"/>
      <c r="AM116" s="107"/>
      <c r="AN116" s="123"/>
      <c r="AO116" s="123"/>
      <c r="AP116" s="123"/>
      <c r="AQ116" s="123"/>
      <c r="AR116" s="123"/>
      <c r="AS116" s="123"/>
      <c r="AT116" s="123"/>
      <c r="AU116" s="123"/>
      <c r="AV116" s="108"/>
      <c r="AW116" s="108"/>
    </row>
    <row r="117" spans="1:49">
      <c r="A117" s="490"/>
      <c r="B117" s="500"/>
      <c r="C117" s="433"/>
      <c r="D117" s="474"/>
      <c r="E117" s="447"/>
      <c r="F117" s="433"/>
      <c r="G117" s="47"/>
      <c r="H117" s="46" t="s">
        <v>50</v>
      </c>
      <c r="I117" s="75"/>
      <c r="J117" s="76"/>
      <c r="K117" s="76"/>
      <c r="L117" s="75"/>
      <c r="M117" s="75">
        <v>1</v>
      </c>
      <c r="N117" s="75"/>
      <c r="O117" s="75"/>
      <c r="P117" s="75"/>
      <c r="Q117" s="96"/>
      <c r="R117" s="96"/>
      <c r="S117" s="96"/>
      <c r="T117" s="75"/>
      <c r="U117" s="75">
        <v>1</v>
      </c>
      <c r="V117" s="75"/>
      <c r="W117" s="75"/>
      <c r="X117" s="76"/>
      <c r="Y117" s="76"/>
      <c r="Z117" s="75"/>
      <c r="AA117" s="75"/>
      <c r="AB117" s="75">
        <v>1</v>
      </c>
      <c r="AC117" s="75"/>
      <c r="AD117" s="75"/>
      <c r="AE117" s="76"/>
      <c r="AF117" s="76"/>
      <c r="AG117" s="75"/>
      <c r="AH117" s="75"/>
      <c r="AI117" s="75">
        <v>1</v>
      </c>
      <c r="AJ117" s="75"/>
      <c r="AK117" s="111"/>
      <c r="AL117" s="76"/>
      <c r="AM117" s="107"/>
      <c r="AN117" s="123"/>
      <c r="AO117" s="123"/>
      <c r="AP117" s="123"/>
      <c r="AQ117" s="123"/>
      <c r="AR117" s="123"/>
      <c r="AS117" s="123"/>
      <c r="AT117" s="123"/>
      <c r="AU117" s="123"/>
      <c r="AV117" s="108"/>
      <c r="AW117" s="108"/>
    </row>
    <row r="118" spans="1:49">
      <c r="A118" s="490"/>
      <c r="B118" s="500"/>
      <c r="C118" s="433"/>
      <c r="D118" s="474"/>
      <c r="E118" s="447"/>
      <c r="F118" s="433"/>
      <c r="G118" s="47"/>
      <c r="H118" s="48" t="s">
        <v>15</v>
      </c>
      <c r="I118" s="75"/>
      <c r="J118" s="76"/>
      <c r="K118" s="76"/>
      <c r="L118" s="75"/>
      <c r="M118" s="75"/>
      <c r="N118" s="75"/>
      <c r="O118" s="75"/>
      <c r="P118" s="75"/>
      <c r="Q118" s="96"/>
      <c r="R118" s="96"/>
      <c r="S118" s="96"/>
      <c r="T118" s="75"/>
      <c r="U118" s="75"/>
      <c r="V118" s="75"/>
      <c r="W118" s="75"/>
      <c r="X118" s="76"/>
      <c r="Y118" s="76"/>
      <c r="Z118" s="75"/>
      <c r="AA118" s="75"/>
      <c r="AB118" s="75"/>
      <c r="AC118" s="75"/>
      <c r="AD118" s="75"/>
      <c r="AE118" s="76"/>
      <c r="AF118" s="76"/>
      <c r="AG118" s="75"/>
      <c r="AH118" s="75"/>
      <c r="AI118" s="75"/>
      <c r="AJ118" s="75"/>
      <c r="AK118" s="111"/>
      <c r="AL118" s="76"/>
      <c r="AM118" s="107"/>
      <c r="AN118" s="123"/>
      <c r="AO118" s="123"/>
      <c r="AP118" s="123"/>
      <c r="AQ118" s="123"/>
      <c r="AR118" s="123"/>
      <c r="AS118" s="123"/>
      <c r="AT118" s="123"/>
      <c r="AU118" s="123"/>
      <c r="AV118" s="108"/>
      <c r="AW118" s="108"/>
    </row>
    <row r="119" spans="1:49">
      <c r="A119" s="490"/>
      <c r="B119" s="500"/>
      <c r="C119" s="433"/>
      <c r="D119" s="474"/>
      <c r="E119" s="447"/>
      <c r="F119" s="433"/>
      <c r="G119" s="47"/>
      <c r="H119" s="46" t="s">
        <v>32</v>
      </c>
      <c r="I119" s="75"/>
      <c r="J119" s="76"/>
      <c r="K119" s="76"/>
      <c r="L119" s="75"/>
      <c r="M119" s="75"/>
      <c r="N119" s="15"/>
      <c r="O119" s="75">
        <f>($C$104*5)</f>
        <v>5000</v>
      </c>
      <c r="P119" s="75"/>
      <c r="Q119" s="96"/>
      <c r="R119" s="96"/>
      <c r="S119" s="96"/>
      <c r="T119" s="75"/>
      <c r="U119" s="75"/>
      <c r="V119" s="15"/>
      <c r="W119" s="75">
        <f>($C$104*5)</f>
        <v>5000</v>
      </c>
      <c r="X119" s="76"/>
      <c r="Y119" s="76"/>
      <c r="Z119" s="75"/>
      <c r="AA119" s="75"/>
      <c r="AB119" s="75"/>
      <c r="AC119" s="15"/>
      <c r="AD119" s="75">
        <f>($C$104*5)</f>
        <v>5000</v>
      </c>
      <c r="AE119" s="76"/>
      <c r="AF119" s="76"/>
      <c r="AG119" s="75"/>
      <c r="AH119" s="75"/>
      <c r="AI119" s="75"/>
      <c r="AJ119" s="15"/>
      <c r="AK119" s="111"/>
      <c r="AL119" s="76"/>
      <c r="AM119" s="107"/>
      <c r="AN119" s="123"/>
      <c r="AO119" s="123"/>
      <c r="AP119" s="123"/>
      <c r="AQ119" s="123"/>
      <c r="AR119" s="123"/>
      <c r="AS119" s="123"/>
      <c r="AT119" s="123"/>
      <c r="AU119" s="123"/>
      <c r="AV119" s="108"/>
      <c r="AW119" s="108"/>
    </row>
    <row r="120" spans="1:49">
      <c r="A120" s="490"/>
      <c r="B120" s="500"/>
      <c r="C120" s="433"/>
      <c r="D120" s="474"/>
      <c r="E120" s="447"/>
      <c r="F120" s="433"/>
      <c r="G120" s="47"/>
      <c r="H120" s="46" t="s">
        <v>51</v>
      </c>
      <c r="I120" s="75"/>
      <c r="J120" s="76"/>
      <c r="K120" s="76"/>
      <c r="L120" s="75"/>
      <c r="M120" s="75"/>
      <c r="N120" s="15"/>
      <c r="O120" s="75">
        <v>1</v>
      </c>
      <c r="P120" s="75"/>
      <c r="Q120" s="96"/>
      <c r="R120" s="96"/>
      <c r="S120" s="96"/>
      <c r="T120" s="75"/>
      <c r="U120" s="75"/>
      <c r="V120" s="15"/>
      <c r="W120" s="75">
        <v>1</v>
      </c>
      <c r="X120" s="76"/>
      <c r="Y120" s="76"/>
      <c r="Z120" s="75"/>
      <c r="AA120" s="75"/>
      <c r="AB120" s="75"/>
      <c r="AC120" s="15"/>
      <c r="AD120" s="75">
        <v>1</v>
      </c>
      <c r="AE120" s="76"/>
      <c r="AF120" s="76"/>
      <c r="AG120" s="75"/>
      <c r="AH120" s="75"/>
      <c r="AI120" s="75"/>
      <c r="AJ120" s="15"/>
      <c r="AK120" s="111"/>
      <c r="AL120" s="76"/>
      <c r="AM120" s="107"/>
      <c r="AN120" s="123"/>
      <c r="AO120" s="123"/>
      <c r="AP120" s="123"/>
      <c r="AQ120" s="123"/>
      <c r="AR120" s="123"/>
      <c r="AS120" s="123"/>
      <c r="AT120" s="123"/>
      <c r="AU120" s="123"/>
      <c r="AV120" s="108"/>
      <c r="AW120" s="108"/>
    </row>
    <row r="121" spans="1:49">
      <c r="A121" s="495"/>
      <c r="B121" s="507"/>
      <c r="C121" s="434"/>
      <c r="D121" s="526"/>
      <c r="E121" s="448"/>
      <c r="F121" s="434"/>
      <c r="G121" s="52"/>
      <c r="H121" s="53" t="s">
        <v>15</v>
      </c>
      <c r="I121" s="87"/>
      <c r="J121" s="88"/>
      <c r="K121" s="88"/>
      <c r="L121" s="87"/>
      <c r="M121" s="87"/>
      <c r="N121" s="87"/>
      <c r="O121" s="87"/>
      <c r="P121" s="87"/>
      <c r="Q121" s="100"/>
      <c r="R121" s="100"/>
      <c r="S121" s="100"/>
      <c r="T121" s="87"/>
      <c r="U121" s="87"/>
      <c r="V121" s="87"/>
      <c r="W121" s="87"/>
      <c r="X121" s="88"/>
      <c r="Y121" s="88"/>
      <c r="Z121" s="87"/>
      <c r="AA121" s="87"/>
      <c r="AB121" s="87"/>
      <c r="AC121" s="87"/>
      <c r="AD121" s="87"/>
      <c r="AE121" s="88"/>
      <c r="AF121" s="88"/>
      <c r="AG121" s="87"/>
      <c r="AH121" s="87"/>
      <c r="AI121" s="87"/>
      <c r="AJ121" s="87"/>
      <c r="AK121" s="119"/>
      <c r="AL121" s="76"/>
      <c r="AM121" s="107"/>
      <c r="AN121" s="123"/>
      <c r="AO121" s="123"/>
      <c r="AP121" s="123"/>
      <c r="AQ121" s="123"/>
      <c r="AR121" s="123"/>
      <c r="AS121" s="123"/>
      <c r="AT121" s="123"/>
      <c r="AU121" s="123"/>
      <c r="AV121" s="108"/>
      <c r="AW121" s="108"/>
    </row>
    <row r="122" spans="1:49">
      <c r="A122" s="483" t="s">
        <v>59</v>
      </c>
      <c r="B122" s="503" t="s">
        <v>60</v>
      </c>
      <c r="C122" s="432">
        <v>13000</v>
      </c>
      <c r="D122" s="525">
        <v>1.56</v>
      </c>
      <c r="E122" s="446"/>
      <c r="F122" s="432" t="s">
        <v>132</v>
      </c>
      <c r="G122" s="62">
        <v>0.08</v>
      </c>
      <c r="H122" s="44" t="s">
        <v>12</v>
      </c>
      <c r="I122" s="127">
        <v>60.71</v>
      </c>
      <c r="J122" s="128"/>
      <c r="K122" s="128"/>
      <c r="L122" s="127">
        <v>60.71</v>
      </c>
      <c r="M122" s="127">
        <v>60.71</v>
      </c>
      <c r="N122" s="127">
        <v>60.71</v>
      </c>
      <c r="O122" s="127">
        <v>60.71</v>
      </c>
      <c r="P122" s="86">
        <v>60.71</v>
      </c>
      <c r="Q122" s="99"/>
      <c r="R122" s="99"/>
      <c r="S122" s="99"/>
      <c r="T122" s="127">
        <v>60.71</v>
      </c>
      <c r="U122" s="127">
        <v>60.71</v>
      </c>
      <c r="V122" s="127">
        <v>60.71</v>
      </c>
      <c r="W122" s="127">
        <v>60.71</v>
      </c>
      <c r="X122" s="128"/>
      <c r="Y122" s="128"/>
      <c r="Z122" s="127">
        <v>60.71</v>
      </c>
      <c r="AA122" s="127">
        <v>60.71</v>
      </c>
      <c r="AB122" s="127">
        <v>60.71</v>
      </c>
      <c r="AC122" s="127">
        <v>60.71</v>
      </c>
      <c r="AD122" s="127">
        <v>60.71</v>
      </c>
      <c r="AE122" s="128"/>
      <c r="AF122" s="128"/>
      <c r="AG122" s="127">
        <v>60.71</v>
      </c>
      <c r="AH122" s="127">
        <v>60.71</v>
      </c>
      <c r="AI122" s="127">
        <v>60.71</v>
      </c>
      <c r="AJ122" s="127">
        <v>60.71</v>
      </c>
      <c r="AK122" s="131"/>
      <c r="AL122" s="76"/>
      <c r="AM122" s="107"/>
      <c r="AN122" s="123"/>
      <c r="AO122" s="123"/>
      <c r="AP122" s="123"/>
      <c r="AQ122" s="123"/>
      <c r="AR122" s="123"/>
      <c r="AS122" s="123"/>
      <c r="AT122" s="123"/>
      <c r="AU122" s="123"/>
      <c r="AV122" s="428"/>
      <c r="AW122" s="428"/>
    </row>
    <row r="123" spans="1:49">
      <c r="A123" s="489"/>
      <c r="B123" s="504"/>
      <c r="C123" s="433"/>
      <c r="D123" s="474"/>
      <c r="E123" s="447"/>
      <c r="F123" s="433"/>
      <c r="G123" s="50"/>
      <c r="H123" s="46" t="s">
        <v>14</v>
      </c>
      <c r="I123" s="86">
        <v>1</v>
      </c>
      <c r="J123" s="101"/>
      <c r="K123" s="101"/>
      <c r="L123" s="86">
        <v>1</v>
      </c>
      <c r="M123" s="86">
        <v>1</v>
      </c>
      <c r="N123" s="86">
        <v>1</v>
      </c>
      <c r="O123" s="86">
        <v>1</v>
      </c>
      <c r="P123" s="86">
        <v>1</v>
      </c>
      <c r="Q123" s="130"/>
      <c r="R123" s="130"/>
      <c r="S123" s="130"/>
      <c r="T123" s="86">
        <v>1</v>
      </c>
      <c r="U123" s="86">
        <v>1</v>
      </c>
      <c r="V123" s="86">
        <v>1</v>
      </c>
      <c r="W123" s="86">
        <v>1</v>
      </c>
      <c r="X123" s="101"/>
      <c r="Y123" s="101"/>
      <c r="Z123" s="86">
        <v>1</v>
      </c>
      <c r="AA123" s="86">
        <v>1</v>
      </c>
      <c r="AB123" s="86">
        <v>1</v>
      </c>
      <c r="AC123" s="86">
        <v>1</v>
      </c>
      <c r="AD123" s="86">
        <v>1</v>
      </c>
      <c r="AE123" s="101"/>
      <c r="AF123" s="101"/>
      <c r="AG123" s="86">
        <v>1</v>
      </c>
      <c r="AH123" s="86">
        <v>1</v>
      </c>
      <c r="AI123" s="86">
        <v>1</v>
      </c>
      <c r="AJ123" s="86">
        <v>1</v>
      </c>
      <c r="AK123" s="118"/>
      <c r="AL123" s="76"/>
      <c r="AM123" s="107"/>
      <c r="AN123" s="123"/>
      <c r="AO123" s="123"/>
      <c r="AP123" s="123"/>
      <c r="AQ123" s="123"/>
      <c r="AR123" s="123"/>
      <c r="AS123" s="123"/>
      <c r="AT123" s="123"/>
      <c r="AU123" s="123"/>
      <c r="AV123" s="428"/>
      <c r="AW123" s="428"/>
    </row>
    <row r="124" spans="1:49">
      <c r="A124" s="489"/>
      <c r="B124" s="504"/>
      <c r="C124" s="433"/>
      <c r="D124" s="474"/>
      <c r="E124" s="447"/>
      <c r="F124" s="433"/>
      <c r="G124" s="126"/>
      <c r="H124" s="58" t="s">
        <v>15</v>
      </c>
      <c r="I124" s="75"/>
      <c r="J124" s="76"/>
      <c r="K124" s="76"/>
      <c r="L124" s="75"/>
      <c r="M124" s="75"/>
      <c r="N124" s="75"/>
      <c r="O124" s="75"/>
      <c r="P124" s="75"/>
      <c r="Q124" s="96"/>
      <c r="R124" s="96"/>
      <c r="S124" s="96"/>
      <c r="T124" s="75"/>
      <c r="U124" s="75"/>
      <c r="V124" s="75"/>
      <c r="W124" s="75"/>
      <c r="X124" s="76"/>
      <c r="Y124" s="76"/>
      <c r="Z124" s="75"/>
      <c r="AA124" s="75"/>
      <c r="AB124" s="75"/>
      <c r="AC124" s="75"/>
      <c r="AD124" s="75"/>
      <c r="AE124" s="76"/>
      <c r="AF124" s="76"/>
      <c r="AG124" s="75"/>
      <c r="AH124" s="75"/>
      <c r="AI124" s="75"/>
      <c r="AJ124" s="75"/>
      <c r="AK124" s="76"/>
      <c r="AL124" s="76"/>
      <c r="AM124" s="107"/>
      <c r="AN124" s="123"/>
      <c r="AO124" s="123"/>
      <c r="AP124" s="123"/>
      <c r="AQ124" s="123"/>
      <c r="AR124" s="123"/>
      <c r="AS124" s="123"/>
      <c r="AT124" s="123"/>
      <c r="AU124" s="123"/>
      <c r="AV124" s="428"/>
      <c r="AW124" s="428"/>
    </row>
    <row r="125" spans="1:49">
      <c r="A125" s="489"/>
      <c r="B125" s="504"/>
      <c r="C125" s="433"/>
      <c r="D125" s="474"/>
      <c r="E125" s="447"/>
      <c r="F125" s="433"/>
      <c r="G125" s="47" t="s">
        <v>62</v>
      </c>
      <c r="H125" s="46" t="s">
        <v>63</v>
      </c>
      <c r="I125" s="75">
        <v>60.71</v>
      </c>
      <c r="J125" s="76"/>
      <c r="K125" s="76"/>
      <c r="L125" s="75">
        <v>60.71</v>
      </c>
      <c r="M125" s="75">
        <v>60.71</v>
      </c>
      <c r="N125" s="75">
        <v>60.71</v>
      </c>
      <c r="O125" s="75">
        <v>60.71</v>
      </c>
      <c r="P125" s="75">
        <v>60.71</v>
      </c>
      <c r="Q125" s="96"/>
      <c r="R125" s="96"/>
      <c r="S125" s="96"/>
      <c r="T125" s="75">
        <v>60.71</v>
      </c>
      <c r="U125" s="75">
        <v>60.71</v>
      </c>
      <c r="V125" s="75">
        <v>60.71</v>
      </c>
      <c r="W125" s="75">
        <v>60.71</v>
      </c>
      <c r="X125" s="76"/>
      <c r="Y125" s="76"/>
      <c r="Z125" s="75">
        <v>60.71</v>
      </c>
      <c r="AA125" s="75">
        <v>60.71</v>
      </c>
      <c r="AB125" s="75">
        <v>60.71</v>
      </c>
      <c r="AC125" s="75">
        <v>60.71</v>
      </c>
      <c r="AD125" s="75">
        <v>60.71</v>
      </c>
      <c r="AE125" s="76"/>
      <c r="AF125" s="76"/>
      <c r="AG125" s="75">
        <v>60.71</v>
      </c>
      <c r="AH125" s="75">
        <v>60.71</v>
      </c>
      <c r="AI125" s="75">
        <v>60.71</v>
      </c>
      <c r="AJ125" s="75">
        <v>60.71</v>
      </c>
      <c r="AK125" s="76"/>
      <c r="AL125" s="76"/>
      <c r="AM125" s="107"/>
      <c r="AN125" s="123"/>
      <c r="AO125" s="123"/>
      <c r="AP125" s="123"/>
      <c r="AQ125" s="123"/>
      <c r="AR125" s="123"/>
      <c r="AS125" s="123"/>
      <c r="AT125" s="123"/>
      <c r="AU125" s="123"/>
      <c r="AV125" s="428"/>
      <c r="AW125" s="428"/>
    </row>
    <row r="126" spans="1:49">
      <c r="A126" s="489"/>
      <c r="B126" s="504"/>
      <c r="C126" s="433"/>
      <c r="D126" s="474"/>
      <c r="E126" s="447"/>
      <c r="F126" s="433"/>
      <c r="G126" s="50"/>
      <c r="H126" s="46" t="s">
        <v>14</v>
      </c>
      <c r="I126" s="86">
        <v>0.5</v>
      </c>
      <c r="J126" s="101"/>
      <c r="K126" s="101"/>
      <c r="L126" s="86">
        <v>0.5</v>
      </c>
      <c r="M126" s="86">
        <v>0.5</v>
      </c>
      <c r="N126" s="86">
        <v>0.5</v>
      </c>
      <c r="O126" s="86">
        <v>0.5</v>
      </c>
      <c r="P126" s="86">
        <v>0.5</v>
      </c>
      <c r="Q126" s="130"/>
      <c r="R126" s="130"/>
      <c r="S126" s="130"/>
      <c r="T126" s="86">
        <v>0.5</v>
      </c>
      <c r="U126" s="86">
        <v>0.5</v>
      </c>
      <c r="V126" s="86">
        <v>0.5</v>
      </c>
      <c r="W126" s="86">
        <v>0.5</v>
      </c>
      <c r="X126" s="101"/>
      <c r="Y126" s="101"/>
      <c r="Z126" s="86">
        <v>0.5</v>
      </c>
      <c r="AA126" s="86">
        <v>0.5</v>
      </c>
      <c r="AB126" s="86">
        <v>0.5</v>
      </c>
      <c r="AC126" s="86">
        <v>0.5</v>
      </c>
      <c r="AD126" s="86">
        <v>0.5</v>
      </c>
      <c r="AE126" s="101"/>
      <c r="AF126" s="101"/>
      <c r="AG126" s="86">
        <v>0.5</v>
      </c>
      <c r="AH126" s="86">
        <v>0.5</v>
      </c>
      <c r="AI126" s="86">
        <v>0.5</v>
      </c>
      <c r="AJ126" s="86">
        <v>0.5</v>
      </c>
      <c r="AK126" s="118"/>
      <c r="AL126" s="76"/>
      <c r="AM126" s="107"/>
      <c r="AN126" s="123"/>
      <c r="AO126" s="123"/>
      <c r="AP126" s="123"/>
      <c r="AQ126" s="123"/>
      <c r="AR126" s="123"/>
      <c r="AS126" s="123"/>
      <c r="AT126" s="123"/>
      <c r="AU126" s="123"/>
      <c r="AV126" s="428"/>
      <c r="AW126" s="428"/>
    </row>
    <row r="127" spans="1:49">
      <c r="A127" s="489"/>
      <c r="B127" s="504"/>
      <c r="C127" s="433"/>
      <c r="D127" s="474"/>
      <c r="E127" s="447"/>
      <c r="F127" s="433"/>
      <c r="G127" s="50"/>
      <c r="H127" s="48" t="s">
        <v>15</v>
      </c>
      <c r="I127" s="86"/>
      <c r="J127" s="101"/>
      <c r="K127" s="101"/>
      <c r="L127" s="86"/>
      <c r="M127" s="86"/>
      <c r="N127" s="86"/>
      <c r="O127" s="86"/>
      <c r="P127" s="86"/>
      <c r="Q127" s="130"/>
      <c r="R127" s="130"/>
      <c r="S127" s="130"/>
      <c r="T127" s="86"/>
      <c r="U127" s="86"/>
      <c r="V127" s="86"/>
      <c r="W127" s="86"/>
      <c r="X127" s="101"/>
      <c r="Y127" s="101"/>
      <c r="Z127" s="86"/>
      <c r="AA127" s="86"/>
      <c r="AB127" s="86"/>
      <c r="AC127" s="86"/>
      <c r="AD127" s="86"/>
      <c r="AE127" s="101"/>
      <c r="AF127" s="101"/>
      <c r="AG127" s="86"/>
      <c r="AH127" s="86"/>
      <c r="AI127" s="86"/>
      <c r="AJ127" s="86"/>
      <c r="AK127" s="118"/>
      <c r="AL127" s="76"/>
      <c r="AM127" s="107"/>
      <c r="AN127" s="123"/>
      <c r="AO127" s="123"/>
      <c r="AP127" s="123"/>
      <c r="AQ127" s="123"/>
      <c r="AR127" s="123"/>
      <c r="AS127" s="123"/>
      <c r="AT127" s="123"/>
      <c r="AU127" s="123"/>
      <c r="AV127" s="428"/>
      <c r="AW127" s="428"/>
    </row>
    <row r="128" spans="1:49">
      <c r="A128" s="489"/>
      <c r="B128" s="504"/>
      <c r="C128" s="433"/>
      <c r="D128" s="474"/>
      <c r="E128" s="447"/>
      <c r="F128" s="433"/>
      <c r="G128" s="50" t="s">
        <v>64</v>
      </c>
      <c r="H128" s="46" t="s">
        <v>22</v>
      </c>
      <c r="I128" s="86">
        <f>$N$137*$D$122/4</f>
        <v>10140</v>
      </c>
      <c r="J128" s="101"/>
      <c r="K128" s="101"/>
      <c r="L128" s="86">
        <f>$N$137*$D$122/2</f>
        <v>20280</v>
      </c>
      <c r="M128" s="86">
        <f t="shared" ref="M128:P128" si="19">$N$137*$D$122/2</f>
        <v>20280</v>
      </c>
      <c r="N128" s="86">
        <f t="shared" si="19"/>
        <v>20280</v>
      </c>
      <c r="O128" s="86">
        <f t="shared" si="19"/>
        <v>20280</v>
      </c>
      <c r="P128" s="86">
        <f t="shared" si="19"/>
        <v>20280</v>
      </c>
      <c r="Q128" s="130"/>
      <c r="R128" s="130"/>
      <c r="S128" s="130"/>
      <c r="T128" s="86">
        <f t="shared" ref="T128:W128" si="20">$N$137*$D$122/2</f>
        <v>20280</v>
      </c>
      <c r="U128" s="86">
        <f t="shared" si="20"/>
        <v>20280</v>
      </c>
      <c r="V128" s="86">
        <f t="shared" si="20"/>
        <v>20280</v>
      </c>
      <c r="W128" s="86">
        <f t="shared" si="20"/>
        <v>20280</v>
      </c>
      <c r="X128" s="101"/>
      <c r="Y128" s="101"/>
      <c r="Z128" s="86">
        <f t="shared" ref="Z128:AD128" si="21">$N$137*$D$122/2</f>
        <v>20280</v>
      </c>
      <c r="AA128" s="86">
        <f t="shared" si="21"/>
        <v>20280</v>
      </c>
      <c r="AB128" s="86">
        <f t="shared" si="21"/>
        <v>20280</v>
      </c>
      <c r="AC128" s="86">
        <f t="shared" si="21"/>
        <v>20280</v>
      </c>
      <c r="AD128" s="86">
        <f t="shared" si="21"/>
        <v>20280</v>
      </c>
      <c r="AE128" s="101"/>
      <c r="AF128" s="101"/>
      <c r="AG128" s="86">
        <f t="shared" ref="AG128:AJ128" si="22">$N$137*$D$122/2</f>
        <v>20280</v>
      </c>
      <c r="AH128" s="86">
        <f t="shared" si="22"/>
        <v>20280</v>
      </c>
      <c r="AI128" s="86">
        <f t="shared" si="22"/>
        <v>20280</v>
      </c>
      <c r="AJ128" s="86">
        <f t="shared" si="22"/>
        <v>20280</v>
      </c>
      <c r="AK128" s="118"/>
      <c r="AL128" s="76"/>
      <c r="AM128" s="107"/>
      <c r="AN128" s="123"/>
      <c r="AO128" s="123"/>
      <c r="AP128" s="123"/>
      <c r="AQ128" s="123"/>
      <c r="AR128" s="123"/>
      <c r="AS128" s="123"/>
      <c r="AT128" s="123"/>
      <c r="AU128" s="123"/>
      <c r="AV128" s="428"/>
      <c r="AW128" s="428"/>
    </row>
    <row r="129" spans="1:49">
      <c r="A129" s="489"/>
      <c r="B129" s="504"/>
      <c r="C129" s="433"/>
      <c r="D129" s="474"/>
      <c r="E129" s="447"/>
      <c r="F129" s="433"/>
      <c r="G129" s="50"/>
      <c r="H129" s="46" t="s">
        <v>20</v>
      </c>
      <c r="I129" s="86">
        <v>1</v>
      </c>
      <c r="J129" s="101"/>
      <c r="K129" s="101"/>
      <c r="L129" s="86">
        <v>1</v>
      </c>
      <c r="M129" s="86">
        <v>1</v>
      </c>
      <c r="N129" s="86">
        <v>1</v>
      </c>
      <c r="O129" s="86">
        <v>1</v>
      </c>
      <c r="P129" s="86">
        <v>1</v>
      </c>
      <c r="Q129" s="130"/>
      <c r="R129" s="130"/>
      <c r="S129" s="130"/>
      <c r="T129" s="86">
        <v>1</v>
      </c>
      <c r="U129" s="86">
        <v>1</v>
      </c>
      <c r="V129" s="86">
        <v>1</v>
      </c>
      <c r="W129" s="86">
        <v>1</v>
      </c>
      <c r="X129" s="101"/>
      <c r="Y129" s="101"/>
      <c r="Z129" s="86"/>
      <c r="AA129" s="86">
        <v>1</v>
      </c>
      <c r="AB129" s="86">
        <v>1</v>
      </c>
      <c r="AC129" s="86">
        <v>1</v>
      </c>
      <c r="AD129" s="86">
        <v>1</v>
      </c>
      <c r="AE129" s="101"/>
      <c r="AF129" s="101"/>
      <c r="AG129" s="86"/>
      <c r="AH129" s="86">
        <v>1</v>
      </c>
      <c r="AI129" s="86">
        <v>1</v>
      </c>
      <c r="AJ129" s="86">
        <v>1</v>
      </c>
      <c r="AK129" s="118"/>
      <c r="AL129" s="76"/>
      <c r="AM129" s="107"/>
      <c r="AN129" s="123"/>
      <c r="AO129" s="123"/>
      <c r="AP129" s="123"/>
      <c r="AQ129" s="123"/>
      <c r="AR129" s="123"/>
      <c r="AS129" s="123"/>
      <c r="AT129" s="123"/>
      <c r="AU129" s="123"/>
      <c r="AV129" s="428"/>
      <c r="AW129" s="428"/>
    </row>
    <row r="130" spans="1:49">
      <c r="A130" s="489"/>
      <c r="B130" s="504"/>
      <c r="C130" s="433"/>
      <c r="D130" s="474"/>
      <c r="E130" s="447"/>
      <c r="F130" s="433"/>
      <c r="G130" s="50"/>
      <c r="H130" s="48" t="s">
        <v>15</v>
      </c>
      <c r="I130" s="86"/>
      <c r="J130" s="101"/>
      <c r="K130" s="101"/>
      <c r="L130" s="86"/>
      <c r="M130" s="86"/>
      <c r="N130" s="86"/>
      <c r="O130" s="86"/>
      <c r="P130" s="86"/>
      <c r="Q130" s="130"/>
      <c r="R130" s="130"/>
      <c r="S130" s="130"/>
      <c r="T130" s="86"/>
      <c r="U130" s="86"/>
      <c r="V130" s="86"/>
      <c r="W130" s="86"/>
      <c r="X130" s="101"/>
      <c r="Y130" s="101"/>
      <c r="Z130" s="86"/>
      <c r="AA130" s="86"/>
      <c r="AB130" s="86"/>
      <c r="AC130" s="86"/>
      <c r="AD130" s="86"/>
      <c r="AE130" s="101"/>
      <c r="AF130" s="101"/>
      <c r="AG130" s="86"/>
      <c r="AH130" s="86"/>
      <c r="AI130" s="86"/>
      <c r="AJ130" s="86"/>
      <c r="AK130" s="118"/>
      <c r="AL130" s="76"/>
      <c r="AM130" s="107"/>
      <c r="AN130" s="123"/>
      <c r="AO130" s="123"/>
      <c r="AP130" s="123"/>
      <c r="AQ130" s="123"/>
      <c r="AR130" s="123"/>
      <c r="AS130" s="123"/>
      <c r="AT130" s="123"/>
      <c r="AU130" s="123"/>
      <c r="AV130" s="428"/>
      <c r="AW130" s="428"/>
    </row>
    <row r="131" spans="1:49">
      <c r="A131" s="489"/>
      <c r="B131" s="504"/>
      <c r="C131" s="433"/>
      <c r="D131" s="474"/>
      <c r="E131" s="447"/>
      <c r="F131" s="433"/>
      <c r="G131" s="50" t="s">
        <v>28</v>
      </c>
      <c r="H131" s="46" t="s">
        <v>29</v>
      </c>
      <c r="I131" s="86">
        <f>$N$137*$D$122/4</f>
        <v>10140</v>
      </c>
      <c r="J131" s="101"/>
      <c r="K131" s="101"/>
      <c r="L131" s="86">
        <f>$N$137*$D$122/2</f>
        <v>20280</v>
      </c>
      <c r="M131" s="86">
        <f t="shared" ref="M131:P131" si="23">$N$137*$D$122/2</f>
        <v>20280</v>
      </c>
      <c r="N131" s="86">
        <f t="shared" si="23"/>
        <v>20280</v>
      </c>
      <c r="O131" s="86">
        <f t="shared" si="23"/>
        <v>20280</v>
      </c>
      <c r="P131" s="86">
        <f t="shared" si="23"/>
        <v>20280</v>
      </c>
      <c r="Q131" s="130"/>
      <c r="R131" s="130"/>
      <c r="S131" s="130"/>
      <c r="T131" s="86">
        <f t="shared" ref="T131:W131" si="24">$N$137*$D$122/2</f>
        <v>20280</v>
      </c>
      <c r="U131" s="86">
        <f t="shared" si="24"/>
        <v>20280</v>
      </c>
      <c r="V131" s="86">
        <f t="shared" si="24"/>
        <v>20280</v>
      </c>
      <c r="W131" s="86">
        <f t="shared" si="24"/>
        <v>20280</v>
      </c>
      <c r="X131" s="101"/>
      <c r="Y131" s="101"/>
      <c r="Z131" s="86">
        <f t="shared" ref="Z131:AD131" si="25">$N$137*$D$122/2</f>
        <v>20280</v>
      </c>
      <c r="AA131" s="86">
        <f t="shared" si="25"/>
        <v>20280</v>
      </c>
      <c r="AB131" s="86">
        <f t="shared" si="25"/>
        <v>20280</v>
      </c>
      <c r="AC131" s="86">
        <f t="shared" si="25"/>
        <v>20280</v>
      </c>
      <c r="AD131" s="86">
        <f t="shared" si="25"/>
        <v>20280</v>
      </c>
      <c r="AE131" s="101"/>
      <c r="AF131" s="101"/>
      <c r="AG131" s="86">
        <f t="shared" ref="AG131:AJ131" si="26">$N$137*$D$122/2</f>
        <v>20280</v>
      </c>
      <c r="AH131" s="86">
        <f t="shared" si="26"/>
        <v>20280</v>
      </c>
      <c r="AI131" s="86">
        <f t="shared" si="26"/>
        <v>20280</v>
      </c>
      <c r="AJ131" s="86">
        <f t="shared" si="26"/>
        <v>20280</v>
      </c>
      <c r="AK131" s="118"/>
      <c r="AL131" s="76"/>
      <c r="AM131" s="107"/>
      <c r="AN131" s="123"/>
      <c r="AO131" s="123"/>
      <c r="AP131" s="123"/>
      <c r="AQ131" s="123"/>
      <c r="AR131" s="123"/>
      <c r="AS131" s="123"/>
      <c r="AT131" s="123"/>
      <c r="AU131" s="123"/>
      <c r="AV131" s="428"/>
      <c r="AW131" s="428"/>
    </row>
    <row r="132" spans="1:49">
      <c r="A132" s="489"/>
      <c r="B132" s="504"/>
      <c r="C132" s="433"/>
      <c r="D132" s="474"/>
      <c r="E132" s="447"/>
      <c r="F132" s="433"/>
      <c r="G132" s="50"/>
      <c r="H132" s="46" t="s">
        <v>27</v>
      </c>
      <c r="I132" s="86">
        <v>1</v>
      </c>
      <c r="J132" s="101"/>
      <c r="K132" s="101"/>
      <c r="L132" s="86">
        <v>1</v>
      </c>
      <c r="M132" s="86">
        <v>1</v>
      </c>
      <c r="N132" s="86">
        <v>1</v>
      </c>
      <c r="O132" s="86">
        <v>1</v>
      </c>
      <c r="P132" s="86">
        <v>1</v>
      </c>
      <c r="Q132" s="130"/>
      <c r="R132" s="130"/>
      <c r="S132" s="130"/>
      <c r="T132" s="86">
        <v>1</v>
      </c>
      <c r="U132" s="86">
        <v>1</v>
      </c>
      <c r="V132" s="86">
        <v>1</v>
      </c>
      <c r="W132" s="86">
        <v>1</v>
      </c>
      <c r="X132" s="101"/>
      <c r="Y132" s="101"/>
      <c r="Z132" s="86"/>
      <c r="AA132" s="86">
        <v>1</v>
      </c>
      <c r="AB132" s="86">
        <v>1</v>
      </c>
      <c r="AC132" s="86">
        <v>1</v>
      </c>
      <c r="AD132" s="86">
        <v>1</v>
      </c>
      <c r="AE132" s="101"/>
      <c r="AF132" s="101"/>
      <c r="AG132" s="86"/>
      <c r="AH132" s="86">
        <v>1</v>
      </c>
      <c r="AI132" s="86">
        <v>1</v>
      </c>
      <c r="AJ132" s="86">
        <v>1</v>
      </c>
      <c r="AK132" s="118"/>
      <c r="AL132" s="76"/>
      <c r="AM132" s="107"/>
      <c r="AN132" s="123"/>
      <c r="AO132" s="123"/>
      <c r="AP132" s="123"/>
      <c r="AQ132" s="123"/>
      <c r="AR132" s="123"/>
      <c r="AS132" s="123"/>
      <c r="AT132" s="123"/>
      <c r="AU132" s="123"/>
      <c r="AV132" s="428"/>
      <c r="AW132" s="428"/>
    </row>
    <row r="133" spans="1:49">
      <c r="A133" s="489"/>
      <c r="B133" s="504"/>
      <c r="C133" s="433"/>
      <c r="D133" s="474"/>
      <c r="E133" s="447"/>
      <c r="F133" s="433"/>
      <c r="G133" s="50"/>
      <c r="H133" s="48" t="s">
        <v>15</v>
      </c>
      <c r="I133" s="86"/>
      <c r="J133" s="101"/>
      <c r="K133" s="101"/>
      <c r="L133" s="86"/>
      <c r="M133" s="86"/>
      <c r="N133" s="86"/>
      <c r="O133" s="86"/>
      <c r="P133" s="86"/>
      <c r="Q133" s="130"/>
      <c r="R133" s="130"/>
      <c r="S133" s="130"/>
      <c r="T133" s="86"/>
      <c r="U133" s="86"/>
      <c r="V133" s="86"/>
      <c r="W133" s="86"/>
      <c r="X133" s="101"/>
      <c r="Y133" s="101"/>
      <c r="Z133" s="86"/>
      <c r="AA133" s="86"/>
      <c r="AB133" s="86"/>
      <c r="AC133" s="86"/>
      <c r="AD133" s="86"/>
      <c r="AE133" s="101"/>
      <c r="AF133" s="101"/>
      <c r="AG133" s="86"/>
      <c r="AH133" s="86"/>
      <c r="AI133" s="86"/>
      <c r="AJ133" s="86"/>
      <c r="AK133" s="118"/>
      <c r="AL133" s="76"/>
      <c r="AM133" s="107"/>
      <c r="AN133" s="123"/>
      <c r="AO133" s="123"/>
      <c r="AP133" s="123"/>
      <c r="AQ133" s="123"/>
      <c r="AR133" s="123"/>
      <c r="AS133" s="123"/>
      <c r="AT133" s="123"/>
      <c r="AU133" s="123"/>
      <c r="AV133" s="428"/>
      <c r="AW133" s="428"/>
    </row>
    <row r="134" spans="1:49">
      <c r="A134" s="489"/>
      <c r="B134" s="504"/>
      <c r="C134" s="433"/>
      <c r="D134" s="474"/>
      <c r="E134" s="447"/>
      <c r="F134" s="433"/>
      <c r="G134" s="50"/>
      <c r="H134" s="46" t="s">
        <v>49</v>
      </c>
      <c r="I134" s="86">
        <f>$N$137*$D$122/2</f>
        <v>20280</v>
      </c>
      <c r="J134" s="101"/>
      <c r="K134" s="101"/>
      <c r="L134" s="86">
        <f>$N$137*$D$122/2</f>
        <v>20280</v>
      </c>
      <c r="M134" s="86">
        <f t="shared" ref="M134:P134" si="27">$N$137*$D$122/2</f>
        <v>20280</v>
      </c>
      <c r="N134" s="86">
        <f t="shared" si="27"/>
        <v>20280</v>
      </c>
      <c r="O134" s="86">
        <f t="shared" si="27"/>
        <v>20280</v>
      </c>
      <c r="P134" s="86">
        <f t="shared" si="27"/>
        <v>20280</v>
      </c>
      <c r="Q134" s="130"/>
      <c r="R134" s="130"/>
      <c r="S134" s="130"/>
      <c r="T134" s="86">
        <f t="shared" ref="T134:W134" si="28">$N$137*$D$122/2</f>
        <v>20280</v>
      </c>
      <c r="U134" s="86">
        <f t="shared" si="28"/>
        <v>20280</v>
      </c>
      <c r="V134" s="86">
        <f t="shared" si="28"/>
        <v>20280</v>
      </c>
      <c r="W134" s="86">
        <f t="shared" si="28"/>
        <v>20280</v>
      </c>
      <c r="X134" s="101"/>
      <c r="Y134" s="101"/>
      <c r="Z134" s="86">
        <f t="shared" ref="Z134:AD134" si="29">$N$137*$D$122/2</f>
        <v>20280</v>
      </c>
      <c r="AA134" s="86">
        <f t="shared" si="29"/>
        <v>20280</v>
      </c>
      <c r="AB134" s="86">
        <f t="shared" si="29"/>
        <v>20280</v>
      </c>
      <c r="AC134" s="86">
        <f t="shared" si="29"/>
        <v>20280</v>
      </c>
      <c r="AD134" s="86">
        <f t="shared" si="29"/>
        <v>20280</v>
      </c>
      <c r="AE134" s="101"/>
      <c r="AF134" s="101"/>
      <c r="AG134" s="86">
        <f t="shared" ref="AG134:AJ134" si="30">$N$137*$D$122/2</f>
        <v>20280</v>
      </c>
      <c r="AH134" s="86">
        <f t="shared" si="30"/>
        <v>20280</v>
      </c>
      <c r="AI134" s="86">
        <f t="shared" si="30"/>
        <v>20280</v>
      </c>
      <c r="AJ134" s="86">
        <f t="shared" si="30"/>
        <v>20280</v>
      </c>
      <c r="AK134" s="118"/>
      <c r="AL134" s="76"/>
      <c r="AM134" s="107"/>
      <c r="AN134" s="123"/>
      <c r="AO134" s="123"/>
      <c r="AP134" s="123"/>
      <c r="AQ134" s="123"/>
      <c r="AR134" s="123"/>
      <c r="AS134" s="123"/>
      <c r="AT134" s="123"/>
      <c r="AU134" s="123"/>
      <c r="AV134" s="428"/>
      <c r="AW134" s="428"/>
    </row>
    <row r="135" spans="1:49">
      <c r="A135" s="489"/>
      <c r="B135" s="504"/>
      <c r="C135" s="433"/>
      <c r="D135" s="474"/>
      <c r="E135" s="447"/>
      <c r="F135" s="433"/>
      <c r="G135" s="50"/>
      <c r="H135" s="46" t="s">
        <v>50</v>
      </c>
      <c r="I135" s="86">
        <v>2</v>
      </c>
      <c r="J135" s="101"/>
      <c r="K135" s="101"/>
      <c r="L135" s="86">
        <v>2</v>
      </c>
      <c r="M135" s="86">
        <v>2</v>
      </c>
      <c r="N135" s="86">
        <v>2</v>
      </c>
      <c r="O135" s="86">
        <v>2</v>
      </c>
      <c r="P135" s="86">
        <v>2</v>
      </c>
      <c r="Q135" s="130"/>
      <c r="R135" s="130"/>
      <c r="S135" s="130"/>
      <c r="T135" s="86">
        <v>2</v>
      </c>
      <c r="U135" s="86">
        <v>2</v>
      </c>
      <c r="V135" s="86">
        <v>2</v>
      </c>
      <c r="W135" s="86">
        <v>2</v>
      </c>
      <c r="X135" s="101"/>
      <c r="Y135" s="101"/>
      <c r="Z135" s="86"/>
      <c r="AA135" s="86">
        <v>2</v>
      </c>
      <c r="AB135" s="86">
        <v>2</v>
      </c>
      <c r="AC135" s="86">
        <v>2</v>
      </c>
      <c r="AD135" s="86">
        <v>2</v>
      </c>
      <c r="AE135" s="101"/>
      <c r="AF135" s="101"/>
      <c r="AG135" s="86"/>
      <c r="AH135" s="86">
        <v>2</v>
      </c>
      <c r="AI135" s="86">
        <v>2</v>
      </c>
      <c r="AJ135" s="86">
        <v>2</v>
      </c>
      <c r="AK135" s="118"/>
      <c r="AL135" s="76"/>
      <c r="AM135" s="107"/>
      <c r="AN135" s="123"/>
      <c r="AO135" s="123"/>
      <c r="AP135" s="123"/>
      <c r="AQ135" s="123"/>
      <c r="AR135" s="123"/>
      <c r="AS135" s="123"/>
      <c r="AT135" s="123"/>
      <c r="AU135" s="123"/>
      <c r="AV135" s="428"/>
      <c r="AW135" s="428"/>
    </row>
    <row r="136" spans="1:49">
      <c r="A136" s="489"/>
      <c r="B136" s="504"/>
      <c r="C136" s="433"/>
      <c r="D136" s="474"/>
      <c r="E136" s="447"/>
      <c r="F136" s="433"/>
      <c r="G136" s="50"/>
      <c r="H136" s="48" t="s">
        <v>15</v>
      </c>
      <c r="I136" s="86"/>
      <c r="J136" s="101"/>
      <c r="K136" s="101"/>
      <c r="L136" s="86"/>
      <c r="M136" s="86"/>
      <c r="N136" s="86"/>
      <c r="O136" s="86"/>
      <c r="P136" s="86"/>
      <c r="Q136" s="130"/>
      <c r="R136" s="130"/>
      <c r="S136" s="130"/>
      <c r="T136" s="86"/>
      <c r="U136" s="86"/>
      <c r="V136" s="86"/>
      <c r="W136" s="86"/>
      <c r="X136" s="101"/>
      <c r="Y136" s="101"/>
      <c r="Z136" s="86"/>
      <c r="AA136" s="86"/>
      <c r="AB136" s="86"/>
      <c r="AC136" s="86"/>
      <c r="AD136" s="86"/>
      <c r="AE136" s="101"/>
      <c r="AF136" s="101"/>
      <c r="AG136" s="86"/>
      <c r="AH136" s="86"/>
      <c r="AI136" s="86"/>
      <c r="AJ136" s="86"/>
      <c r="AK136" s="118"/>
      <c r="AL136" s="76"/>
      <c r="AM136" s="107"/>
      <c r="AN136" s="123"/>
      <c r="AO136" s="123"/>
      <c r="AP136" s="123"/>
      <c r="AQ136" s="123"/>
      <c r="AR136" s="123"/>
      <c r="AS136" s="123"/>
      <c r="AT136" s="123"/>
      <c r="AU136" s="123"/>
      <c r="AV136" s="428"/>
      <c r="AW136" s="428"/>
    </row>
    <row r="137" spans="1:49">
      <c r="A137" s="489"/>
      <c r="B137" s="504"/>
      <c r="C137" s="433"/>
      <c r="D137" s="474"/>
      <c r="E137" s="447"/>
      <c r="F137" s="433"/>
      <c r="G137" s="50"/>
      <c r="H137" s="46" t="s">
        <v>32</v>
      </c>
      <c r="I137" s="86"/>
      <c r="J137" s="101"/>
      <c r="K137" s="101"/>
      <c r="L137" s="86">
        <f>($C$122*2)</f>
        <v>26000</v>
      </c>
      <c r="M137" s="86"/>
      <c r="N137" s="86">
        <f>($C$122*2)</f>
        <v>26000</v>
      </c>
      <c r="O137" s="86"/>
      <c r="P137" s="86">
        <f>($C$122*2)</f>
        <v>26000</v>
      </c>
      <c r="Q137" s="130"/>
      <c r="R137" s="130"/>
      <c r="S137" s="130"/>
      <c r="T137" s="86"/>
      <c r="U137" s="86">
        <f>($C$122*2)</f>
        <v>26000</v>
      </c>
      <c r="V137" s="86"/>
      <c r="W137" s="86">
        <f>($C$122*2)</f>
        <v>26000</v>
      </c>
      <c r="X137" s="101"/>
      <c r="Y137" s="101"/>
      <c r="Z137" s="86"/>
      <c r="AA137" s="86">
        <f>($C$122*2)</f>
        <v>26000</v>
      </c>
      <c r="AB137" s="86"/>
      <c r="AC137" s="86">
        <f>($C$122*2)</f>
        <v>26000</v>
      </c>
      <c r="AD137" s="86"/>
      <c r="AE137" s="101"/>
      <c r="AF137" s="101"/>
      <c r="AG137" s="86">
        <f>($C$122*2)</f>
        <v>26000</v>
      </c>
      <c r="AH137" s="86"/>
      <c r="AI137" s="86">
        <f>($C$122*2)</f>
        <v>26000</v>
      </c>
      <c r="AJ137" s="86"/>
      <c r="AK137" s="118"/>
      <c r="AL137" s="76"/>
      <c r="AM137" s="107"/>
      <c r="AN137" s="123"/>
      <c r="AO137" s="123"/>
      <c r="AP137" s="123"/>
      <c r="AQ137" s="123"/>
      <c r="AR137" s="123"/>
      <c r="AS137" s="123"/>
      <c r="AT137" s="123"/>
      <c r="AU137" s="123"/>
      <c r="AV137" s="428"/>
      <c r="AW137" s="428"/>
    </row>
    <row r="138" spans="1:49">
      <c r="A138" s="489"/>
      <c r="B138" s="504"/>
      <c r="C138" s="433"/>
      <c r="D138" s="474"/>
      <c r="E138" s="447"/>
      <c r="F138" s="433"/>
      <c r="G138" s="50"/>
      <c r="H138" s="46" t="s">
        <v>51</v>
      </c>
      <c r="I138" s="86"/>
      <c r="J138" s="101"/>
      <c r="K138" s="101"/>
      <c r="L138" s="86">
        <v>1</v>
      </c>
      <c r="M138" s="86"/>
      <c r="N138" s="86">
        <v>1</v>
      </c>
      <c r="O138" s="86"/>
      <c r="P138" s="86">
        <v>1</v>
      </c>
      <c r="Q138" s="130"/>
      <c r="R138" s="130"/>
      <c r="S138" s="130"/>
      <c r="T138" s="86"/>
      <c r="U138" s="86">
        <v>1</v>
      </c>
      <c r="V138" s="86"/>
      <c r="W138" s="86">
        <v>1</v>
      </c>
      <c r="X138" s="101"/>
      <c r="Y138" s="101"/>
      <c r="Z138" s="86"/>
      <c r="AA138" s="86">
        <v>1</v>
      </c>
      <c r="AB138" s="86"/>
      <c r="AC138" s="86">
        <v>1</v>
      </c>
      <c r="AD138" s="86"/>
      <c r="AE138" s="101"/>
      <c r="AF138" s="101"/>
      <c r="AG138" s="86">
        <v>1</v>
      </c>
      <c r="AH138" s="86"/>
      <c r="AI138" s="86">
        <v>1</v>
      </c>
      <c r="AJ138" s="86"/>
      <c r="AK138" s="118"/>
      <c r="AL138" s="76"/>
      <c r="AM138" s="107"/>
      <c r="AN138" s="123"/>
      <c r="AO138" s="123"/>
      <c r="AP138" s="123"/>
      <c r="AQ138" s="123"/>
      <c r="AR138" s="123"/>
      <c r="AS138" s="123"/>
      <c r="AT138" s="123"/>
      <c r="AU138" s="123"/>
      <c r="AV138" s="428"/>
      <c r="AW138" s="428"/>
    </row>
    <row r="139" spans="1:49">
      <c r="A139" s="490"/>
      <c r="B139" s="504"/>
      <c r="C139" s="433"/>
      <c r="D139" s="526"/>
      <c r="E139" s="448"/>
      <c r="F139" s="433"/>
      <c r="G139" s="126"/>
      <c r="H139" s="58" t="s">
        <v>15</v>
      </c>
      <c r="I139" s="140"/>
      <c r="J139" s="141"/>
      <c r="K139" s="141"/>
      <c r="L139" s="140"/>
      <c r="M139" s="140"/>
      <c r="N139" s="140"/>
      <c r="O139" s="140"/>
      <c r="P139" s="140"/>
      <c r="Q139" s="145"/>
      <c r="R139" s="145"/>
      <c r="S139" s="145"/>
      <c r="T139" s="140"/>
      <c r="U139" s="140"/>
      <c r="V139" s="140"/>
      <c r="W139" s="140"/>
      <c r="X139" s="141"/>
      <c r="Y139" s="141"/>
      <c r="Z139" s="140"/>
      <c r="AA139" s="140"/>
      <c r="AB139" s="140"/>
      <c r="AC139" s="140"/>
      <c r="AD139" s="140"/>
      <c r="AE139" s="141"/>
      <c r="AF139" s="141"/>
      <c r="AG139" s="140"/>
      <c r="AH139" s="140"/>
      <c r="AI139" s="140"/>
      <c r="AJ139" s="140"/>
      <c r="AK139" s="147"/>
      <c r="AL139" s="76"/>
      <c r="AM139" s="107"/>
      <c r="AN139" s="123"/>
      <c r="AO139" s="123"/>
      <c r="AP139" s="123"/>
      <c r="AQ139" s="123"/>
      <c r="AR139" s="123"/>
      <c r="AS139" s="123"/>
      <c r="AT139" s="123"/>
      <c r="AU139" s="123"/>
      <c r="AV139" s="428"/>
      <c r="AW139" s="428"/>
    </row>
    <row r="140" spans="1:49">
      <c r="A140" s="483" t="s">
        <v>65</v>
      </c>
      <c r="B140" s="505" t="s">
        <v>66</v>
      </c>
      <c r="C140" s="432">
        <v>1500</v>
      </c>
      <c r="D140" s="522">
        <v>1.5249999999999999</v>
      </c>
      <c r="E140" s="61"/>
      <c r="F140" s="432" t="s">
        <v>67</v>
      </c>
      <c r="G140" s="62">
        <v>0.16</v>
      </c>
      <c r="H140" s="44" t="s">
        <v>12</v>
      </c>
      <c r="I140" s="127">
        <v>55</v>
      </c>
      <c r="J140" s="128"/>
      <c r="K140" s="128"/>
      <c r="L140" s="127">
        <v>55</v>
      </c>
      <c r="M140" s="127">
        <v>55</v>
      </c>
      <c r="N140" s="127">
        <v>55</v>
      </c>
      <c r="O140" s="127">
        <v>55</v>
      </c>
      <c r="P140" s="127">
        <v>55</v>
      </c>
      <c r="Q140" s="99"/>
      <c r="R140" s="99"/>
      <c r="S140" s="99"/>
      <c r="T140" s="127">
        <v>55</v>
      </c>
      <c r="U140" s="127">
        <v>55</v>
      </c>
      <c r="V140" s="127">
        <v>55</v>
      </c>
      <c r="W140" s="127">
        <v>55</v>
      </c>
      <c r="X140" s="128"/>
      <c r="Y140" s="128"/>
      <c r="Z140" s="127">
        <v>55</v>
      </c>
      <c r="AA140" s="127">
        <v>55</v>
      </c>
      <c r="AB140" s="127">
        <v>55</v>
      </c>
      <c r="AC140" s="127">
        <v>55</v>
      </c>
      <c r="AD140" s="127">
        <v>55</v>
      </c>
      <c r="AE140" s="128"/>
      <c r="AF140" s="128"/>
      <c r="AG140" s="127">
        <v>55</v>
      </c>
      <c r="AH140" s="127">
        <v>55</v>
      </c>
      <c r="AI140" s="127">
        <v>55</v>
      </c>
      <c r="AJ140" s="127">
        <v>55</v>
      </c>
      <c r="AK140" s="131"/>
      <c r="AL140" s="76"/>
      <c r="AM140" s="107"/>
      <c r="AN140" s="123"/>
      <c r="AO140" s="123"/>
      <c r="AP140" s="123"/>
      <c r="AQ140" s="123"/>
      <c r="AR140" s="123"/>
      <c r="AS140" s="123"/>
      <c r="AT140" s="123"/>
      <c r="AU140" s="123"/>
      <c r="AV140" s="428"/>
      <c r="AW140" s="428"/>
    </row>
    <row r="141" spans="1:49">
      <c r="A141" s="489"/>
      <c r="B141" s="488"/>
      <c r="C141" s="433"/>
      <c r="D141" s="523"/>
      <c r="E141" s="63"/>
      <c r="F141" s="433"/>
      <c r="G141" s="50"/>
      <c r="H141" s="46" t="s">
        <v>14</v>
      </c>
      <c r="I141" s="86">
        <v>0.5</v>
      </c>
      <c r="J141" s="101"/>
      <c r="K141" s="101"/>
      <c r="L141" s="86">
        <v>0.5</v>
      </c>
      <c r="M141" s="86">
        <v>0.5</v>
      </c>
      <c r="N141" s="86">
        <v>0.5</v>
      </c>
      <c r="O141" s="86">
        <v>0.5</v>
      </c>
      <c r="P141" s="86">
        <v>0.5</v>
      </c>
      <c r="Q141" s="130"/>
      <c r="R141" s="130"/>
      <c r="S141" s="130"/>
      <c r="T141" s="86">
        <v>0.5</v>
      </c>
      <c r="U141" s="86">
        <v>0.5</v>
      </c>
      <c r="V141" s="86">
        <v>0.5</v>
      </c>
      <c r="W141" s="86">
        <v>0.5</v>
      </c>
      <c r="X141" s="101"/>
      <c r="Y141" s="101"/>
      <c r="Z141" s="86">
        <v>0.5</v>
      </c>
      <c r="AA141" s="86">
        <v>0.5</v>
      </c>
      <c r="AB141" s="86">
        <v>0.5</v>
      </c>
      <c r="AC141" s="86">
        <v>0.5</v>
      </c>
      <c r="AD141" s="86">
        <v>0.5</v>
      </c>
      <c r="AE141" s="101"/>
      <c r="AF141" s="101"/>
      <c r="AG141" s="86">
        <v>0.5</v>
      </c>
      <c r="AH141" s="86">
        <v>0.5</v>
      </c>
      <c r="AI141" s="86">
        <v>0.5</v>
      </c>
      <c r="AJ141" s="86">
        <v>0.5</v>
      </c>
      <c r="AK141" s="118"/>
      <c r="AL141" s="76"/>
      <c r="AM141" s="107"/>
      <c r="AN141" s="123"/>
      <c r="AO141" s="123"/>
      <c r="AP141" s="123"/>
      <c r="AQ141" s="123"/>
      <c r="AR141" s="123"/>
      <c r="AS141" s="123"/>
      <c r="AT141" s="123"/>
      <c r="AU141" s="123"/>
      <c r="AV141" s="428"/>
      <c r="AW141" s="428"/>
    </row>
    <row r="142" spans="1:49">
      <c r="A142" s="489"/>
      <c r="B142" s="488"/>
      <c r="C142" s="433"/>
      <c r="D142" s="523"/>
      <c r="E142" s="63"/>
      <c r="F142" s="433"/>
      <c r="G142" s="126"/>
      <c r="H142" s="48" t="s">
        <v>15</v>
      </c>
      <c r="I142" s="86"/>
      <c r="J142" s="101"/>
      <c r="K142" s="101"/>
      <c r="L142" s="86"/>
      <c r="M142" s="86"/>
      <c r="N142" s="86"/>
      <c r="O142" s="86"/>
      <c r="P142" s="86"/>
      <c r="Q142" s="130"/>
      <c r="R142" s="130"/>
      <c r="S142" s="130"/>
      <c r="T142" s="86"/>
      <c r="U142" s="86"/>
      <c r="V142" s="86"/>
      <c r="W142" s="86"/>
      <c r="X142" s="101"/>
      <c r="Y142" s="101"/>
      <c r="Z142" s="86"/>
      <c r="AA142" s="86"/>
      <c r="AB142" s="86"/>
      <c r="AC142" s="86"/>
      <c r="AD142" s="86"/>
      <c r="AE142" s="101"/>
      <c r="AF142" s="101"/>
      <c r="AG142" s="86"/>
      <c r="AH142" s="86"/>
      <c r="AI142" s="86"/>
      <c r="AJ142" s="86"/>
      <c r="AK142" s="118"/>
      <c r="AL142" s="76"/>
      <c r="AM142" s="107"/>
      <c r="AN142" s="123"/>
      <c r="AO142" s="123"/>
      <c r="AP142" s="123"/>
      <c r="AQ142" s="123"/>
      <c r="AR142" s="123"/>
      <c r="AS142" s="123"/>
      <c r="AT142" s="123"/>
      <c r="AU142" s="123"/>
      <c r="AV142" s="428"/>
      <c r="AW142" s="428"/>
    </row>
    <row r="143" spans="1:49">
      <c r="A143" s="489"/>
      <c r="B143" s="488"/>
      <c r="C143" s="433"/>
      <c r="D143" s="523"/>
      <c r="E143" s="63"/>
      <c r="F143" s="433"/>
      <c r="G143" s="47" t="s">
        <v>68</v>
      </c>
      <c r="H143" s="46" t="s">
        <v>22</v>
      </c>
      <c r="I143" s="86">
        <f>$M$152*$D$140</f>
        <v>9150</v>
      </c>
      <c r="J143" s="101"/>
      <c r="K143" s="101"/>
      <c r="L143" s="86"/>
      <c r="M143" s="86"/>
      <c r="N143" s="86"/>
      <c r="O143" s="86">
        <f>$M$152*$D$140</f>
        <v>9150</v>
      </c>
      <c r="P143" s="86"/>
      <c r="Q143" s="130"/>
      <c r="R143" s="130"/>
      <c r="S143" s="130"/>
      <c r="T143" s="86"/>
      <c r="U143" s="86"/>
      <c r="V143" s="86">
        <f>$M$152*$D$140</f>
        <v>9150</v>
      </c>
      <c r="W143" s="86"/>
      <c r="X143" s="101"/>
      <c r="Y143" s="101"/>
      <c r="Z143" s="86"/>
      <c r="AA143" s="86"/>
      <c r="AB143" s="86">
        <f>$M$152*$D$140</f>
        <v>9150</v>
      </c>
      <c r="AC143" s="86"/>
      <c r="AD143" s="86"/>
      <c r="AE143" s="101"/>
      <c r="AF143" s="101"/>
      <c r="AG143" s="86"/>
      <c r="AH143" s="86">
        <f>$M$152*$D$140</f>
        <v>9150</v>
      </c>
      <c r="AI143" s="86"/>
      <c r="AJ143" s="86"/>
      <c r="AK143" s="118"/>
      <c r="AL143" s="76"/>
      <c r="AM143" s="107"/>
      <c r="AN143" s="123"/>
      <c r="AO143" s="123"/>
      <c r="AP143" s="123"/>
      <c r="AQ143" s="123"/>
      <c r="AR143" s="123"/>
      <c r="AS143" s="123"/>
      <c r="AT143" s="123"/>
      <c r="AU143" s="123"/>
      <c r="AV143" s="428"/>
      <c r="AW143" s="428"/>
    </row>
    <row r="144" spans="1:49">
      <c r="A144" s="489"/>
      <c r="B144" s="488"/>
      <c r="C144" s="433"/>
      <c r="D144" s="523"/>
      <c r="E144" s="63"/>
      <c r="F144" s="433"/>
      <c r="G144" s="50"/>
      <c r="H144" s="46" t="s">
        <v>20</v>
      </c>
      <c r="I144" s="86">
        <v>1</v>
      </c>
      <c r="J144" s="101"/>
      <c r="K144" s="101"/>
      <c r="L144" s="86"/>
      <c r="M144" s="86"/>
      <c r="N144" s="86"/>
      <c r="O144" s="86">
        <v>1</v>
      </c>
      <c r="P144" s="86"/>
      <c r="Q144" s="130"/>
      <c r="R144" s="130"/>
      <c r="S144" s="130"/>
      <c r="T144" s="86"/>
      <c r="U144" s="86"/>
      <c r="V144" s="86">
        <v>1</v>
      </c>
      <c r="W144" s="86"/>
      <c r="X144" s="101"/>
      <c r="Y144" s="101"/>
      <c r="Z144" s="86"/>
      <c r="AA144" s="86"/>
      <c r="AB144" s="86">
        <v>1</v>
      </c>
      <c r="AC144" s="86"/>
      <c r="AD144" s="86"/>
      <c r="AE144" s="101"/>
      <c r="AF144" s="101"/>
      <c r="AG144" s="86"/>
      <c r="AH144" s="86">
        <v>1</v>
      </c>
      <c r="AI144" s="86"/>
      <c r="AJ144" s="86"/>
      <c r="AK144" s="118"/>
      <c r="AL144" s="76"/>
      <c r="AM144" s="107"/>
      <c r="AN144" s="123"/>
      <c r="AO144" s="123"/>
      <c r="AP144" s="123"/>
      <c r="AQ144" s="123"/>
      <c r="AR144" s="123"/>
      <c r="AS144" s="123"/>
      <c r="AT144" s="123"/>
      <c r="AU144" s="123"/>
      <c r="AV144" s="428"/>
      <c r="AW144" s="428"/>
    </row>
    <row r="145" spans="1:49">
      <c r="A145" s="489"/>
      <c r="B145" s="488"/>
      <c r="C145" s="433"/>
      <c r="D145" s="523"/>
      <c r="E145" s="63"/>
      <c r="F145" s="433"/>
      <c r="G145" s="50"/>
      <c r="H145" s="48" t="s">
        <v>15</v>
      </c>
      <c r="I145" s="86"/>
      <c r="J145" s="101"/>
      <c r="K145" s="101"/>
      <c r="L145" s="86"/>
      <c r="M145" s="86"/>
      <c r="N145" s="86"/>
      <c r="O145" s="86"/>
      <c r="P145" s="86"/>
      <c r="Q145" s="130"/>
      <c r="R145" s="130"/>
      <c r="S145" s="130"/>
      <c r="T145" s="86"/>
      <c r="U145" s="86"/>
      <c r="V145" s="86"/>
      <c r="W145" s="86"/>
      <c r="X145" s="101"/>
      <c r="Y145" s="101"/>
      <c r="Z145" s="86"/>
      <c r="AA145" s="86"/>
      <c r="AB145" s="86"/>
      <c r="AC145" s="86"/>
      <c r="AD145" s="86"/>
      <c r="AE145" s="101"/>
      <c r="AF145" s="101"/>
      <c r="AG145" s="86"/>
      <c r="AH145" s="86"/>
      <c r="AI145" s="86"/>
      <c r="AJ145" s="86"/>
      <c r="AK145" s="118"/>
      <c r="AL145" s="76"/>
      <c r="AM145" s="107"/>
      <c r="AN145" s="123"/>
      <c r="AO145" s="123"/>
      <c r="AP145" s="123"/>
      <c r="AQ145" s="123"/>
      <c r="AR145" s="123"/>
      <c r="AS145" s="123"/>
      <c r="AT145" s="123"/>
      <c r="AU145" s="123"/>
      <c r="AV145" s="428"/>
      <c r="AW145" s="428"/>
    </row>
    <row r="146" spans="1:49">
      <c r="A146" s="489"/>
      <c r="B146" s="488"/>
      <c r="C146" s="433"/>
      <c r="D146" s="523"/>
      <c r="E146" s="63"/>
      <c r="F146" s="433"/>
      <c r="G146" s="47" t="s">
        <v>28</v>
      </c>
      <c r="H146" s="46" t="s">
        <v>29</v>
      </c>
      <c r="I146" s="86">
        <f>$M$152*$D$140</f>
        <v>9150</v>
      </c>
      <c r="J146" s="101"/>
      <c r="K146" s="101"/>
      <c r="L146" s="86"/>
      <c r="M146" s="86"/>
      <c r="N146" s="86"/>
      <c r="O146" s="86">
        <f>$M$152*$D$140</f>
        <v>9150</v>
      </c>
      <c r="P146" s="86"/>
      <c r="Q146" s="130"/>
      <c r="R146" s="130"/>
      <c r="S146" s="130"/>
      <c r="T146" s="86"/>
      <c r="U146" s="86"/>
      <c r="V146" s="86">
        <f>$M$152*$D$140</f>
        <v>9150</v>
      </c>
      <c r="W146" s="86"/>
      <c r="X146" s="101"/>
      <c r="Y146" s="101"/>
      <c r="Z146" s="86"/>
      <c r="AA146" s="86"/>
      <c r="AB146" s="86">
        <f>$M$152*$D$140</f>
        <v>9150</v>
      </c>
      <c r="AC146" s="86"/>
      <c r="AD146" s="86"/>
      <c r="AE146" s="101"/>
      <c r="AF146" s="101"/>
      <c r="AG146" s="86"/>
      <c r="AH146" s="86">
        <f>$M$152*$D$140</f>
        <v>9150</v>
      </c>
      <c r="AI146" s="86"/>
      <c r="AJ146" s="86"/>
      <c r="AK146" s="118"/>
      <c r="AL146" s="76"/>
      <c r="AM146" s="107"/>
      <c r="AN146" s="123"/>
      <c r="AO146" s="123"/>
      <c r="AP146" s="123"/>
      <c r="AQ146" s="123"/>
      <c r="AR146" s="123"/>
      <c r="AS146" s="123"/>
      <c r="AT146" s="123"/>
      <c r="AU146" s="123"/>
      <c r="AV146" s="428"/>
      <c r="AW146" s="428"/>
    </row>
    <row r="147" spans="1:49">
      <c r="A147" s="489"/>
      <c r="B147" s="488"/>
      <c r="C147" s="433"/>
      <c r="D147" s="523"/>
      <c r="E147" s="63"/>
      <c r="F147" s="433"/>
      <c r="G147" s="50"/>
      <c r="H147" s="46" t="s">
        <v>27</v>
      </c>
      <c r="I147" s="86">
        <v>1</v>
      </c>
      <c r="J147" s="101"/>
      <c r="K147" s="101"/>
      <c r="L147" s="86"/>
      <c r="M147" s="86"/>
      <c r="N147" s="86"/>
      <c r="O147" s="86">
        <v>1</v>
      </c>
      <c r="P147" s="86"/>
      <c r="Q147" s="130"/>
      <c r="R147" s="130"/>
      <c r="S147" s="130"/>
      <c r="T147" s="86"/>
      <c r="U147" s="86"/>
      <c r="V147" s="86">
        <v>1</v>
      </c>
      <c r="W147" s="86"/>
      <c r="X147" s="101"/>
      <c r="Y147" s="101"/>
      <c r="Z147" s="86"/>
      <c r="AA147" s="86"/>
      <c r="AB147" s="86">
        <v>1</v>
      </c>
      <c r="AC147" s="86"/>
      <c r="AD147" s="86"/>
      <c r="AE147" s="101"/>
      <c r="AF147" s="101"/>
      <c r="AG147" s="86"/>
      <c r="AH147" s="86">
        <v>1</v>
      </c>
      <c r="AI147" s="86"/>
      <c r="AJ147" s="86"/>
      <c r="AK147" s="118"/>
      <c r="AL147" s="76"/>
      <c r="AM147" s="107"/>
      <c r="AN147" s="123"/>
      <c r="AO147" s="123"/>
      <c r="AP147" s="123"/>
      <c r="AQ147" s="123"/>
      <c r="AR147" s="123"/>
      <c r="AS147" s="123"/>
      <c r="AT147" s="123"/>
      <c r="AU147" s="123"/>
      <c r="AV147" s="428"/>
      <c r="AW147" s="428"/>
    </row>
    <row r="148" spans="1:49">
      <c r="A148" s="489"/>
      <c r="B148" s="488"/>
      <c r="C148" s="433"/>
      <c r="D148" s="523"/>
      <c r="E148" s="63"/>
      <c r="F148" s="433"/>
      <c r="G148" s="50"/>
      <c r="H148" s="48" t="s">
        <v>15</v>
      </c>
      <c r="I148" s="86"/>
      <c r="J148" s="101"/>
      <c r="K148" s="101"/>
      <c r="L148" s="86"/>
      <c r="M148" s="86"/>
      <c r="N148" s="86"/>
      <c r="O148" s="86"/>
      <c r="P148" s="86"/>
      <c r="Q148" s="130"/>
      <c r="R148" s="130"/>
      <c r="S148" s="130"/>
      <c r="T148" s="86"/>
      <c r="U148" s="86"/>
      <c r="V148" s="86"/>
      <c r="W148" s="86"/>
      <c r="X148" s="101"/>
      <c r="Y148" s="101"/>
      <c r="Z148" s="86"/>
      <c r="AA148" s="86"/>
      <c r="AB148" s="86"/>
      <c r="AC148" s="86"/>
      <c r="AD148" s="86"/>
      <c r="AE148" s="101"/>
      <c r="AF148" s="101"/>
      <c r="AG148" s="86"/>
      <c r="AH148" s="86"/>
      <c r="AI148" s="86"/>
      <c r="AJ148" s="86"/>
      <c r="AK148" s="118"/>
      <c r="AL148" s="76"/>
      <c r="AM148" s="107"/>
      <c r="AN148" s="123"/>
      <c r="AO148" s="123"/>
      <c r="AP148" s="123"/>
      <c r="AQ148" s="123"/>
      <c r="AR148" s="123"/>
      <c r="AS148" s="123"/>
      <c r="AT148" s="123"/>
      <c r="AU148" s="123"/>
      <c r="AV148" s="428"/>
      <c r="AW148" s="428"/>
    </row>
    <row r="149" spans="1:49">
      <c r="A149" s="489"/>
      <c r="B149" s="488"/>
      <c r="C149" s="433"/>
      <c r="D149" s="523"/>
      <c r="E149" s="63"/>
      <c r="F149" s="433"/>
      <c r="G149" s="50"/>
      <c r="H149" s="46" t="s">
        <v>49</v>
      </c>
      <c r="I149" s="86">
        <f>$M$152*$D$140/4</f>
        <v>2287.5</v>
      </c>
      <c r="J149" s="101"/>
      <c r="K149" s="101"/>
      <c r="L149" s="86">
        <f>$M$152*$D$140/4</f>
        <v>2287.5</v>
      </c>
      <c r="M149" s="86">
        <f>$M$152*$D$140/4</f>
        <v>2287.5</v>
      </c>
      <c r="N149" s="86">
        <f>$M$152*$D$140/4</f>
        <v>2287.5</v>
      </c>
      <c r="O149" s="86">
        <f>$M$152*$D$140/4</f>
        <v>2287.5</v>
      </c>
      <c r="P149" s="86">
        <f>$M$152*$D$140/4</f>
        <v>2287.5</v>
      </c>
      <c r="Q149" s="130"/>
      <c r="R149" s="130"/>
      <c r="S149" s="130"/>
      <c r="T149" s="86">
        <f>$M$152*$D$140/4</f>
        <v>2287.5</v>
      </c>
      <c r="U149" s="86">
        <f>$M$152*$D$140/4</f>
        <v>2287.5</v>
      </c>
      <c r="V149" s="86">
        <f>$M$152*$D$140/4</f>
        <v>2287.5</v>
      </c>
      <c r="W149" s="86">
        <f>$M$152*$D$140/4</f>
        <v>2287.5</v>
      </c>
      <c r="X149" s="101"/>
      <c r="Y149" s="101"/>
      <c r="Z149" s="86">
        <f>$M$152*$D$140/4</f>
        <v>2287.5</v>
      </c>
      <c r="AA149" s="86">
        <f>$M$152*$D$140/4</f>
        <v>2287.5</v>
      </c>
      <c r="AB149" s="86">
        <f>$M$152*$D$140/4</f>
        <v>2287.5</v>
      </c>
      <c r="AC149" s="86">
        <f>$M$152*$D$140/4</f>
        <v>2287.5</v>
      </c>
      <c r="AD149" s="86">
        <f>$M$152*$D$140/4</f>
        <v>2287.5</v>
      </c>
      <c r="AE149" s="101"/>
      <c r="AF149" s="101"/>
      <c r="AG149" s="86">
        <f>$M$152*$D$140/4</f>
        <v>2287.5</v>
      </c>
      <c r="AH149" s="86">
        <f>$M$152*$D$140/4</f>
        <v>2287.5</v>
      </c>
      <c r="AI149" s="86">
        <f>$M$152*$D$140/4</f>
        <v>2287.5</v>
      </c>
      <c r="AJ149" s="86">
        <f>$M$152*$D$140/4</f>
        <v>2287.5</v>
      </c>
      <c r="AK149" s="118"/>
      <c r="AL149" s="76"/>
      <c r="AM149" s="107"/>
      <c r="AN149" s="123"/>
      <c r="AO149" s="123"/>
      <c r="AP149" s="123"/>
      <c r="AQ149" s="123"/>
      <c r="AR149" s="123"/>
      <c r="AS149" s="123"/>
      <c r="AT149" s="123"/>
      <c r="AU149" s="123"/>
      <c r="AV149" s="428"/>
      <c r="AW149" s="428"/>
    </row>
    <row r="150" spans="1:49">
      <c r="A150" s="489"/>
      <c r="B150" s="488"/>
      <c r="C150" s="433"/>
      <c r="D150" s="523"/>
      <c r="E150" s="63"/>
      <c r="F150" s="433"/>
      <c r="G150" s="50"/>
      <c r="H150" s="46" t="s">
        <v>50</v>
      </c>
      <c r="I150" s="86">
        <v>1</v>
      </c>
      <c r="J150" s="101"/>
      <c r="K150" s="101"/>
      <c r="L150" s="86">
        <v>1</v>
      </c>
      <c r="M150" s="86">
        <v>1</v>
      </c>
      <c r="N150" s="86">
        <v>1</v>
      </c>
      <c r="O150" s="86">
        <v>1</v>
      </c>
      <c r="P150" s="86">
        <v>1</v>
      </c>
      <c r="Q150" s="130"/>
      <c r="R150" s="130"/>
      <c r="S150" s="130"/>
      <c r="T150" s="86">
        <v>1</v>
      </c>
      <c r="U150" s="86">
        <v>1</v>
      </c>
      <c r="V150" s="86">
        <v>1</v>
      </c>
      <c r="W150" s="86">
        <v>1</v>
      </c>
      <c r="X150" s="101"/>
      <c r="Y150" s="101"/>
      <c r="Z150" s="86">
        <v>1</v>
      </c>
      <c r="AA150" s="86">
        <v>1</v>
      </c>
      <c r="AB150" s="86">
        <v>1</v>
      </c>
      <c r="AC150" s="86">
        <v>1</v>
      </c>
      <c r="AD150" s="86">
        <v>1</v>
      </c>
      <c r="AE150" s="101"/>
      <c r="AF150" s="101"/>
      <c r="AG150" s="86">
        <v>1</v>
      </c>
      <c r="AH150" s="86">
        <v>1</v>
      </c>
      <c r="AI150" s="86">
        <v>1</v>
      </c>
      <c r="AJ150" s="86">
        <v>1</v>
      </c>
      <c r="AK150" s="118"/>
      <c r="AL150" s="76"/>
      <c r="AM150" s="107"/>
      <c r="AN150" s="123"/>
      <c r="AO150" s="123"/>
      <c r="AP150" s="123"/>
      <c r="AQ150" s="123"/>
      <c r="AR150" s="123"/>
      <c r="AS150" s="123"/>
      <c r="AT150" s="123"/>
      <c r="AU150" s="123"/>
      <c r="AV150" s="428"/>
      <c r="AW150" s="428"/>
    </row>
    <row r="151" spans="1:49">
      <c r="A151" s="489"/>
      <c r="B151" s="488"/>
      <c r="C151" s="433"/>
      <c r="D151" s="523"/>
      <c r="E151" s="63"/>
      <c r="F151" s="433"/>
      <c r="G151" s="50"/>
      <c r="H151" s="48" t="s">
        <v>15</v>
      </c>
      <c r="I151" s="86"/>
      <c r="J151" s="101"/>
      <c r="K151" s="101"/>
      <c r="L151" s="86"/>
      <c r="M151" s="86"/>
      <c r="N151" s="86"/>
      <c r="O151" s="86"/>
      <c r="P151" s="86"/>
      <c r="Q151" s="130"/>
      <c r="R151" s="130"/>
      <c r="S151" s="130"/>
      <c r="T151" s="86"/>
      <c r="U151" s="86"/>
      <c r="V151" s="86"/>
      <c r="W151" s="86"/>
      <c r="X151" s="101"/>
      <c r="Y151" s="101"/>
      <c r="Z151" s="86"/>
      <c r="AA151" s="86"/>
      <c r="AB151" s="86"/>
      <c r="AC151" s="86"/>
      <c r="AD151" s="86"/>
      <c r="AE151" s="101"/>
      <c r="AF151" s="101"/>
      <c r="AG151" s="86"/>
      <c r="AH151" s="86"/>
      <c r="AI151" s="86"/>
      <c r="AJ151" s="86"/>
      <c r="AK151" s="118"/>
      <c r="AL151" s="76"/>
      <c r="AM151" s="107"/>
      <c r="AN151" s="123"/>
      <c r="AO151" s="123"/>
      <c r="AP151" s="123"/>
      <c r="AQ151" s="123"/>
      <c r="AR151" s="123"/>
      <c r="AS151" s="123"/>
      <c r="AT151" s="123"/>
      <c r="AU151" s="123"/>
      <c r="AV151" s="428"/>
      <c r="AW151" s="428"/>
    </row>
    <row r="152" spans="1:49">
      <c r="A152" s="489"/>
      <c r="B152" s="488"/>
      <c r="C152" s="433"/>
      <c r="D152" s="523"/>
      <c r="E152" s="63"/>
      <c r="F152" s="433"/>
      <c r="G152" s="50"/>
      <c r="H152" s="46" t="s">
        <v>32</v>
      </c>
      <c r="I152" s="86"/>
      <c r="J152" s="101"/>
      <c r="K152" s="101"/>
      <c r="L152" s="86"/>
      <c r="M152" s="86">
        <f>($C$140*4)</f>
        <v>6000</v>
      </c>
      <c r="N152" s="86"/>
      <c r="O152" s="86"/>
      <c r="P152" s="86"/>
      <c r="Q152" s="130"/>
      <c r="R152" s="130"/>
      <c r="S152" s="130"/>
      <c r="T152" s="86">
        <f>($C$140*4)</f>
        <v>6000</v>
      </c>
      <c r="U152" s="86"/>
      <c r="V152" s="86"/>
      <c r="W152" s="86"/>
      <c r="X152" s="101"/>
      <c r="Y152" s="101"/>
      <c r="Z152" s="86">
        <f>($C$140*4)</f>
        <v>6000</v>
      </c>
      <c r="AA152" s="86"/>
      <c r="AB152" s="86"/>
      <c r="AC152" s="86"/>
      <c r="AD152" s="86">
        <f>($C$140*4)</f>
        <v>6000</v>
      </c>
      <c r="AE152" s="101"/>
      <c r="AF152" s="101"/>
      <c r="AG152" s="86"/>
      <c r="AH152" s="86"/>
      <c r="AI152" s="86"/>
      <c r="AJ152" s="86">
        <f>($C$140*4)</f>
        <v>6000</v>
      </c>
      <c r="AK152" s="118"/>
      <c r="AL152" s="76"/>
      <c r="AM152" s="107"/>
      <c r="AN152" s="123"/>
      <c r="AO152" s="123"/>
      <c r="AP152" s="123"/>
      <c r="AQ152" s="123"/>
      <c r="AR152" s="123"/>
      <c r="AS152" s="123"/>
      <c r="AT152" s="123"/>
      <c r="AU152" s="123"/>
      <c r="AV152" s="428"/>
      <c r="AW152" s="428"/>
    </row>
    <row r="153" spans="1:49">
      <c r="A153" s="484"/>
      <c r="B153" s="486"/>
      <c r="C153" s="433"/>
      <c r="D153" s="523"/>
      <c r="E153" s="63"/>
      <c r="F153" s="433"/>
      <c r="G153" s="47"/>
      <c r="H153" s="46" t="s">
        <v>51</v>
      </c>
      <c r="I153" s="75"/>
      <c r="J153" s="76"/>
      <c r="K153" s="76"/>
      <c r="L153" s="75"/>
      <c r="M153" s="75">
        <v>1</v>
      </c>
      <c r="N153" s="75"/>
      <c r="O153" s="75"/>
      <c r="P153" s="75"/>
      <c r="Q153" s="96"/>
      <c r="R153" s="96"/>
      <c r="S153" s="96"/>
      <c r="T153" s="75">
        <v>1</v>
      </c>
      <c r="U153" s="75"/>
      <c r="V153" s="75"/>
      <c r="W153" s="75"/>
      <c r="X153" s="101"/>
      <c r="Y153" s="76"/>
      <c r="Z153" s="75">
        <v>1</v>
      </c>
      <c r="AA153" s="75"/>
      <c r="AB153" s="75"/>
      <c r="AC153" s="75"/>
      <c r="AD153" s="75">
        <v>1</v>
      </c>
      <c r="AE153" s="101"/>
      <c r="AF153" s="76"/>
      <c r="AG153" s="75"/>
      <c r="AH153" s="75"/>
      <c r="AI153" s="75"/>
      <c r="AJ153" s="75">
        <v>1</v>
      </c>
      <c r="AK153" s="111"/>
      <c r="AL153" s="76"/>
      <c r="AM153" s="107"/>
      <c r="AN153" s="117"/>
      <c r="AO153" s="117"/>
      <c r="AP153" s="117"/>
      <c r="AQ153" s="123"/>
      <c r="AR153" s="123"/>
      <c r="AS153" s="123"/>
      <c r="AT153" s="123"/>
      <c r="AU153" s="123"/>
      <c r="AV153" s="428"/>
      <c r="AW153" s="428"/>
    </row>
    <row r="154" spans="1:49">
      <c r="A154" s="532"/>
      <c r="B154" s="487"/>
      <c r="C154" s="434"/>
      <c r="D154" s="524"/>
      <c r="E154" s="125"/>
      <c r="F154" s="434"/>
      <c r="G154" s="52"/>
      <c r="H154" s="58" t="s">
        <v>15</v>
      </c>
      <c r="I154" s="87"/>
      <c r="J154" s="88"/>
      <c r="K154" s="88"/>
      <c r="L154" s="87"/>
      <c r="M154" s="87"/>
      <c r="N154" s="87"/>
      <c r="O154" s="87"/>
      <c r="P154" s="87"/>
      <c r="Q154" s="100"/>
      <c r="R154" s="100"/>
      <c r="S154" s="100"/>
      <c r="T154" s="87"/>
      <c r="U154" s="87"/>
      <c r="V154" s="87"/>
      <c r="W154" s="87"/>
      <c r="X154" s="88"/>
      <c r="Y154" s="88"/>
      <c r="Z154" s="87"/>
      <c r="AA154" s="87"/>
      <c r="AB154" s="87"/>
      <c r="AC154" s="87"/>
      <c r="AD154" s="87"/>
      <c r="AE154" s="88"/>
      <c r="AF154" s="88"/>
      <c r="AG154" s="87"/>
      <c r="AH154" s="87"/>
      <c r="AI154" s="87"/>
      <c r="AJ154" s="87"/>
      <c r="AK154" s="119"/>
      <c r="AL154" s="76"/>
      <c r="AM154" s="107"/>
      <c r="AN154" s="117"/>
      <c r="AO154" s="117"/>
      <c r="AP154" s="117"/>
      <c r="AQ154" s="123"/>
      <c r="AR154" s="123"/>
      <c r="AS154" s="123"/>
      <c r="AT154" s="123"/>
      <c r="AU154" s="123"/>
      <c r="AV154" s="428"/>
      <c r="AW154" s="428"/>
    </row>
    <row r="155" spans="1:49">
      <c r="A155" s="494" t="s">
        <v>86</v>
      </c>
      <c r="B155" s="534"/>
      <c r="C155" s="513"/>
      <c r="D155" s="136"/>
      <c r="E155" s="513"/>
      <c r="F155" s="512"/>
      <c r="G155" s="62">
        <v>0.127</v>
      </c>
      <c r="H155" s="44" t="s">
        <v>12</v>
      </c>
      <c r="I155" s="127">
        <f>5.65*20</f>
        <v>113</v>
      </c>
      <c r="J155" s="128"/>
      <c r="K155" s="128"/>
      <c r="L155" s="127"/>
      <c r="M155" s="127"/>
      <c r="N155" s="127"/>
      <c r="O155" s="127"/>
      <c r="P155" s="127"/>
      <c r="Q155" s="99"/>
      <c r="R155" s="99"/>
      <c r="S155" s="99"/>
      <c r="T155" s="127"/>
      <c r="U155" s="127"/>
      <c r="V155" s="127"/>
      <c r="W155" s="127"/>
      <c r="X155" s="128"/>
      <c r="Y155" s="128"/>
      <c r="Z155" s="127"/>
      <c r="AA155" s="127"/>
      <c r="AB155" s="127"/>
      <c r="AC155" s="127"/>
      <c r="AD155" s="127"/>
      <c r="AE155" s="128"/>
      <c r="AF155" s="128"/>
      <c r="AG155" s="127"/>
      <c r="AH155" s="127"/>
      <c r="AI155" s="127"/>
      <c r="AJ155" s="127"/>
      <c r="AK155" s="131"/>
      <c r="AL155" s="76"/>
      <c r="AM155" s="107"/>
      <c r="AN155" s="123"/>
      <c r="AO155" s="123"/>
      <c r="AP155" s="123"/>
      <c r="AQ155" s="123"/>
      <c r="AR155" s="123"/>
      <c r="AS155" s="123"/>
      <c r="AT155" s="428"/>
      <c r="AU155" s="428"/>
      <c r="AV155" s="121"/>
      <c r="AW155" s="428"/>
    </row>
    <row r="156" spans="1:49">
      <c r="A156" s="490"/>
      <c r="B156" s="535"/>
      <c r="C156" s="514"/>
      <c r="D156" s="137"/>
      <c r="E156" s="514"/>
      <c r="F156" s="459"/>
      <c r="G156" s="50"/>
      <c r="H156" s="46" t="s">
        <v>14</v>
      </c>
      <c r="I156" s="86">
        <v>1</v>
      </c>
      <c r="J156" s="101"/>
      <c r="K156" s="101"/>
      <c r="L156" s="86"/>
      <c r="M156" s="86"/>
      <c r="N156" s="86"/>
      <c r="O156" s="86"/>
      <c r="P156" s="86"/>
      <c r="Q156" s="130"/>
      <c r="R156" s="130"/>
      <c r="S156" s="130"/>
      <c r="T156" s="86"/>
      <c r="U156" s="86"/>
      <c r="V156" s="86"/>
      <c r="W156" s="86"/>
      <c r="X156" s="101"/>
      <c r="Y156" s="101"/>
      <c r="Z156" s="86"/>
      <c r="AA156" s="86"/>
      <c r="AB156" s="86"/>
      <c r="AC156" s="86"/>
      <c r="AD156" s="86"/>
      <c r="AE156" s="101"/>
      <c r="AF156" s="101"/>
      <c r="AG156" s="86"/>
      <c r="AH156" s="86"/>
      <c r="AI156" s="86"/>
      <c r="AJ156" s="86"/>
      <c r="AK156" s="118"/>
      <c r="AL156" s="76"/>
      <c r="AM156" s="107"/>
      <c r="AN156" s="123"/>
      <c r="AO156" s="123"/>
      <c r="AP156" s="123"/>
      <c r="AQ156" s="123"/>
      <c r="AR156" s="123"/>
      <c r="AS156" s="123"/>
      <c r="AT156" s="428"/>
      <c r="AU156" s="428"/>
      <c r="AV156" s="121"/>
      <c r="AW156" s="428"/>
    </row>
    <row r="157" spans="1:49">
      <c r="A157" s="490"/>
      <c r="B157" s="535"/>
      <c r="C157" s="514"/>
      <c r="D157" s="137"/>
      <c r="E157" s="514"/>
      <c r="F157" s="459"/>
      <c r="G157" s="50"/>
      <c r="H157" s="48" t="s">
        <v>15</v>
      </c>
      <c r="I157" s="59"/>
      <c r="J157" s="101"/>
      <c r="K157" s="101"/>
      <c r="L157" s="86"/>
      <c r="M157" s="86"/>
      <c r="N157" s="86"/>
      <c r="O157" s="86"/>
      <c r="P157" s="86"/>
      <c r="Q157" s="130"/>
      <c r="R157" s="130"/>
      <c r="S157" s="130"/>
      <c r="T157" s="86"/>
      <c r="U157" s="86"/>
      <c r="V157" s="86"/>
      <c r="W157" s="86"/>
      <c r="X157" s="101"/>
      <c r="Y157" s="101"/>
      <c r="Z157" s="86"/>
      <c r="AA157" s="86"/>
      <c r="AB157" s="86"/>
      <c r="AC157" s="86"/>
      <c r="AD157" s="86"/>
      <c r="AE157" s="101"/>
      <c r="AF157" s="101"/>
      <c r="AG157" s="86"/>
      <c r="AH157" s="86"/>
      <c r="AI157" s="86"/>
      <c r="AJ157" s="86"/>
      <c r="AK157" s="118"/>
      <c r="AL157" s="76"/>
      <c r="AM157" s="107"/>
      <c r="AN157" s="123"/>
      <c r="AO157" s="123"/>
      <c r="AP157" s="123"/>
      <c r="AQ157" s="123"/>
      <c r="AR157" s="123"/>
      <c r="AS157" s="123"/>
      <c r="AT157" s="428"/>
      <c r="AU157" s="428"/>
      <c r="AV157" s="121"/>
      <c r="AW157" s="428"/>
    </row>
    <row r="158" spans="1:49">
      <c r="A158" s="490"/>
      <c r="B158" s="535"/>
      <c r="C158" s="514"/>
      <c r="D158" s="137"/>
      <c r="E158" s="514"/>
      <c r="F158" s="459"/>
      <c r="G158" s="47">
        <v>0.12</v>
      </c>
      <c r="H158" s="49" t="s">
        <v>12</v>
      </c>
      <c r="I158" s="89">
        <f>2.5*20</f>
        <v>50</v>
      </c>
      <c r="J158" s="76"/>
      <c r="K158" s="76"/>
      <c r="L158" s="75"/>
      <c r="M158" s="75"/>
      <c r="N158" s="75"/>
      <c r="O158" s="75"/>
      <c r="P158" s="75"/>
      <c r="Q158" s="96"/>
      <c r="R158" s="96"/>
      <c r="S158" s="96"/>
      <c r="T158" s="75"/>
      <c r="U158" s="75"/>
      <c r="V158" s="75"/>
      <c r="W158" s="75"/>
      <c r="X158" s="76"/>
      <c r="Y158" s="76"/>
      <c r="Z158" s="75"/>
      <c r="AA158" s="75"/>
      <c r="AB158" s="75"/>
      <c r="AC158" s="75"/>
      <c r="AD158" s="75"/>
      <c r="AE158" s="76"/>
      <c r="AF158" s="76"/>
      <c r="AG158" s="75"/>
      <c r="AH158" s="75"/>
      <c r="AI158" s="75"/>
      <c r="AJ158" s="75"/>
      <c r="AK158" s="111"/>
      <c r="AL158" s="76"/>
      <c r="AM158" s="107"/>
      <c r="AN158" s="123"/>
      <c r="AO158" s="123"/>
      <c r="AP158" s="123"/>
      <c r="AQ158" s="123"/>
      <c r="AR158" s="123"/>
      <c r="AS158" s="123"/>
      <c r="AT158" s="428"/>
      <c r="AU158" s="428"/>
      <c r="AV158" s="121"/>
      <c r="AW158" s="428"/>
    </row>
    <row r="159" spans="1:49">
      <c r="A159" s="490"/>
      <c r="B159" s="535"/>
      <c r="C159" s="514"/>
      <c r="D159" s="137"/>
      <c r="E159" s="514"/>
      <c r="F159" s="459"/>
      <c r="G159" s="47"/>
      <c r="H159" s="46" t="s">
        <v>14</v>
      </c>
      <c r="I159" s="75">
        <v>0.5</v>
      </c>
      <c r="J159" s="76"/>
      <c r="K159" s="76"/>
      <c r="L159" s="75"/>
      <c r="M159" s="75"/>
      <c r="N159" s="75"/>
      <c r="O159" s="75"/>
      <c r="P159" s="75"/>
      <c r="Q159" s="96"/>
      <c r="R159" s="96"/>
      <c r="S159" s="96"/>
      <c r="T159" s="75"/>
      <c r="U159" s="75"/>
      <c r="V159" s="75"/>
      <c r="W159" s="75"/>
      <c r="X159" s="76"/>
      <c r="Y159" s="76"/>
      <c r="Z159" s="75"/>
      <c r="AA159" s="75"/>
      <c r="AB159" s="75"/>
      <c r="AC159" s="75"/>
      <c r="AD159" s="75"/>
      <c r="AE159" s="76"/>
      <c r="AF159" s="76"/>
      <c r="AG159" s="75"/>
      <c r="AH159" s="75"/>
      <c r="AI159" s="75"/>
      <c r="AJ159" s="75"/>
      <c r="AK159" s="111"/>
      <c r="AL159" s="76"/>
      <c r="AM159" s="107"/>
      <c r="AN159" s="123"/>
      <c r="AO159" s="123"/>
      <c r="AP159" s="123"/>
      <c r="AQ159" s="123"/>
      <c r="AR159" s="123"/>
      <c r="AS159" s="123"/>
      <c r="AT159" s="428"/>
      <c r="AU159" s="428"/>
      <c r="AV159" s="121"/>
      <c r="AW159" s="428"/>
    </row>
    <row r="160" spans="1:49">
      <c r="A160" s="490"/>
      <c r="B160" s="535"/>
      <c r="C160" s="514"/>
      <c r="D160" s="137"/>
      <c r="E160" s="514"/>
      <c r="F160" s="459"/>
      <c r="G160" s="47"/>
      <c r="H160" s="48" t="s">
        <v>15</v>
      </c>
      <c r="I160" s="59"/>
      <c r="J160" s="76"/>
      <c r="K160" s="76"/>
      <c r="L160" s="75"/>
      <c r="M160" s="75"/>
      <c r="N160" s="75"/>
      <c r="O160" s="75"/>
      <c r="P160" s="75"/>
      <c r="Q160" s="96"/>
      <c r="R160" s="96"/>
      <c r="S160" s="96"/>
      <c r="T160" s="75"/>
      <c r="U160" s="75"/>
      <c r="V160" s="75"/>
      <c r="W160" s="75"/>
      <c r="X160" s="76"/>
      <c r="Y160" s="76"/>
      <c r="Z160" s="75"/>
      <c r="AA160" s="75"/>
      <c r="AB160" s="75"/>
      <c r="AC160" s="75"/>
      <c r="AD160" s="75"/>
      <c r="AE160" s="76"/>
      <c r="AF160" s="76"/>
      <c r="AG160" s="75"/>
      <c r="AH160" s="75"/>
      <c r="AI160" s="75"/>
      <c r="AJ160" s="75"/>
      <c r="AK160" s="111"/>
      <c r="AL160" s="76"/>
      <c r="AM160" s="107"/>
      <c r="AN160" s="123"/>
      <c r="AO160" s="123"/>
      <c r="AP160" s="123"/>
      <c r="AQ160" s="123"/>
      <c r="AR160" s="123"/>
      <c r="AS160" s="123"/>
      <c r="AT160" s="428"/>
      <c r="AU160" s="428"/>
      <c r="AV160" s="121"/>
      <c r="AW160" s="428"/>
    </row>
    <row r="161" spans="1:49">
      <c r="A161" s="490"/>
      <c r="B161" s="535"/>
      <c r="C161" s="514"/>
      <c r="D161" s="137"/>
      <c r="E161" s="514"/>
      <c r="F161" s="459"/>
      <c r="G161" s="47">
        <v>0.2</v>
      </c>
      <c r="H161" s="49" t="s">
        <v>12</v>
      </c>
      <c r="I161" s="89">
        <f>(14*20)</f>
        <v>280</v>
      </c>
      <c r="J161" s="90"/>
      <c r="K161" s="85"/>
      <c r="L161" s="75"/>
      <c r="M161" s="84"/>
      <c r="N161" s="84"/>
      <c r="O161" s="84"/>
      <c r="P161" s="75"/>
      <c r="Q161" s="96"/>
      <c r="R161" s="96"/>
      <c r="S161" s="96"/>
      <c r="T161" s="84"/>
      <c r="U161" s="84"/>
      <c r="V161" s="75"/>
      <c r="W161" s="84"/>
      <c r="X161" s="85"/>
      <c r="Y161" s="85"/>
      <c r="Z161" s="75"/>
      <c r="AA161" s="84"/>
      <c r="AB161" s="84"/>
      <c r="AC161" s="84"/>
      <c r="AD161" s="84"/>
      <c r="AE161" s="85"/>
      <c r="AF161" s="85"/>
      <c r="AG161" s="75"/>
      <c r="AH161" s="84"/>
      <c r="AI161" s="84"/>
      <c r="AJ161" s="84"/>
      <c r="AK161" s="116"/>
      <c r="AL161" s="76"/>
      <c r="AM161" s="107"/>
      <c r="AN161" s="123"/>
      <c r="AO161" s="123"/>
      <c r="AP161" s="123"/>
      <c r="AQ161" s="123"/>
      <c r="AR161" s="123"/>
      <c r="AS161" s="123"/>
      <c r="AT161" s="428"/>
      <c r="AU161" s="428"/>
      <c r="AV161" s="121"/>
      <c r="AW161" s="428"/>
    </row>
    <row r="162" spans="1:49">
      <c r="A162" s="490"/>
      <c r="B162" s="535"/>
      <c r="C162" s="514"/>
      <c r="D162" s="137"/>
      <c r="E162" s="514"/>
      <c r="F162" s="459"/>
      <c r="G162" s="15"/>
      <c r="H162" s="46" t="s">
        <v>14</v>
      </c>
      <c r="I162" s="75">
        <v>1</v>
      </c>
      <c r="J162" s="76"/>
      <c r="K162" s="76"/>
      <c r="L162" s="75"/>
      <c r="M162" s="75"/>
      <c r="N162" s="75"/>
      <c r="O162" s="75"/>
      <c r="P162" s="75"/>
      <c r="Q162" s="96"/>
      <c r="R162" s="96"/>
      <c r="S162" s="96"/>
      <c r="T162" s="75"/>
      <c r="U162" s="75"/>
      <c r="V162" s="75"/>
      <c r="W162" s="75"/>
      <c r="X162" s="76"/>
      <c r="Y162" s="76"/>
      <c r="Z162" s="75"/>
      <c r="AA162" s="75"/>
      <c r="AB162" s="75"/>
      <c r="AC162" s="75"/>
      <c r="AD162" s="75"/>
      <c r="AE162" s="76"/>
      <c r="AF162" s="76"/>
      <c r="AG162" s="75"/>
      <c r="AH162" s="75"/>
      <c r="AI162" s="75"/>
      <c r="AJ162" s="75"/>
      <c r="AK162" s="111"/>
      <c r="AL162" s="76"/>
      <c r="AM162" s="107"/>
      <c r="AN162" s="123"/>
      <c r="AO162" s="123"/>
      <c r="AP162" s="123"/>
      <c r="AQ162" s="123"/>
      <c r="AR162" s="123"/>
      <c r="AS162" s="123"/>
      <c r="AT162" s="428"/>
      <c r="AU162" s="428"/>
      <c r="AV162" s="121"/>
      <c r="AW162" s="428"/>
    </row>
    <row r="163" spans="1:49">
      <c r="A163" s="490"/>
      <c r="B163" s="535"/>
      <c r="C163" s="514"/>
      <c r="D163" s="137"/>
      <c r="E163" s="514"/>
      <c r="F163" s="459"/>
      <c r="G163" s="15"/>
      <c r="H163" s="48" t="s">
        <v>15</v>
      </c>
      <c r="I163" s="75"/>
      <c r="J163" s="76"/>
      <c r="K163" s="76"/>
      <c r="L163" s="75"/>
      <c r="M163" s="75"/>
      <c r="N163" s="75"/>
      <c r="O163" s="75"/>
      <c r="P163" s="75"/>
      <c r="Q163" s="96"/>
      <c r="R163" s="96"/>
      <c r="S163" s="96"/>
      <c r="T163" s="75"/>
      <c r="U163" s="75"/>
      <c r="V163" s="75"/>
      <c r="W163" s="75"/>
      <c r="X163" s="76"/>
      <c r="Y163" s="76"/>
      <c r="Z163" s="75"/>
      <c r="AA163" s="75"/>
      <c r="AB163" s="75"/>
      <c r="AC163" s="75"/>
      <c r="AD163" s="75"/>
      <c r="AE163" s="76"/>
      <c r="AF163" s="76"/>
      <c r="AG163" s="75"/>
      <c r="AH163" s="75"/>
      <c r="AI163" s="75"/>
      <c r="AJ163" s="75"/>
      <c r="AK163" s="111"/>
      <c r="AL163" s="76"/>
      <c r="AM163" s="107"/>
      <c r="AN163" s="123"/>
      <c r="AO163" s="123"/>
      <c r="AP163" s="123"/>
      <c r="AQ163" s="123"/>
      <c r="AR163" s="123"/>
      <c r="AS163" s="123"/>
      <c r="AT163" s="428"/>
      <c r="AU163" s="428"/>
      <c r="AV163" s="121"/>
      <c r="AW163" s="428"/>
    </row>
    <row r="164" spans="1:49">
      <c r="A164" s="490"/>
      <c r="B164" s="535"/>
      <c r="C164" s="514"/>
      <c r="D164" s="137"/>
      <c r="E164" s="514"/>
      <c r="F164" s="459"/>
      <c r="G164" s="47" t="s">
        <v>70</v>
      </c>
      <c r="H164" s="46" t="s">
        <v>19</v>
      </c>
      <c r="I164" s="75">
        <f t="shared" ref="I164" si="31">($N$186*2)/4</f>
        <v>6700</v>
      </c>
      <c r="J164" s="76"/>
      <c r="K164" s="76"/>
      <c r="L164" s="75">
        <f t="shared" ref="L164:P164" si="32">($N$186*2)/4</f>
        <v>6700</v>
      </c>
      <c r="M164" s="75">
        <f t="shared" si="32"/>
        <v>6700</v>
      </c>
      <c r="N164" s="75">
        <f t="shared" si="32"/>
        <v>6700</v>
      </c>
      <c r="O164" s="75">
        <f t="shared" si="32"/>
        <v>6700</v>
      </c>
      <c r="P164" s="75">
        <f t="shared" si="32"/>
        <v>6700</v>
      </c>
      <c r="Q164" s="96"/>
      <c r="R164" s="96"/>
      <c r="S164" s="96"/>
      <c r="T164" s="75">
        <f t="shared" ref="T164:W164" si="33">($N$186*2)/4</f>
        <v>6700</v>
      </c>
      <c r="U164" s="75">
        <f t="shared" si="33"/>
        <v>6700</v>
      </c>
      <c r="V164" s="75">
        <f t="shared" si="33"/>
        <v>6700</v>
      </c>
      <c r="W164" s="75">
        <f t="shared" si="33"/>
        <v>6700</v>
      </c>
      <c r="X164" s="76"/>
      <c r="Y164" s="76"/>
      <c r="Z164" s="75">
        <f t="shared" ref="Z164:AD164" si="34">($N$186*2)/4</f>
        <v>6700</v>
      </c>
      <c r="AA164" s="75">
        <f t="shared" si="34"/>
        <v>6700</v>
      </c>
      <c r="AB164" s="75">
        <f t="shared" si="34"/>
        <v>6700</v>
      </c>
      <c r="AC164" s="75">
        <f t="shared" si="34"/>
        <v>6700</v>
      </c>
      <c r="AD164" s="75">
        <f t="shared" si="34"/>
        <v>6700</v>
      </c>
      <c r="AE164" s="76"/>
      <c r="AF164" s="76"/>
      <c r="AG164" s="75">
        <f t="shared" ref="AG164:AJ164" si="35">($N$186*2)/4</f>
        <v>6700</v>
      </c>
      <c r="AH164" s="75">
        <f t="shared" si="35"/>
        <v>6700</v>
      </c>
      <c r="AI164" s="75">
        <f t="shared" si="35"/>
        <v>6700</v>
      </c>
      <c r="AJ164" s="75">
        <f t="shared" si="35"/>
        <v>6700</v>
      </c>
      <c r="AK164" s="111"/>
      <c r="AL164" s="76"/>
      <c r="AM164" s="107"/>
      <c r="AN164" s="123"/>
      <c r="AO164" s="123"/>
      <c r="AP164" s="123"/>
      <c r="AQ164" s="123"/>
      <c r="AR164" s="123"/>
      <c r="AS164" s="123"/>
      <c r="AT164" s="428"/>
      <c r="AU164" s="428"/>
      <c r="AV164" s="121"/>
      <c r="AW164" s="428"/>
    </row>
    <row r="165" spans="1:49">
      <c r="A165" s="490"/>
      <c r="B165" s="535"/>
      <c r="C165" s="514"/>
      <c r="D165" s="137"/>
      <c r="E165" s="514"/>
      <c r="F165" s="459"/>
      <c r="G165" s="47"/>
      <c r="H165" s="46" t="s">
        <v>20</v>
      </c>
      <c r="I165" s="75">
        <v>1</v>
      </c>
      <c r="J165" s="76"/>
      <c r="K165" s="76"/>
      <c r="L165" s="75">
        <v>1</v>
      </c>
      <c r="M165" s="75">
        <v>1</v>
      </c>
      <c r="N165" s="75">
        <v>1</v>
      </c>
      <c r="O165" s="75">
        <v>1</v>
      </c>
      <c r="P165" s="75">
        <v>1</v>
      </c>
      <c r="Q165" s="96"/>
      <c r="R165" s="96"/>
      <c r="S165" s="96"/>
      <c r="T165" s="75">
        <v>1</v>
      </c>
      <c r="U165" s="75">
        <v>1</v>
      </c>
      <c r="V165" s="75">
        <v>1</v>
      </c>
      <c r="W165" s="75">
        <v>1</v>
      </c>
      <c r="X165" s="76"/>
      <c r="Y165" s="76"/>
      <c r="Z165" s="75">
        <v>1</v>
      </c>
      <c r="AA165" s="75">
        <v>1</v>
      </c>
      <c r="AB165" s="75">
        <v>1</v>
      </c>
      <c r="AC165" s="75">
        <v>1</v>
      </c>
      <c r="AD165" s="75">
        <v>1</v>
      </c>
      <c r="AE165" s="76"/>
      <c r="AF165" s="76"/>
      <c r="AG165" s="75">
        <v>1</v>
      </c>
      <c r="AH165" s="75">
        <v>1</v>
      </c>
      <c r="AI165" s="75">
        <v>1</v>
      </c>
      <c r="AJ165" s="75">
        <v>1</v>
      </c>
      <c r="AK165" s="111"/>
      <c r="AL165" s="76"/>
      <c r="AM165" s="107"/>
      <c r="AN165" s="123"/>
      <c r="AO165" s="123"/>
      <c r="AP165" s="123"/>
      <c r="AQ165" s="123"/>
      <c r="AR165" s="123"/>
      <c r="AS165" s="123"/>
      <c r="AT165" s="428"/>
      <c r="AU165" s="428"/>
      <c r="AV165" s="121"/>
      <c r="AW165" s="428"/>
    </row>
    <row r="166" spans="1:49">
      <c r="A166" s="490"/>
      <c r="B166" s="535"/>
      <c r="C166" s="514"/>
      <c r="D166" s="137"/>
      <c r="E166" s="514"/>
      <c r="F166" s="459"/>
      <c r="G166" s="47"/>
      <c r="H166" s="48" t="s">
        <v>15</v>
      </c>
      <c r="I166" s="75"/>
      <c r="J166" s="76"/>
      <c r="K166" s="76"/>
      <c r="L166" s="75"/>
      <c r="M166" s="75"/>
      <c r="N166" s="75"/>
      <c r="O166" s="75"/>
      <c r="P166" s="75"/>
      <c r="Q166" s="96"/>
      <c r="R166" s="96"/>
      <c r="S166" s="96"/>
      <c r="T166" s="75"/>
      <c r="U166" s="75"/>
      <c r="V166" s="75"/>
      <c r="W166" s="75"/>
      <c r="X166" s="76"/>
      <c r="Y166" s="76"/>
      <c r="Z166" s="75"/>
      <c r="AA166" s="75"/>
      <c r="AB166" s="75"/>
      <c r="AC166" s="75"/>
      <c r="AD166" s="75"/>
      <c r="AE166" s="76"/>
      <c r="AF166" s="76"/>
      <c r="AG166" s="75"/>
      <c r="AH166" s="75"/>
      <c r="AI166" s="75"/>
      <c r="AJ166" s="75"/>
      <c r="AK166" s="111"/>
      <c r="AL166" s="76"/>
      <c r="AM166" s="107"/>
      <c r="AN166" s="123"/>
      <c r="AO166" s="123"/>
      <c r="AP166" s="123"/>
      <c r="AQ166" s="123"/>
      <c r="AR166" s="123"/>
      <c r="AS166" s="123"/>
      <c r="AT166" s="428"/>
      <c r="AU166" s="428"/>
      <c r="AV166" s="121"/>
      <c r="AW166" s="428"/>
    </row>
    <row r="167" spans="1:49">
      <c r="A167" s="490"/>
      <c r="B167" s="535"/>
      <c r="C167" s="514"/>
      <c r="D167" s="137"/>
      <c r="E167" s="514"/>
      <c r="F167" s="459"/>
      <c r="G167" s="47" t="s">
        <v>73</v>
      </c>
      <c r="H167" s="46" t="s">
        <v>133</v>
      </c>
      <c r="I167" s="75">
        <f t="shared" ref="I167" si="36">($N$186*2)/4</f>
        <v>6700</v>
      </c>
      <c r="J167" s="76"/>
      <c r="K167" s="76"/>
      <c r="L167" s="75">
        <f t="shared" ref="L167:P167" si="37">($N$186*2)/4</f>
        <v>6700</v>
      </c>
      <c r="M167" s="75">
        <f t="shared" si="37"/>
        <v>6700</v>
      </c>
      <c r="N167" s="75">
        <f t="shared" si="37"/>
        <v>6700</v>
      </c>
      <c r="O167" s="75">
        <f t="shared" si="37"/>
        <v>6700</v>
      </c>
      <c r="P167" s="75">
        <f t="shared" si="37"/>
        <v>6700</v>
      </c>
      <c r="Q167" s="96"/>
      <c r="R167" s="96"/>
      <c r="S167" s="96"/>
      <c r="T167" s="75">
        <f t="shared" ref="T167:W167" si="38">($N$186*2)/4</f>
        <v>6700</v>
      </c>
      <c r="U167" s="75">
        <f t="shared" si="38"/>
        <v>6700</v>
      </c>
      <c r="V167" s="75">
        <f t="shared" si="38"/>
        <v>6700</v>
      </c>
      <c r="W167" s="75">
        <f t="shared" si="38"/>
        <v>6700</v>
      </c>
      <c r="X167" s="76"/>
      <c r="Y167" s="76"/>
      <c r="Z167" s="75">
        <f t="shared" ref="Z167:AD167" si="39">($N$186*2)/4</f>
        <v>6700</v>
      </c>
      <c r="AA167" s="75">
        <f t="shared" si="39"/>
        <v>6700</v>
      </c>
      <c r="AB167" s="75">
        <f t="shared" si="39"/>
        <v>6700</v>
      </c>
      <c r="AC167" s="75">
        <f t="shared" si="39"/>
        <v>6700</v>
      </c>
      <c r="AD167" s="75">
        <f t="shared" si="39"/>
        <v>6700</v>
      </c>
      <c r="AE167" s="76"/>
      <c r="AF167" s="76"/>
      <c r="AG167" s="75">
        <f t="shared" ref="AG167:AJ167" si="40">($N$186*2)/4</f>
        <v>6700</v>
      </c>
      <c r="AH167" s="75">
        <f t="shared" si="40"/>
        <v>6700</v>
      </c>
      <c r="AI167" s="75">
        <f t="shared" si="40"/>
        <v>6700</v>
      </c>
      <c r="AJ167" s="75">
        <f t="shared" si="40"/>
        <v>6700</v>
      </c>
      <c r="AK167" s="111"/>
      <c r="AL167" s="76"/>
      <c r="AM167" s="107"/>
      <c r="AN167" s="123"/>
      <c r="AO167" s="123"/>
      <c r="AP167" s="123"/>
      <c r="AQ167" s="123"/>
      <c r="AR167" s="123"/>
      <c r="AS167" s="123"/>
      <c r="AT167" s="428"/>
      <c r="AU167" s="428"/>
      <c r="AV167" s="121"/>
      <c r="AW167" s="428"/>
    </row>
    <row r="168" spans="1:49">
      <c r="A168" s="490"/>
      <c r="B168" s="535"/>
      <c r="C168" s="514"/>
      <c r="D168" s="137"/>
      <c r="E168" s="514"/>
      <c r="F168" s="459"/>
      <c r="G168" s="47"/>
      <c r="H168" s="46" t="s">
        <v>20</v>
      </c>
      <c r="I168" s="75">
        <v>1</v>
      </c>
      <c r="J168" s="76"/>
      <c r="K168" s="76"/>
      <c r="L168" s="75">
        <v>1</v>
      </c>
      <c r="M168" s="75">
        <v>1</v>
      </c>
      <c r="N168" s="75">
        <v>1</v>
      </c>
      <c r="O168" s="75">
        <v>1</v>
      </c>
      <c r="P168" s="75">
        <v>1</v>
      </c>
      <c r="Q168" s="96"/>
      <c r="R168" s="96"/>
      <c r="S168" s="96"/>
      <c r="T168" s="75">
        <v>1</v>
      </c>
      <c r="U168" s="75">
        <v>1</v>
      </c>
      <c r="V168" s="75">
        <v>1</v>
      </c>
      <c r="W168" s="75">
        <v>1</v>
      </c>
      <c r="X168" s="76"/>
      <c r="Y168" s="76"/>
      <c r="Z168" s="75">
        <v>1</v>
      </c>
      <c r="AA168" s="75">
        <v>1</v>
      </c>
      <c r="AB168" s="75">
        <v>1</v>
      </c>
      <c r="AC168" s="75">
        <v>1</v>
      </c>
      <c r="AD168" s="75">
        <v>1</v>
      </c>
      <c r="AE168" s="76"/>
      <c r="AF168" s="76"/>
      <c r="AG168" s="75">
        <v>1</v>
      </c>
      <c r="AH168" s="75">
        <v>1</v>
      </c>
      <c r="AI168" s="75">
        <v>1</v>
      </c>
      <c r="AJ168" s="75">
        <v>1</v>
      </c>
      <c r="AK168" s="111"/>
      <c r="AL168" s="76"/>
      <c r="AM168" s="107"/>
      <c r="AN168" s="123"/>
      <c r="AO168" s="123"/>
      <c r="AP168" s="123"/>
      <c r="AQ168" s="123"/>
      <c r="AR168" s="123"/>
      <c r="AS168" s="123"/>
      <c r="AT168" s="428"/>
      <c r="AU168" s="428"/>
      <c r="AV168" s="121"/>
      <c r="AW168" s="428"/>
    </row>
    <row r="169" spans="1:49">
      <c r="A169" s="490"/>
      <c r="B169" s="535"/>
      <c r="C169" s="514"/>
      <c r="D169" s="137"/>
      <c r="E169" s="514"/>
      <c r="F169" s="459"/>
      <c r="G169" s="47"/>
      <c r="H169" s="48" t="s">
        <v>15</v>
      </c>
      <c r="I169" s="75"/>
      <c r="J169" s="76"/>
      <c r="K169" s="76"/>
      <c r="L169" s="75"/>
      <c r="M169" s="75"/>
      <c r="N169" s="75"/>
      <c r="O169" s="75"/>
      <c r="P169" s="75"/>
      <c r="Q169" s="96"/>
      <c r="R169" s="96"/>
      <c r="S169" s="96"/>
      <c r="T169" s="75"/>
      <c r="U169" s="75"/>
      <c r="V169" s="75"/>
      <c r="W169" s="75"/>
      <c r="X169" s="76"/>
      <c r="Y169" s="76"/>
      <c r="Z169" s="75"/>
      <c r="AA169" s="75"/>
      <c r="AB169" s="75"/>
      <c r="AC169" s="75"/>
      <c r="AD169" s="75"/>
      <c r="AE169" s="76"/>
      <c r="AF169" s="76"/>
      <c r="AG169" s="75"/>
      <c r="AH169" s="75"/>
      <c r="AI169" s="75"/>
      <c r="AJ169" s="75"/>
      <c r="AK169" s="111"/>
      <c r="AL169" s="76"/>
      <c r="AM169" s="107"/>
      <c r="AN169" s="123"/>
      <c r="AO169" s="123"/>
      <c r="AP169" s="123"/>
      <c r="AQ169" s="123"/>
      <c r="AR169" s="123"/>
      <c r="AS169" s="123"/>
      <c r="AT169" s="428"/>
      <c r="AU169" s="428"/>
      <c r="AV169" s="121"/>
      <c r="AW169" s="428"/>
    </row>
    <row r="170" spans="1:49">
      <c r="A170" s="490"/>
      <c r="B170" s="535"/>
      <c r="C170" s="514"/>
      <c r="D170" s="137"/>
      <c r="E170" s="514"/>
      <c r="F170" s="459"/>
      <c r="G170" s="51" t="s">
        <v>23</v>
      </c>
      <c r="H170" s="46" t="s">
        <v>24</v>
      </c>
      <c r="I170" s="75">
        <f>$N$186</f>
        <v>13400</v>
      </c>
      <c r="J170" s="76"/>
      <c r="K170" s="76"/>
      <c r="L170" s="75"/>
      <c r="M170" s="75"/>
      <c r="N170" s="75"/>
      <c r="O170" s="75">
        <f>$N$186</f>
        <v>13400</v>
      </c>
      <c r="P170" s="75"/>
      <c r="Q170" s="96"/>
      <c r="R170" s="96"/>
      <c r="S170" s="96"/>
      <c r="T170" s="75"/>
      <c r="U170" s="75"/>
      <c r="V170" s="75">
        <f>$N$186</f>
        <v>13400</v>
      </c>
      <c r="W170" s="75"/>
      <c r="X170" s="76"/>
      <c r="Y170" s="76"/>
      <c r="Z170" s="75"/>
      <c r="AA170" s="75"/>
      <c r="AB170" s="75">
        <f>$N$186</f>
        <v>13400</v>
      </c>
      <c r="AC170" s="75"/>
      <c r="AD170" s="75"/>
      <c r="AE170" s="76"/>
      <c r="AF170" s="76"/>
      <c r="AG170" s="75"/>
      <c r="AH170" s="75">
        <f>$N$186</f>
        <v>13400</v>
      </c>
      <c r="AI170" s="75"/>
      <c r="AJ170" s="75"/>
      <c r="AK170" s="111"/>
      <c r="AL170" s="76"/>
      <c r="AM170" s="107"/>
      <c r="AN170" s="123"/>
      <c r="AO170" s="123"/>
      <c r="AP170" s="123"/>
      <c r="AQ170" s="123"/>
      <c r="AR170" s="123"/>
      <c r="AS170" s="123"/>
      <c r="AT170" s="428"/>
      <c r="AU170" s="428"/>
      <c r="AV170" s="121"/>
      <c r="AW170" s="428"/>
    </row>
    <row r="171" spans="1:49">
      <c r="A171" s="490"/>
      <c r="B171" s="535"/>
      <c r="C171" s="514"/>
      <c r="D171" s="137"/>
      <c r="E171" s="514"/>
      <c r="F171" s="459"/>
      <c r="G171" s="47"/>
      <c r="H171" s="48" t="s">
        <v>15</v>
      </c>
      <c r="I171" s="75"/>
      <c r="J171" s="76"/>
      <c r="K171" s="76"/>
      <c r="L171" s="75"/>
      <c r="M171" s="75"/>
      <c r="N171" s="75"/>
      <c r="O171" s="75"/>
      <c r="P171" s="75"/>
      <c r="Q171" s="96"/>
      <c r="R171" s="96"/>
      <c r="S171" s="96"/>
      <c r="T171" s="75"/>
      <c r="U171" s="75"/>
      <c r="V171" s="75"/>
      <c r="W171" s="75"/>
      <c r="X171" s="76"/>
      <c r="Y171" s="76"/>
      <c r="Z171" s="75"/>
      <c r="AA171" s="75"/>
      <c r="AB171" s="75"/>
      <c r="AC171" s="75"/>
      <c r="AD171" s="75"/>
      <c r="AE171" s="76"/>
      <c r="AF171" s="76"/>
      <c r="AG171" s="75"/>
      <c r="AH171" s="75"/>
      <c r="AI171" s="75"/>
      <c r="AJ171" s="75"/>
      <c r="AK171" s="111"/>
      <c r="AL171" s="76"/>
      <c r="AM171" s="107"/>
      <c r="AN171" s="123"/>
      <c r="AO171" s="123"/>
      <c r="AP171" s="123"/>
      <c r="AQ171" s="123"/>
      <c r="AR171" s="123"/>
      <c r="AS171" s="123"/>
      <c r="AT171" s="428"/>
      <c r="AU171" s="428"/>
      <c r="AV171" s="121"/>
      <c r="AW171" s="428"/>
    </row>
    <row r="172" spans="1:49">
      <c r="A172" s="490"/>
      <c r="B172" s="535"/>
      <c r="C172" s="514"/>
      <c r="D172" s="137"/>
      <c r="E172" s="514"/>
      <c r="F172" s="459"/>
      <c r="G172" s="51" t="s">
        <v>25</v>
      </c>
      <c r="H172" s="46" t="s">
        <v>26</v>
      </c>
      <c r="I172" s="75">
        <f>$N$186</f>
        <v>13400</v>
      </c>
      <c r="J172" s="76"/>
      <c r="K172" s="76"/>
      <c r="L172" s="75"/>
      <c r="M172" s="75"/>
      <c r="N172" s="75"/>
      <c r="O172" s="75">
        <f>$N$186</f>
        <v>13400</v>
      </c>
      <c r="P172" s="75"/>
      <c r="Q172" s="96"/>
      <c r="R172" s="96"/>
      <c r="S172" s="96"/>
      <c r="T172" s="75"/>
      <c r="U172" s="75"/>
      <c r="V172" s="75">
        <f>$N$186</f>
        <v>13400</v>
      </c>
      <c r="W172" s="75"/>
      <c r="X172" s="76"/>
      <c r="Y172" s="76"/>
      <c r="Z172" s="75"/>
      <c r="AA172" s="75"/>
      <c r="AB172" s="75">
        <f>$N$186</f>
        <v>13400</v>
      </c>
      <c r="AC172" s="75"/>
      <c r="AD172" s="75"/>
      <c r="AE172" s="76"/>
      <c r="AF172" s="76"/>
      <c r="AG172" s="75"/>
      <c r="AH172" s="75">
        <f>$N$186</f>
        <v>13400</v>
      </c>
      <c r="AI172" s="75"/>
      <c r="AJ172" s="75"/>
      <c r="AK172" s="111"/>
      <c r="AL172" s="76"/>
      <c r="AM172" s="107"/>
      <c r="AN172" s="123"/>
      <c r="AO172" s="123"/>
      <c r="AP172" s="123"/>
      <c r="AQ172" s="123"/>
      <c r="AR172" s="123"/>
      <c r="AS172" s="123"/>
      <c r="AT172" s="428"/>
      <c r="AU172" s="428"/>
      <c r="AV172" s="121"/>
      <c r="AW172" s="428"/>
    </row>
    <row r="173" spans="1:49">
      <c r="A173" s="490"/>
      <c r="B173" s="535"/>
      <c r="C173" s="514"/>
      <c r="D173" s="137"/>
      <c r="E173" s="514"/>
      <c r="F173" s="459"/>
      <c r="G173" s="47"/>
      <c r="H173" s="46" t="s">
        <v>27</v>
      </c>
      <c r="I173" s="75">
        <v>1</v>
      </c>
      <c r="J173" s="76"/>
      <c r="K173" s="76"/>
      <c r="L173" s="75"/>
      <c r="M173" s="75"/>
      <c r="N173" s="75"/>
      <c r="O173" s="75">
        <v>1</v>
      </c>
      <c r="P173" s="75"/>
      <c r="Q173" s="96"/>
      <c r="R173" s="96"/>
      <c r="S173" s="96"/>
      <c r="T173" s="75"/>
      <c r="U173" s="75"/>
      <c r="V173" s="75">
        <v>1</v>
      </c>
      <c r="W173" s="75"/>
      <c r="X173" s="76"/>
      <c r="Y173" s="76"/>
      <c r="Z173" s="75"/>
      <c r="AA173" s="75"/>
      <c r="AB173" s="75">
        <v>1</v>
      </c>
      <c r="AC173" s="75"/>
      <c r="AD173" s="75"/>
      <c r="AE173" s="76"/>
      <c r="AF173" s="76"/>
      <c r="AG173" s="75"/>
      <c r="AH173" s="75">
        <v>1</v>
      </c>
      <c r="AI173" s="75"/>
      <c r="AJ173" s="75"/>
      <c r="AK173" s="111"/>
      <c r="AL173" s="76"/>
      <c r="AM173" s="107"/>
      <c r="AN173" s="123"/>
      <c r="AO173" s="123"/>
      <c r="AP173" s="123"/>
      <c r="AQ173" s="123"/>
      <c r="AR173" s="123"/>
      <c r="AS173" s="123"/>
      <c r="AT173" s="428"/>
      <c r="AU173" s="428"/>
      <c r="AV173" s="121"/>
      <c r="AW173" s="428"/>
    </row>
    <row r="174" spans="1:49">
      <c r="A174" s="490"/>
      <c r="B174" s="535"/>
      <c r="C174" s="514"/>
      <c r="D174" s="137"/>
      <c r="E174" s="514"/>
      <c r="F174" s="459"/>
      <c r="G174" s="47"/>
      <c r="H174" s="48" t="s">
        <v>15</v>
      </c>
      <c r="I174" s="75"/>
      <c r="J174" s="76"/>
      <c r="K174" s="76"/>
      <c r="L174" s="75"/>
      <c r="M174" s="75"/>
      <c r="N174" s="75"/>
      <c r="O174" s="75"/>
      <c r="P174" s="75"/>
      <c r="Q174" s="96"/>
      <c r="R174" s="96"/>
      <c r="S174" s="96"/>
      <c r="T174" s="75"/>
      <c r="U174" s="75"/>
      <c r="V174" s="75"/>
      <c r="W174" s="75"/>
      <c r="X174" s="76"/>
      <c r="Y174" s="76"/>
      <c r="Z174" s="75"/>
      <c r="AA174" s="75"/>
      <c r="AB174" s="75"/>
      <c r="AC174" s="75"/>
      <c r="AD174" s="75"/>
      <c r="AE174" s="76"/>
      <c r="AF174" s="76"/>
      <c r="AG174" s="75"/>
      <c r="AH174" s="75"/>
      <c r="AI174" s="75"/>
      <c r="AJ174" s="75"/>
      <c r="AK174" s="111"/>
      <c r="AL174" s="76"/>
      <c r="AM174" s="107"/>
      <c r="AN174" s="123"/>
      <c r="AO174" s="123"/>
      <c r="AP174" s="123"/>
      <c r="AQ174" s="123"/>
      <c r="AR174" s="123"/>
      <c r="AS174" s="123"/>
      <c r="AT174" s="428"/>
      <c r="AU174" s="428"/>
      <c r="AV174" s="121"/>
      <c r="AW174" s="428"/>
    </row>
    <row r="175" spans="1:49">
      <c r="A175" s="490"/>
      <c r="B175" s="535"/>
      <c r="C175" s="514"/>
      <c r="D175" s="137"/>
      <c r="E175" s="514"/>
      <c r="F175" s="459"/>
      <c r="G175" s="51" t="s">
        <v>28</v>
      </c>
      <c r="H175" s="46" t="s">
        <v>29</v>
      </c>
      <c r="I175" s="75">
        <f>$N$186</f>
        <v>13400</v>
      </c>
      <c r="J175" s="76"/>
      <c r="K175" s="76"/>
      <c r="L175" s="75"/>
      <c r="M175" s="75"/>
      <c r="N175" s="75"/>
      <c r="O175" s="75">
        <f>$N$186</f>
        <v>13400</v>
      </c>
      <c r="P175" s="75"/>
      <c r="Q175" s="96"/>
      <c r="R175" s="96"/>
      <c r="S175" s="96"/>
      <c r="T175" s="75"/>
      <c r="U175" s="75"/>
      <c r="V175" s="75">
        <f>$N$186</f>
        <v>13400</v>
      </c>
      <c r="W175" s="75"/>
      <c r="X175" s="76"/>
      <c r="Y175" s="76"/>
      <c r="Z175" s="75"/>
      <c r="AA175" s="75"/>
      <c r="AB175" s="75">
        <f>$N$186</f>
        <v>13400</v>
      </c>
      <c r="AC175" s="75"/>
      <c r="AD175" s="75"/>
      <c r="AE175" s="76"/>
      <c r="AF175" s="76"/>
      <c r="AG175" s="75"/>
      <c r="AH175" s="75">
        <f>$N$186</f>
        <v>13400</v>
      </c>
      <c r="AI175" s="75"/>
      <c r="AJ175" s="75"/>
      <c r="AK175" s="111"/>
      <c r="AL175" s="76"/>
      <c r="AM175" s="107"/>
      <c r="AN175" s="123"/>
      <c r="AO175" s="123"/>
      <c r="AP175" s="123"/>
      <c r="AQ175" s="123"/>
      <c r="AR175" s="123"/>
      <c r="AS175" s="123"/>
      <c r="AT175" s="428"/>
      <c r="AU175" s="428"/>
      <c r="AV175" s="121"/>
      <c r="AW175" s="428"/>
    </row>
    <row r="176" spans="1:49">
      <c r="A176" s="490"/>
      <c r="B176" s="535"/>
      <c r="C176" s="514"/>
      <c r="D176" s="137"/>
      <c r="E176" s="514"/>
      <c r="F176" s="459"/>
      <c r="G176" s="47"/>
      <c r="H176" s="48" t="s">
        <v>15</v>
      </c>
      <c r="I176" s="75"/>
      <c r="J176" s="76"/>
      <c r="K176" s="76"/>
      <c r="L176" s="75"/>
      <c r="M176" s="75"/>
      <c r="N176" s="75"/>
      <c r="O176" s="75"/>
      <c r="P176" s="75"/>
      <c r="Q176" s="96"/>
      <c r="R176" s="96"/>
      <c r="S176" s="96"/>
      <c r="T176" s="75"/>
      <c r="U176" s="75"/>
      <c r="V176" s="75"/>
      <c r="W176" s="75"/>
      <c r="X176" s="76"/>
      <c r="Y176" s="76"/>
      <c r="Z176" s="75"/>
      <c r="AA176" s="75"/>
      <c r="AB176" s="75"/>
      <c r="AC176" s="75"/>
      <c r="AD176" s="75"/>
      <c r="AE176" s="76"/>
      <c r="AF176" s="76"/>
      <c r="AG176" s="75"/>
      <c r="AH176" s="75"/>
      <c r="AI176" s="75"/>
      <c r="AJ176" s="75"/>
      <c r="AK176" s="111"/>
      <c r="AL176" s="76"/>
      <c r="AM176" s="107"/>
      <c r="AN176" s="123"/>
      <c r="AO176" s="123"/>
      <c r="AP176" s="123"/>
      <c r="AQ176" s="123"/>
      <c r="AR176" s="123"/>
      <c r="AS176" s="123"/>
      <c r="AT176" s="428"/>
      <c r="AU176" s="428"/>
      <c r="AV176" s="121"/>
      <c r="AW176" s="428"/>
    </row>
    <row r="177" spans="1:49">
      <c r="A177" s="490"/>
      <c r="B177" s="535"/>
      <c r="C177" s="514"/>
      <c r="D177" s="137"/>
      <c r="E177" s="514"/>
      <c r="F177" s="459"/>
      <c r="G177" s="51" t="s">
        <v>79</v>
      </c>
      <c r="H177" s="46" t="s">
        <v>80</v>
      </c>
      <c r="I177" s="75">
        <f>$N$186</f>
        <v>13400</v>
      </c>
      <c r="J177" s="76"/>
      <c r="K177" s="76"/>
      <c r="L177" s="75"/>
      <c r="M177" s="75"/>
      <c r="N177" s="75"/>
      <c r="O177" s="75">
        <f>$N$186</f>
        <v>13400</v>
      </c>
      <c r="P177" s="75"/>
      <c r="Q177" s="96"/>
      <c r="R177" s="96"/>
      <c r="S177" s="96"/>
      <c r="T177" s="75"/>
      <c r="U177" s="75"/>
      <c r="V177" s="75">
        <f>$N$186</f>
        <v>13400</v>
      </c>
      <c r="W177" s="75"/>
      <c r="X177" s="76"/>
      <c r="Y177" s="76"/>
      <c r="Z177" s="75"/>
      <c r="AA177" s="75"/>
      <c r="AB177" s="75">
        <f>$N$186</f>
        <v>13400</v>
      </c>
      <c r="AC177" s="75"/>
      <c r="AD177" s="75"/>
      <c r="AE177" s="76"/>
      <c r="AF177" s="76"/>
      <c r="AG177" s="75"/>
      <c r="AH177" s="75">
        <f>$N$186</f>
        <v>13400</v>
      </c>
      <c r="AI177" s="75"/>
      <c r="AJ177" s="75"/>
      <c r="AK177" s="111"/>
      <c r="AL177" s="76"/>
      <c r="AM177" s="107"/>
      <c r="AN177" s="123"/>
      <c r="AO177" s="123"/>
      <c r="AP177" s="123"/>
      <c r="AQ177" s="123"/>
      <c r="AR177" s="123"/>
      <c r="AS177" s="123"/>
      <c r="AT177" s="428"/>
      <c r="AU177" s="428"/>
      <c r="AV177" s="121"/>
      <c r="AW177" s="428"/>
    </row>
    <row r="178" spans="1:49">
      <c r="A178" s="490"/>
      <c r="B178" s="535"/>
      <c r="C178" s="514"/>
      <c r="D178" s="137"/>
      <c r="E178" s="514"/>
      <c r="F178" s="459"/>
      <c r="G178" s="47"/>
      <c r="H178" s="46" t="s">
        <v>27</v>
      </c>
      <c r="I178" s="75">
        <v>1</v>
      </c>
      <c r="J178" s="76"/>
      <c r="K178" s="76"/>
      <c r="L178" s="75"/>
      <c r="M178" s="75"/>
      <c r="N178" s="75"/>
      <c r="O178" s="75">
        <v>1</v>
      </c>
      <c r="P178" s="75"/>
      <c r="Q178" s="96"/>
      <c r="R178" s="96"/>
      <c r="S178" s="96"/>
      <c r="T178" s="75"/>
      <c r="U178" s="75"/>
      <c r="V178" s="75">
        <v>1</v>
      </c>
      <c r="W178" s="75"/>
      <c r="X178" s="76"/>
      <c r="Y178" s="76"/>
      <c r="Z178" s="75"/>
      <c r="AA178" s="75"/>
      <c r="AB178" s="75">
        <v>1</v>
      </c>
      <c r="AC178" s="75"/>
      <c r="AD178" s="75"/>
      <c r="AE178" s="76"/>
      <c r="AF178" s="76"/>
      <c r="AG178" s="75"/>
      <c r="AH178" s="75">
        <v>1</v>
      </c>
      <c r="AI178" s="75"/>
      <c r="AJ178" s="75"/>
      <c r="AK178" s="111"/>
      <c r="AL178" s="76"/>
      <c r="AM178" s="107"/>
      <c r="AN178" s="123"/>
      <c r="AO178" s="123"/>
      <c r="AP178" s="123"/>
      <c r="AQ178" s="123"/>
      <c r="AR178" s="123"/>
      <c r="AS178" s="123"/>
      <c r="AT178" s="428"/>
      <c r="AU178" s="428"/>
      <c r="AV178" s="121"/>
      <c r="AW178" s="428"/>
    </row>
    <row r="179" spans="1:49">
      <c r="A179" s="490"/>
      <c r="B179" s="535"/>
      <c r="C179" s="514"/>
      <c r="D179" s="137"/>
      <c r="E179" s="514"/>
      <c r="F179" s="459"/>
      <c r="G179" s="47"/>
      <c r="H179" s="48" t="s">
        <v>15</v>
      </c>
      <c r="I179" s="75"/>
      <c r="J179" s="76"/>
      <c r="K179" s="76"/>
      <c r="L179" s="75"/>
      <c r="M179" s="75"/>
      <c r="N179" s="75"/>
      <c r="O179" s="75"/>
      <c r="P179" s="75"/>
      <c r="Q179" s="96"/>
      <c r="R179" s="96"/>
      <c r="S179" s="96"/>
      <c r="T179" s="75"/>
      <c r="U179" s="75"/>
      <c r="V179" s="75"/>
      <c r="W179" s="75"/>
      <c r="X179" s="76"/>
      <c r="Y179" s="76"/>
      <c r="Z179" s="75"/>
      <c r="AA179" s="75"/>
      <c r="AB179" s="75"/>
      <c r="AC179" s="75"/>
      <c r="AD179" s="75"/>
      <c r="AE179" s="76"/>
      <c r="AF179" s="76"/>
      <c r="AG179" s="75"/>
      <c r="AH179" s="75"/>
      <c r="AI179" s="75"/>
      <c r="AJ179" s="75"/>
      <c r="AK179" s="111"/>
      <c r="AL179" s="76"/>
      <c r="AM179" s="107"/>
      <c r="AN179" s="123"/>
      <c r="AO179" s="123"/>
      <c r="AP179" s="123"/>
      <c r="AQ179" s="123"/>
      <c r="AR179" s="123"/>
      <c r="AS179" s="123"/>
      <c r="AT179" s="428"/>
      <c r="AU179" s="428"/>
      <c r="AV179" s="121"/>
      <c r="AW179" s="428"/>
    </row>
    <row r="180" spans="1:49">
      <c r="A180" s="490"/>
      <c r="B180" s="535"/>
      <c r="C180" s="514"/>
      <c r="D180" s="137"/>
      <c r="E180" s="514"/>
      <c r="F180" s="459"/>
      <c r="G180" s="47"/>
      <c r="H180" s="46" t="s">
        <v>30</v>
      </c>
      <c r="I180" s="75">
        <f>$N$186/2</f>
        <v>6700</v>
      </c>
      <c r="J180" s="90"/>
      <c r="K180" s="90"/>
      <c r="L180" s="47"/>
      <c r="M180" s="47"/>
      <c r="N180" s="75">
        <f>$N$186/2</f>
        <v>6700</v>
      </c>
      <c r="O180" s="75">
        <f>$N$186/2</f>
        <v>6700</v>
      </c>
      <c r="P180" s="47"/>
      <c r="Q180" s="96"/>
      <c r="R180" s="96"/>
      <c r="S180" s="96"/>
      <c r="T180" s="47"/>
      <c r="U180" s="75">
        <f>$N$186/2</f>
        <v>6700</v>
      </c>
      <c r="V180" s="75">
        <f>$N$186/2</f>
        <v>6700</v>
      </c>
      <c r="W180" s="47"/>
      <c r="X180" s="76"/>
      <c r="Y180" s="146"/>
      <c r="Z180" s="47"/>
      <c r="AA180" s="75">
        <f>$N$186/2</f>
        <v>6700</v>
      </c>
      <c r="AB180" s="75">
        <f>$N$186/2</f>
        <v>6700</v>
      </c>
      <c r="AC180" s="47"/>
      <c r="AD180" s="47"/>
      <c r="AE180" s="76"/>
      <c r="AF180" s="76"/>
      <c r="AG180" s="75">
        <f>$N$186/2</f>
        <v>6700</v>
      </c>
      <c r="AH180" s="75">
        <f>$N$186/2</f>
        <v>6700</v>
      </c>
      <c r="AI180" s="47"/>
      <c r="AJ180" s="47"/>
      <c r="AK180" s="111"/>
      <c r="AL180" s="76"/>
      <c r="AM180" s="107"/>
      <c r="AN180" s="123"/>
      <c r="AO180" s="123"/>
      <c r="AP180" s="123"/>
      <c r="AQ180" s="123"/>
      <c r="AR180" s="123"/>
      <c r="AS180" s="123"/>
      <c r="AT180" s="428"/>
      <c r="AU180" s="428"/>
      <c r="AV180" s="121"/>
      <c r="AW180" s="428"/>
    </row>
    <row r="181" spans="1:49">
      <c r="A181" s="490"/>
      <c r="B181" s="535"/>
      <c r="C181" s="514"/>
      <c r="D181" s="137"/>
      <c r="E181" s="514"/>
      <c r="F181" s="459"/>
      <c r="G181" s="47"/>
      <c r="H181" s="46" t="s">
        <v>31</v>
      </c>
      <c r="I181" s="75">
        <v>1</v>
      </c>
      <c r="J181" s="76"/>
      <c r="K181" s="76"/>
      <c r="L181" s="75"/>
      <c r="M181" s="75"/>
      <c r="N181" s="75">
        <v>1</v>
      </c>
      <c r="O181" s="75">
        <v>1</v>
      </c>
      <c r="P181" s="75"/>
      <c r="Q181" s="96"/>
      <c r="R181" s="96"/>
      <c r="S181" s="96"/>
      <c r="T181" s="75"/>
      <c r="U181" s="75">
        <v>1</v>
      </c>
      <c r="V181" s="75">
        <v>1</v>
      </c>
      <c r="W181" s="75"/>
      <c r="X181" s="76"/>
      <c r="Y181" s="76"/>
      <c r="Z181" s="75"/>
      <c r="AA181" s="75">
        <v>1</v>
      </c>
      <c r="AB181" s="75">
        <v>1</v>
      </c>
      <c r="AC181" s="75"/>
      <c r="AD181" s="75"/>
      <c r="AE181" s="76"/>
      <c r="AF181" s="76"/>
      <c r="AG181" s="75">
        <v>1</v>
      </c>
      <c r="AH181" s="75">
        <v>1</v>
      </c>
      <c r="AI181" s="75"/>
      <c r="AJ181" s="75"/>
      <c r="AK181" s="111"/>
      <c r="AL181" s="76"/>
      <c r="AM181" s="107"/>
      <c r="AN181" s="123"/>
      <c r="AO181" s="123"/>
      <c r="AP181" s="123"/>
      <c r="AQ181" s="123"/>
      <c r="AR181" s="123"/>
      <c r="AS181" s="123"/>
      <c r="AT181" s="428"/>
      <c r="AU181" s="428"/>
      <c r="AV181" s="121"/>
      <c r="AW181" s="428"/>
    </row>
    <row r="182" spans="1:49">
      <c r="A182" s="490"/>
      <c r="B182" s="535"/>
      <c r="C182" s="514"/>
      <c r="D182" s="137"/>
      <c r="E182" s="514"/>
      <c r="F182" s="459"/>
      <c r="G182" s="47"/>
      <c r="H182" s="48" t="s">
        <v>15</v>
      </c>
      <c r="I182" s="75"/>
      <c r="J182" s="76"/>
      <c r="K182" s="76"/>
      <c r="L182" s="75"/>
      <c r="M182" s="75"/>
      <c r="N182" s="75"/>
      <c r="O182" s="75"/>
      <c r="P182" s="75"/>
      <c r="Q182" s="96"/>
      <c r="R182" s="96"/>
      <c r="S182" s="96"/>
      <c r="T182" s="75"/>
      <c r="U182" s="75"/>
      <c r="V182" s="75"/>
      <c r="W182" s="75"/>
      <c r="X182" s="76"/>
      <c r="Y182" s="76"/>
      <c r="Z182" s="75"/>
      <c r="AA182" s="75"/>
      <c r="AB182" s="75"/>
      <c r="AC182" s="75"/>
      <c r="AD182" s="75"/>
      <c r="AE182" s="76"/>
      <c r="AF182" s="76"/>
      <c r="AG182" s="75"/>
      <c r="AH182" s="75"/>
      <c r="AI182" s="75"/>
      <c r="AJ182" s="75"/>
      <c r="AK182" s="111"/>
      <c r="AL182" s="76"/>
      <c r="AM182" s="107"/>
      <c r="AN182" s="123"/>
      <c r="AO182" s="123"/>
      <c r="AP182" s="123"/>
      <c r="AQ182" s="123"/>
      <c r="AR182" s="123"/>
      <c r="AS182" s="123"/>
      <c r="AT182" s="428"/>
      <c r="AU182" s="428"/>
      <c r="AV182" s="121"/>
      <c r="AW182" s="428"/>
    </row>
    <row r="183" spans="1:49">
      <c r="A183" s="490"/>
      <c r="B183" s="535"/>
      <c r="C183" s="514"/>
      <c r="D183" s="137"/>
      <c r="E183" s="514"/>
      <c r="F183" s="459"/>
      <c r="G183" s="47"/>
      <c r="H183" s="46" t="s">
        <v>109</v>
      </c>
      <c r="I183" s="75">
        <f t="shared" ref="I183" si="41">$N$186/4</f>
        <v>3350</v>
      </c>
      <c r="J183" s="76"/>
      <c r="K183" s="76"/>
      <c r="L183" s="75">
        <f t="shared" ref="L183:P183" si="42">$N$186/4</f>
        <v>3350</v>
      </c>
      <c r="M183" s="75">
        <f t="shared" si="42"/>
        <v>3350</v>
      </c>
      <c r="N183" s="75">
        <f t="shared" si="42"/>
        <v>3350</v>
      </c>
      <c r="O183" s="75">
        <f t="shared" si="42"/>
        <v>3350</v>
      </c>
      <c r="P183" s="75">
        <f t="shared" si="42"/>
        <v>3350</v>
      </c>
      <c r="Q183" s="96"/>
      <c r="R183" s="96"/>
      <c r="S183" s="96"/>
      <c r="T183" s="75">
        <f t="shared" ref="T183:W183" si="43">$N$186/4</f>
        <v>3350</v>
      </c>
      <c r="U183" s="75">
        <f t="shared" si="43"/>
        <v>3350</v>
      </c>
      <c r="V183" s="75">
        <f t="shared" si="43"/>
        <v>3350</v>
      </c>
      <c r="W183" s="75">
        <f t="shared" si="43"/>
        <v>3350</v>
      </c>
      <c r="X183" s="76"/>
      <c r="Y183" s="76"/>
      <c r="Z183" s="75">
        <f t="shared" ref="Z183:AD183" si="44">$N$186/4</f>
        <v>3350</v>
      </c>
      <c r="AA183" s="75">
        <f t="shared" si="44"/>
        <v>3350</v>
      </c>
      <c r="AB183" s="75">
        <f t="shared" si="44"/>
        <v>3350</v>
      </c>
      <c r="AC183" s="75">
        <f t="shared" si="44"/>
        <v>3350</v>
      </c>
      <c r="AD183" s="75">
        <f t="shared" si="44"/>
        <v>3350</v>
      </c>
      <c r="AE183" s="76"/>
      <c r="AF183" s="76"/>
      <c r="AG183" s="75">
        <f t="shared" ref="AG183:AJ183" si="45">$N$186/4</f>
        <v>3350</v>
      </c>
      <c r="AH183" s="75">
        <f t="shared" si="45"/>
        <v>3350</v>
      </c>
      <c r="AI183" s="75">
        <f t="shared" si="45"/>
        <v>3350</v>
      </c>
      <c r="AJ183" s="75">
        <f t="shared" si="45"/>
        <v>3350</v>
      </c>
      <c r="AK183" s="111"/>
      <c r="AL183" s="76"/>
      <c r="AM183" s="107"/>
      <c r="AN183" s="123"/>
      <c r="AO183" s="123"/>
      <c r="AP183" s="123"/>
      <c r="AQ183" s="123"/>
      <c r="AR183" s="123"/>
      <c r="AS183" s="123"/>
      <c r="AT183" s="428"/>
      <c r="AU183" s="428"/>
      <c r="AV183" s="121"/>
      <c r="AW183" s="428"/>
    </row>
    <row r="184" spans="1:49">
      <c r="A184" s="490"/>
      <c r="B184" s="535"/>
      <c r="C184" s="514"/>
      <c r="D184" s="137"/>
      <c r="E184" s="514"/>
      <c r="F184" s="459"/>
      <c r="G184" s="47"/>
      <c r="H184" s="46" t="s">
        <v>84</v>
      </c>
      <c r="I184" s="75">
        <v>3</v>
      </c>
      <c r="J184" s="76"/>
      <c r="K184" s="76"/>
      <c r="L184" s="75">
        <v>3</v>
      </c>
      <c r="M184" s="75">
        <v>3</v>
      </c>
      <c r="N184" s="75">
        <v>3</v>
      </c>
      <c r="O184" s="75">
        <v>3</v>
      </c>
      <c r="P184" s="75">
        <v>3</v>
      </c>
      <c r="Q184" s="96"/>
      <c r="R184" s="96"/>
      <c r="S184" s="96"/>
      <c r="T184" s="75">
        <v>3</v>
      </c>
      <c r="U184" s="75">
        <v>3</v>
      </c>
      <c r="V184" s="75">
        <v>3</v>
      </c>
      <c r="W184" s="75">
        <v>3</v>
      </c>
      <c r="X184" s="76"/>
      <c r="Y184" s="76"/>
      <c r="Z184" s="75">
        <v>3</v>
      </c>
      <c r="AA184" s="75">
        <v>3</v>
      </c>
      <c r="AB184" s="75">
        <v>3</v>
      </c>
      <c r="AC184" s="75">
        <v>3</v>
      </c>
      <c r="AD184" s="75">
        <v>3</v>
      </c>
      <c r="AE184" s="76"/>
      <c r="AF184" s="76"/>
      <c r="AG184" s="75">
        <v>3</v>
      </c>
      <c r="AH184" s="75">
        <v>3</v>
      </c>
      <c r="AI184" s="75">
        <v>3</v>
      </c>
      <c r="AJ184" s="75">
        <v>3</v>
      </c>
      <c r="AK184" s="111"/>
      <c r="AL184" s="76"/>
      <c r="AM184" s="107"/>
      <c r="AN184" s="123"/>
      <c r="AO184" s="123"/>
      <c r="AP184" s="123"/>
      <c r="AQ184" s="123"/>
      <c r="AR184" s="123"/>
      <c r="AS184" s="123"/>
      <c r="AT184" s="428"/>
      <c r="AU184" s="428"/>
      <c r="AV184" s="121"/>
      <c r="AW184" s="428"/>
    </row>
    <row r="185" spans="1:49">
      <c r="A185" s="490"/>
      <c r="B185" s="535"/>
      <c r="C185" s="514"/>
      <c r="D185" s="137"/>
      <c r="E185" s="514"/>
      <c r="F185" s="459"/>
      <c r="G185" s="47"/>
      <c r="H185" s="48" t="s">
        <v>15</v>
      </c>
      <c r="I185" s="75"/>
      <c r="J185" s="76"/>
      <c r="K185" s="76"/>
      <c r="L185" s="75"/>
      <c r="M185" s="75"/>
      <c r="N185" s="75"/>
      <c r="O185" s="75"/>
      <c r="P185" s="75"/>
      <c r="Q185" s="96"/>
      <c r="R185" s="96"/>
      <c r="S185" s="96"/>
      <c r="T185" s="75"/>
      <c r="U185" s="75"/>
      <c r="V185" s="75"/>
      <c r="W185" s="75"/>
      <c r="X185" s="76"/>
      <c r="Y185" s="76"/>
      <c r="Z185" s="75"/>
      <c r="AA185" s="75"/>
      <c r="AB185" s="75"/>
      <c r="AC185" s="75"/>
      <c r="AD185" s="75"/>
      <c r="AE185" s="76"/>
      <c r="AF185" s="76"/>
      <c r="AG185" s="75"/>
      <c r="AH185" s="75"/>
      <c r="AI185" s="75"/>
      <c r="AJ185" s="75"/>
      <c r="AK185" s="111"/>
      <c r="AL185" s="76"/>
      <c r="AM185" s="107"/>
      <c r="AN185" s="123"/>
      <c r="AO185" s="123"/>
      <c r="AP185" s="123"/>
      <c r="AQ185" s="428"/>
      <c r="AR185" s="123"/>
      <c r="AS185" s="123"/>
      <c r="AT185" s="428"/>
      <c r="AU185" s="428"/>
      <c r="AV185" s="121"/>
      <c r="AW185" s="428"/>
    </row>
    <row r="186" spans="1:49">
      <c r="A186" s="490"/>
      <c r="B186" s="535"/>
      <c r="C186" s="514"/>
      <c r="D186" s="137"/>
      <c r="E186" s="514"/>
      <c r="F186" s="459"/>
      <c r="G186" s="47"/>
      <c r="H186" s="46" t="s">
        <v>32</v>
      </c>
      <c r="I186" s="75"/>
      <c r="J186" s="76"/>
      <c r="K186" s="76"/>
      <c r="L186" s="75"/>
      <c r="M186" s="75"/>
      <c r="N186" s="75">
        <f>3350*4</f>
        <v>13400</v>
      </c>
      <c r="O186" s="75"/>
      <c r="P186" s="75"/>
      <c r="Q186" s="96"/>
      <c r="R186" s="96"/>
      <c r="S186" s="96"/>
      <c r="T186" s="75"/>
      <c r="U186" s="75">
        <f>3350*4</f>
        <v>13400</v>
      </c>
      <c r="V186" s="75"/>
      <c r="W186" s="75"/>
      <c r="X186" s="76"/>
      <c r="Y186" s="76"/>
      <c r="Z186" s="75"/>
      <c r="AA186" s="75">
        <f>3350*4</f>
        <v>13400</v>
      </c>
      <c r="AB186" s="75"/>
      <c r="AC186" s="75"/>
      <c r="AD186" s="75"/>
      <c r="AE186" s="76"/>
      <c r="AF186" s="76"/>
      <c r="AG186" s="75">
        <f>3350*4</f>
        <v>13400</v>
      </c>
      <c r="AH186" s="75"/>
      <c r="AI186" s="75"/>
      <c r="AJ186" s="75"/>
      <c r="AK186" s="111"/>
      <c r="AL186" s="76"/>
      <c r="AM186" s="107"/>
      <c r="AN186" s="123"/>
      <c r="AO186" s="123"/>
      <c r="AP186" s="123"/>
      <c r="AQ186" s="428"/>
      <c r="AR186" s="123"/>
      <c r="AS186" s="123"/>
      <c r="AT186" s="428"/>
      <c r="AU186" s="428"/>
      <c r="AV186" s="121"/>
      <c r="AW186" s="428"/>
    </row>
    <row r="187" spans="1:49">
      <c r="A187" s="490"/>
      <c r="B187" s="535"/>
      <c r="C187" s="514"/>
      <c r="D187" s="137"/>
      <c r="E187" s="514"/>
      <c r="F187" s="459"/>
      <c r="G187" s="47"/>
      <c r="H187" s="46" t="s">
        <v>51</v>
      </c>
      <c r="I187" s="75"/>
      <c r="J187" s="76"/>
      <c r="K187" s="76"/>
      <c r="L187" s="75"/>
      <c r="M187" s="75"/>
      <c r="N187" s="75">
        <v>1</v>
      </c>
      <c r="O187" s="75"/>
      <c r="P187" s="75"/>
      <c r="Q187" s="96"/>
      <c r="R187" s="96"/>
      <c r="S187" s="96"/>
      <c r="T187" s="75"/>
      <c r="U187" s="75">
        <v>1</v>
      </c>
      <c r="V187" s="75"/>
      <c r="W187" s="75"/>
      <c r="X187" s="76"/>
      <c r="Y187" s="76"/>
      <c r="Z187" s="75"/>
      <c r="AA187" s="75">
        <v>1</v>
      </c>
      <c r="AB187" s="75"/>
      <c r="AC187" s="75"/>
      <c r="AD187" s="75"/>
      <c r="AE187" s="76"/>
      <c r="AF187" s="76"/>
      <c r="AG187" s="75">
        <v>1</v>
      </c>
      <c r="AH187" s="75"/>
      <c r="AI187" s="75"/>
      <c r="AJ187" s="75"/>
      <c r="AK187" s="111"/>
      <c r="AL187" s="76"/>
      <c r="AM187" s="107"/>
      <c r="AN187" s="123"/>
      <c r="AO187" s="123"/>
      <c r="AP187" s="123"/>
      <c r="AQ187" s="428"/>
      <c r="AR187" s="123"/>
      <c r="AS187" s="123"/>
      <c r="AT187" s="428"/>
      <c r="AU187" s="428"/>
      <c r="AV187" s="121"/>
      <c r="AW187" s="428"/>
    </row>
    <row r="188" spans="1:49">
      <c r="A188" s="495"/>
      <c r="B188" s="536"/>
      <c r="C188" s="515"/>
      <c r="D188" s="139"/>
      <c r="E188" s="515"/>
      <c r="F188" s="460"/>
      <c r="G188" s="52"/>
      <c r="H188" s="53" t="s">
        <v>15</v>
      </c>
      <c r="I188" s="87"/>
      <c r="J188" s="88"/>
      <c r="K188" s="88"/>
      <c r="L188" s="87"/>
      <c r="M188" s="87"/>
      <c r="N188" s="87"/>
      <c r="O188" s="87"/>
      <c r="P188" s="87"/>
      <c r="Q188" s="100"/>
      <c r="R188" s="100"/>
      <c r="S188" s="100"/>
      <c r="T188" s="87"/>
      <c r="U188" s="87"/>
      <c r="V188" s="87"/>
      <c r="W188" s="87"/>
      <c r="X188" s="88"/>
      <c r="Y188" s="88"/>
      <c r="Z188" s="87"/>
      <c r="AA188" s="87"/>
      <c r="AB188" s="87"/>
      <c r="AC188" s="87"/>
      <c r="AD188" s="87"/>
      <c r="AE188" s="88"/>
      <c r="AF188" s="88"/>
      <c r="AG188" s="87"/>
      <c r="AH188" s="87"/>
      <c r="AI188" s="87"/>
      <c r="AJ188" s="87"/>
      <c r="AK188" s="119"/>
      <c r="AL188" s="76"/>
      <c r="AM188" s="107"/>
      <c r="AN188" s="123"/>
      <c r="AO188" s="123"/>
      <c r="AP188" s="123"/>
      <c r="AQ188" s="428"/>
      <c r="AR188" s="123"/>
      <c r="AS188" s="123"/>
      <c r="AT188" s="428"/>
      <c r="AU188" s="428"/>
      <c r="AV188" s="121"/>
      <c r="AW188" s="428"/>
    </row>
    <row r="189" spans="1:49">
      <c r="A189" s="494" t="s">
        <v>87</v>
      </c>
      <c r="B189" s="534"/>
      <c r="C189" s="513"/>
      <c r="D189" s="136"/>
      <c r="E189" s="513"/>
      <c r="F189" s="512"/>
      <c r="G189" s="62">
        <v>0.127</v>
      </c>
      <c r="H189" s="44" t="s">
        <v>12</v>
      </c>
      <c r="I189" s="142">
        <f>11.5*20</f>
        <v>230</v>
      </c>
      <c r="J189" s="81"/>
      <c r="K189" s="81"/>
      <c r="L189" s="80"/>
      <c r="M189" s="80"/>
      <c r="N189" s="80"/>
      <c r="O189" s="80"/>
      <c r="P189" s="80"/>
      <c r="Q189" s="99"/>
      <c r="R189" s="99"/>
      <c r="S189" s="99"/>
      <c r="T189" s="80"/>
      <c r="U189" s="80"/>
      <c r="V189" s="80"/>
      <c r="W189" s="80"/>
      <c r="X189" s="81"/>
      <c r="Y189" s="81"/>
      <c r="Z189" s="80"/>
      <c r="AA189" s="80"/>
      <c r="AB189" s="80"/>
      <c r="AC189" s="80"/>
      <c r="AD189" s="80"/>
      <c r="AE189" s="81"/>
      <c r="AF189" s="81"/>
      <c r="AG189" s="80"/>
      <c r="AH189" s="80"/>
      <c r="AI189" s="80"/>
      <c r="AJ189" s="80"/>
      <c r="AK189" s="115"/>
      <c r="AL189" s="76"/>
      <c r="AM189" s="107"/>
      <c r="AN189" s="123"/>
      <c r="AO189" s="123"/>
      <c r="AP189" s="123"/>
      <c r="AQ189" s="123"/>
      <c r="AR189" s="123"/>
      <c r="AS189" s="123"/>
      <c r="AT189" s="428"/>
      <c r="AU189" s="428"/>
      <c r="AV189" s="121"/>
      <c r="AW189" s="428"/>
    </row>
    <row r="190" spans="1:49">
      <c r="A190" s="490"/>
      <c r="B190" s="535"/>
      <c r="C190" s="514"/>
      <c r="D190" s="137"/>
      <c r="E190" s="514"/>
      <c r="F190" s="459"/>
      <c r="G190" s="50"/>
      <c r="H190" s="46" t="s">
        <v>14</v>
      </c>
      <c r="I190" s="143">
        <v>1</v>
      </c>
      <c r="J190" s="144"/>
      <c r="K190" s="144"/>
      <c r="L190" s="143"/>
      <c r="M190" s="143"/>
      <c r="N190" s="143"/>
      <c r="O190" s="143"/>
      <c r="P190" s="143"/>
      <c r="Q190" s="130"/>
      <c r="R190" s="130"/>
      <c r="S190" s="130"/>
      <c r="T190" s="143"/>
      <c r="U190" s="143"/>
      <c r="V190" s="143"/>
      <c r="W190" s="143"/>
      <c r="X190" s="144"/>
      <c r="Y190" s="144"/>
      <c r="Z190" s="143"/>
      <c r="AA190" s="143"/>
      <c r="AB190" s="143"/>
      <c r="AC190" s="143"/>
      <c r="AD190" s="143"/>
      <c r="AE190" s="144"/>
      <c r="AF190" s="144"/>
      <c r="AG190" s="143"/>
      <c r="AH190" s="143"/>
      <c r="AI190" s="143"/>
      <c r="AJ190" s="143"/>
      <c r="AK190" s="148"/>
      <c r="AL190" s="76"/>
      <c r="AM190" s="107"/>
      <c r="AN190" s="123"/>
      <c r="AO190" s="123"/>
      <c r="AP190" s="123"/>
      <c r="AQ190" s="123"/>
      <c r="AR190" s="123"/>
      <c r="AS190" s="123"/>
      <c r="AT190" s="428"/>
      <c r="AU190" s="428"/>
      <c r="AV190" s="121"/>
      <c r="AW190" s="428"/>
    </row>
    <row r="191" spans="1:49">
      <c r="A191" s="490"/>
      <c r="B191" s="535"/>
      <c r="C191" s="514"/>
      <c r="D191" s="137"/>
      <c r="E191" s="514"/>
      <c r="F191" s="459"/>
      <c r="G191" s="50"/>
      <c r="H191" s="48" t="s">
        <v>15</v>
      </c>
      <c r="I191" s="59"/>
      <c r="J191" s="144"/>
      <c r="K191" s="144"/>
      <c r="L191" s="143"/>
      <c r="M191" s="143"/>
      <c r="N191" s="143"/>
      <c r="O191" s="143"/>
      <c r="P191" s="143"/>
      <c r="Q191" s="130"/>
      <c r="R191" s="130"/>
      <c r="S191" s="130"/>
      <c r="T191" s="143"/>
      <c r="U191" s="143"/>
      <c r="V191" s="143"/>
      <c r="W191" s="143"/>
      <c r="X191" s="144"/>
      <c r="Y191" s="144"/>
      <c r="Z191" s="143"/>
      <c r="AA191" s="143"/>
      <c r="AB191" s="143"/>
      <c r="AC191" s="143"/>
      <c r="AD191" s="143"/>
      <c r="AE191" s="144"/>
      <c r="AF191" s="144"/>
      <c r="AG191" s="143"/>
      <c r="AH191" s="143"/>
      <c r="AI191" s="143"/>
      <c r="AJ191" s="143"/>
      <c r="AK191" s="148"/>
      <c r="AL191" s="76"/>
      <c r="AM191" s="107"/>
      <c r="AN191" s="123"/>
      <c r="AO191" s="123"/>
      <c r="AP191" s="123"/>
      <c r="AQ191" s="123"/>
      <c r="AR191" s="123"/>
      <c r="AS191" s="123"/>
      <c r="AT191" s="428"/>
      <c r="AU191" s="428"/>
      <c r="AV191" s="121"/>
      <c r="AW191" s="428"/>
    </row>
    <row r="192" spans="1:49">
      <c r="A192" s="490"/>
      <c r="B192" s="535"/>
      <c r="C192" s="514"/>
      <c r="D192" s="137"/>
      <c r="E192" s="514"/>
      <c r="F192" s="459"/>
      <c r="G192" s="47">
        <v>0.12</v>
      </c>
      <c r="H192" s="49" t="s">
        <v>12</v>
      </c>
      <c r="I192" s="75">
        <f>2.5*20</f>
        <v>50</v>
      </c>
      <c r="J192" s="76"/>
      <c r="K192" s="76"/>
      <c r="L192" s="75"/>
      <c r="M192" s="75"/>
      <c r="N192" s="75"/>
      <c r="O192" s="75"/>
      <c r="P192" s="75"/>
      <c r="Q192" s="96"/>
      <c r="R192" s="96"/>
      <c r="S192" s="96"/>
      <c r="T192" s="75"/>
      <c r="U192" s="75"/>
      <c r="V192" s="75"/>
      <c r="W192" s="75"/>
      <c r="X192" s="76"/>
      <c r="Y192" s="76"/>
      <c r="Z192" s="75"/>
      <c r="AA192" s="75"/>
      <c r="AB192" s="75"/>
      <c r="AC192" s="75"/>
      <c r="AD192" s="75"/>
      <c r="AE192" s="76"/>
      <c r="AF192" s="76"/>
      <c r="AG192" s="75"/>
      <c r="AH192" s="75"/>
      <c r="AI192" s="75"/>
      <c r="AJ192" s="75"/>
      <c r="AK192" s="111"/>
      <c r="AL192" s="76"/>
      <c r="AM192" s="107"/>
      <c r="AN192" s="123"/>
      <c r="AO192" s="123"/>
      <c r="AP192" s="123"/>
      <c r="AQ192" s="123"/>
      <c r="AR192" s="123"/>
      <c r="AS192" s="123"/>
      <c r="AT192" s="428"/>
      <c r="AU192" s="428"/>
      <c r="AV192" s="121"/>
      <c r="AW192" s="428"/>
    </row>
    <row r="193" spans="1:49">
      <c r="A193" s="490"/>
      <c r="B193" s="535"/>
      <c r="C193" s="514"/>
      <c r="D193" s="137"/>
      <c r="E193" s="514"/>
      <c r="F193" s="459"/>
      <c r="G193" s="15"/>
      <c r="H193" s="46" t="s">
        <v>14</v>
      </c>
      <c r="I193" s="75">
        <v>0.5</v>
      </c>
      <c r="J193" s="76"/>
      <c r="K193" s="76"/>
      <c r="L193" s="75"/>
      <c r="M193" s="75"/>
      <c r="N193" s="75"/>
      <c r="O193" s="75"/>
      <c r="P193" s="75"/>
      <c r="Q193" s="96"/>
      <c r="R193" s="96"/>
      <c r="S193" s="96"/>
      <c r="T193" s="75"/>
      <c r="U193" s="75"/>
      <c r="V193" s="75"/>
      <c r="W193" s="75"/>
      <c r="X193" s="76"/>
      <c r="Y193" s="76"/>
      <c r="Z193" s="75"/>
      <c r="AA193" s="75"/>
      <c r="AB193" s="75"/>
      <c r="AC193" s="75"/>
      <c r="AD193" s="75"/>
      <c r="AE193" s="76"/>
      <c r="AF193" s="76"/>
      <c r="AG193" s="75"/>
      <c r="AH193" s="75"/>
      <c r="AI193" s="75"/>
      <c r="AJ193" s="75"/>
      <c r="AK193" s="111"/>
      <c r="AL193" s="76"/>
      <c r="AM193" s="107"/>
      <c r="AN193" s="123"/>
      <c r="AO193" s="123"/>
      <c r="AP193" s="123"/>
      <c r="AQ193" s="123"/>
      <c r="AR193" s="123"/>
      <c r="AS193" s="123"/>
      <c r="AT193" s="428"/>
      <c r="AU193" s="428"/>
      <c r="AV193" s="121"/>
      <c r="AW193" s="428"/>
    </row>
    <row r="194" spans="1:49">
      <c r="A194" s="490"/>
      <c r="B194" s="535"/>
      <c r="C194" s="514"/>
      <c r="D194" s="137"/>
      <c r="E194" s="514"/>
      <c r="F194" s="459"/>
      <c r="G194" s="15"/>
      <c r="H194" s="48" t="s">
        <v>15</v>
      </c>
      <c r="I194" s="75"/>
      <c r="J194" s="76"/>
      <c r="K194" s="76"/>
      <c r="L194" s="75"/>
      <c r="M194" s="75"/>
      <c r="N194" s="75"/>
      <c r="O194" s="75"/>
      <c r="P194" s="75"/>
      <c r="Q194" s="96"/>
      <c r="R194" s="96"/>
      <c r="S194" s="96"/>
      <c r="T194" s="75"/>
      <c r="U194" s="75"/>
      <c r="V194" s="75"/>
      <c r="W194" s="75"/>
      <c r="X194" s="76"/>
      <c r="Y194" s="76"/>
      <c r="Z194" s="75"/>
      <c r="AA194" s="75"/>
      <c r="AB194" s="75"/>
      <c r="AC194" s="75"/>
      <c r="AD194" s="75"/>
      <c r="AE194" s="76"/>
      <c r="AF194" s="76"/>
      <c r="AG194" s="75"/>
      <c r="AH194" s="75"/>
      <c r="AI194" s="75"/>
      <c r="AJ194" s="75"/>
      <c r="AK194" s="111"/>
      <c r="AL194" s="76"/>
      <c r="AM194" s="107"/>
      <c r="AN194" s="123"/>
      <c r="AO194" s="123"/>
      <c r="AP194" s="123"/>
      <c r="AQ194" s="123"/>
      <c r="AR194" s="123"/>
      <c r="AS194" s="123"/>
      <c r="AT194" s="428"/>
      <c r="AU194" s="428"/>
      <c r="AV194" s="121"/>
      <c r="AW194" s="428"/>
    </row>
    <row r="195" spans="1:49">
      <c r="A195" s="490"/>
      <c r="B195" s="535"/>
      <c r="C195" s="514"/>
      <c r="D195" s="137"/>
      <c r="E195" s="514"/>
      <c r="F195" s="459"/>
      <c r="G195" s="47" t="s">
        <v>134</v>
      </c>
      <c r="H195" s="46" t="s">
        <v>135</v>
      </c>
      <c r="I195" s="75">
        <f>$N$214</f>
        <v>13400</v>
      </c>
      <c r="J195" s="76"/>
      <c r="K195" s="76"/>
      <c r="L195" s="75">
        <f>$N$214</f>
        <v>13400</v>
      </c>
      <c r="M195" s="75">
        <f>$N$214</f>
        <v>13400</v>
      </c>
      <c r="N195" s="75">
        <f>$N$214</f>
        <v>13400</v>
      </c>
      <c r="O195" s="75">
        <f>$N$214</f>
        <v>13400</v>
      </c>
      <c r="P195" s="75">
        <f>$N$214</f>
        <v>13400</v>
      </c>
      <c r="Q195" s="96"/>
      <c r="R195" s="96"/>
      <c r="S195" s="96"/>
      <c r="T195" s="75">
        <f>$N$214</f>
        <v>13400</v>
      </c>
      <c r="U195" s="75">
        <f>$N$214</f>
        <v>13400</v>
      </c>
      <c r="V195" s="75">
        <f>$N$214</f>
        <v>13400</v>
      </c>
      <c r="W195" s="75">
        <f>$N$214</f>
        <v>13400</v>
      </c>
      <c r="X195" s="76"/>
      <c r="Y195" s="76"/>
      <c r="Z195" s="75">
        <f>$N$214</f>
        <v>13400</v>
      </c>
      <c r="AA195" s="75">
        <f>$N$214</f>
        <v>13400</v>
      </c>
      <c r="AB195" s="75">
        <f>$N$214</f>
        <v>13400</v>
      </c>
      <c r="AC195" s="75">
        <f>$N$214</f>
        <v>13400</v>
      </c>
      <c r="AD195" s="75">
        <f>$N$214</f>
        <v>13400</v>
      </c>
      <c r="AE195" s="76"/>
      <c r="AF195" s="76"/>
      <c r="AG195" s="75">
        <f>$N$214</f>
        <v>13400</v>
      </c>
      <c r="AH195" s="75">
        <f>$N$214</f>
        <v>13400</v>
      </c>
      <c r="AI195" s="75">
        <f>$N$214</f>
        <v>13400</v>
      </c>
      <c r="AJ195" s="75">
        <f>$N$214</f>
        <v>13400</v>
      </c>
      <c r="AK195" s="111"/>
      <c r="AL195" s="76"/>
      <c r="AM195" s="107"/>
      <c r="AN195" s="123"/>
      <c r="AO195" s="123"/>
      <c r="AP195" s="123"/>
      <c r="AQ195" s="123"/>
      <c r="AR195" s="123"/>
      <c r="AS195" s="123"/>
      <c r="AT195" s="428"/>
      <c r="AU195" s="428"/>
      <c r="AV195" s="121"/>
      <c r="AW195" s="428"/>
    </row>
    <row r="196" spans="1:49">
      <c r="A196" s="490"/>
      <c r="B196" s="535"/>
      <c r="C196" s="514"/>
      <c r="D196" s="137"/>
      <c r="E196" s="514"/>
      <c r="F196" s="459"/>
      <c r="G196" s="47"/>
      <c r="H196" s="46" t="s">
        <v>20</v>
      </c>
      <c r="I196" s="75">
        <v>1</v>
      </c>
      <c r="J196" s="76"/>
      <c r="K196" s="76"/>
      <c r="L196" s="75">
        <v>1</v>
      </c>
      <c r="M196" s="75">
        <v>1</v>
      </c>
      <c r="N196" s="75">
        <v>1</v>
      </c>
      <c r="O196" s="75">
        <v>1</v>
      </c>
      <c r="P196" s="75">
        <v>1</v>
      </c>
      <c r="Q196" s="96"/>
      <c r="R196" s="96"/>
      <c r="S196" s="96"/>
      <c r="T196" s="75">
        <v>1</v>
      </c>
      <c r="U196" s="75">
        <v>1</v>
      </c>
      <c r="V196" s="75">
        <v>1</v>
      </c>
      <c r="W196" s="75">
        <v>1</v>
      </c>
      <c r="X196" s="76"/>
      <c r="Y196" s="76"/>
      <c r="Z196" s="75">
        <v>1</v>
      </c>
      <c r="AA196" s="75">
        <v>1</v>
      </c>
      <c r="AB196" s="75">
        <v>1</v>
      </c>
      <c r="AC196" s="75">
        <v>1</v>
      </c>
      <c r="AD196" s="75">
        <v>1</v>
      </c>
      <c r="AE196" s="76"/>
      <c r="AF196" s="76"/>
      <c r="AG196" s="75">
        <v>1</v>
      </c>
      <c r="AH196" s="75">
        <v>1</v>
      </c>
      <c r="AI196" s="75">
        <v>1</v>
      </c>
      <c r="AJ196" s="75">
        <v>1</v>
      </c>
      <c r="AK196" s="111"/>
      <c r="AL196" s="76"/>
      <c r="AM196" s="107"/>
      <c r="AN196" s="123"/>
      <c r="AO196" s="123"/>
      <c r="AP196" s="123"/>
      <c r="AQ196" s="123"/>
      <c r="AR196" s="123"/>
      <c r="AS196" s="123"/>
      <c r="AT196" s="428"/>
      <c r="AU196" s="428"/>
      <c r="AV196" s="121"/>
      <c r="AW196" s="428"/>
    </row>
    <row r="197" spans="1:49">
      <c r="A197" s="490"/>
      <c r="B197" s="535"/>
      <c r="C197" s="514"/>
      <c r="D197" s="137"/>
      <c r="E197" s="514"/>
      <c r="F197" s="459"/>
      <c r="G197" s="47"/>
      <c r="H197" s="48" t="s">
        <v>15</v>
      </c>
      <c r="I197" s="75"/>
      <c r="J197" s="76"/>
      <c r="K197" s="76"/>
      <c r="L197" s="75"/>
      <c r="M197" s="75"/>
      <c r="N197" s="75"/>
      <c r="O197" s="75"/>
      <c r="P197" s="75"/>
      <c r="Q197" s="96"/>
      <c r="R197" s="96"/>
      <c r="S197" s="96"/>
      <c r="T197" s="75"/>
      <c r="U197" s="75"/>
      <c r="V197" s="75"/>
      <c r="W197" s="75"/>
      <c r="X197" s="76"/>
      <c r="Y197" s="76"/>
      <c r="Z197" s="75"/>
      <c r="AA197" s="75"/>
      <c r="AB197" s="75"/>
      <c r="AC197" s="75"/>
      <c r="AD197" s="75"/>
      <c r="AE197" s="76"/>
      <c r="AF197" s="76"/>
      <c r="AG197" s="75"/>
      <c r="AH197" s="75"/>
      <c r="AI197" s="75"/>
      <c r="AJ197" s="75"/>
      <c r="AK197" s="111"/>
      <c r="AL197" s="76"/>
      <c r="AM197" s="107"/>
      <c r="AN197" s="123"/>
      <c r="AO197" s="123"/>
      <c r="AP197" s="123"/>
      <c r="AQ197" s="123"/>
      <c r="AR197" s="123"/>
      <c r="AS197" s="123"/>
      <c r="AT197" s="428"/>
      <c r="AU197" s="428"/>
      <c r="AV197" s="121"/>
      <c r="AW197" s="428"/>
    </row>
    <row r="198" spans="1:49">
      <c r="A198" s="490"/>
      <c r="B198" s="535"/>
      <c r="C198" s="514"/>
      <c r="D198" s="137"/>
      <c r="E198" s="514"/>
      <c r="F198" s="459"/>
      <c r="G198" s="51" t="s">
        <v>23</v>
      </c>
      <c r="H198" s="46" t="s">
        <v>24</v>
      </c>
      <c r="I198" s="75">
        <f>$N$214</f>
        <v>13400</v>
      </c>
      <c r="J198" s="76"/>
      <c r="K198" s="76"/>
      <c r="L198" s="75"/>
      <c r="M198" s="75"/>
      <c r="N198" s="75"/>
      <c r="O198" s="75">
        <f>$N$214</f>
        <v>13400</v>
      </c>
      <c r="P198" s="75"/>
      <c r="Q198" s="96"/>
      <c r="R198" s="96"/>
      <c r="S198" s="96"/>
      <c r="T198" s="75"/>
      <c r="U198" s="75"/>
      <c r="V198" s="75">
        <f>$N$214</f>
        <v>13400</v>
      </c>
      <c r="W198" s="75"/>
      <c r="X198" s="76"/>
      <c r="Y198" s="76"/>
      <c r="Z198" s="75"/>
      <c r="AA198" s="75"/>
      <c r="AB198" s="75">
        <f>$N$214</f>
        <v>13400</v>
      </c>
      <c r="AC198" s="75"/>
      <c r="AD198" s="75"/>
      <c r="AE198" s="76"/>
      <c r="AF198" s="76"/>
      <c r="AG198" s="75"/>
      <c r="AH198" s="75">
        <f>$N$214</f>
        <v>13400</v>
      </c>
      <c r="AI198" s="75"/>
      <c r="AJ198" s="75"/>
      <c r="AK198" s="111"/>
      <c r="AL198" s="76"/>
      <c r="AM198" s="107"/>
      <c r="AN198" s="123"/>
      <c r="AO198" s="123"/>
      <c r="AP198" s="123"/>
      <c r="AQ198" s="123"/>
      <c r="AR198" s="123"/>
      <c r="AS198" s="123"/>
      <c r="AT198" s="428"/>
      <c r="AU198" s="428"/>
      <c r="AV198" s="121"/>
      <c r="AW198" s="428"/>
    </row>
    <row r="199" spans="1:49">
      <c r="A199" s="490"/>
      <c r="B199" s="535"/>
      <c r="C199" s="514"/>
      <c r="D199" s="137"/>
      <c r="E199" s="514"/>
      <c r="F199" s="459"/>
      <c r="G199" s="47"/>
      <c r="H199" s="48" t="s">
        <v>15</v>
      </c>
      <c r="I199" s="75"/>
      <c r="J199" s="76"/>
      <c r="K199" s="76"/>
      <c r="L199" s="75"/>
      <c r="M199" s="75"/>
      <c r="N199" s="75"/>
      <c r="O199" s="75"/>
      <c r="P199" s="75"/>
      <c r="Q199" s="96"/>
      <c r="R199" s="96"/>
      <c r="S199" s="96"/>
      <c r="T199" s="75"/>
      <c r="U199" s="75"/>
      <c r="V199" s="75"/>
      <c r="W199" s="75"/>
      <c r="X199" s="76"/>
      <c r="Y199" s="76"/>
      <c r="Z199" s="75"/>
      <c r="AA199" s="75"/>
      <c r="AB199" s="75"/>
      <c r="AC199" s="75"/>
      <c r="AD199" s="75"/>
      <c r="AE199" s="76"/>
      <c r="AF199" s="76"/>
      <c r="AG199" s="75"/>
      <c r="AH199" s="75"/>
      <c r="AI199" s="75"/>
      <c r="AJ199" s="75"/>
      <c r="AK199" s="111"/>
      <c r="AL199" s="76"/>
      <c r="AM199" s="107"/>
      <c r="AN199" s="123"/>
      <c r="AO199" s="123"/>
      <c r="AP199" s="123"/>
      <c r="AQ199" s="123"/>
      <c r="AR199" s="123"/>
      <c r="AS199" s="123"/>
      <c r="AT199" s="428"/>
      <c r="AU199" s="428"/>
      <c r="AV199" s="121"/>
      <c r="AW199" s="428"/>
    </row>
    <row r="200" spans="1:49">
      <c r="A200" s="490"/>
      <c r="B200" s="535"/>
      <c r="C200" s="514"/>
      <c r="D200" s="137"/>
      <c r="E200" s="514"/>
      <c r="F200" s="459"/>
      <c r="G200" s="51" t="s">
        <v>25</v>
      </c>
      <c r="H200" s="46" t="s">
        <v>26</v>
      </c>
      <c r="I200" s="75">
        <f>$N$214</f>
        <v>13400</v>
      </c>
      <c r="J200" s="76"/>
      <c r="K200" s="76"/>
      <c r="L200" s="75"/>
      <c r="M200" s="75"/>
      <c r="N200" s="75"/>
      <c r="O200" s="75">
        <f>$N$214</f>
        <v>13400</v>
      </c>
      <c r="P200" s="75"/>
      <c r="Q200" s="96"/>
      <c r="R200" s="96"/>
      <c r="S200" s="96"/>
      <c r="T200" s="75"/>
      <c r="U200" s="75"/>
      <c r="V200" s="75">
        <f>$N$214</f>
        <v>13400</v>
      </c>
      <c r="W200" s="75"/>
      <c r="X200" s="76"/>
      <c r="Y200" s="76"/>
      <c r="Z200" s="75"/>
      <c r="AA200" s="75"/>
      <c r="AB200" s="75">
        <f>$N$214</f>
        <v>13400</v>
      </c>
      <c r="AC200" s="75"/>
      <c r="AD200" s="75"/>
      <c r="AE200" s="76"/>
      <c r="AF200" s="76"/>
      <c r="AG200" s="75"/>
      <c r="AH200" s="75">
        <f>$N$214</f>
        <v>13400</v>
      </c>
      <c r="AI200" s="75"/>
      <c r="AJ200" s="75"/>
      <c r="AK200" s="111"/>
      <c r="AL200" s="76"/>
      <c r="AM200" s="107"/>
      <c r="AN200" s="123"/>
      <c r="AO200" s="123"/>
      <c r="AP200" s="123"/>
      <c r="AQ200" s="123"/>
      <c r="AR200" s="123"/>
      <c r="AS200" s="123"/>
      <c r="AT200" s="428"/>
      <c r="AU200" s="428"/>
      <c r="AV200" s="121"/>
      <c r="AW200" s="428"/>
    </row>
    <row r="201" spans="1:49">
      <c r="A201" s="490"/>
      <c r="B201" s="535"/>
      <c r="C201" s="514"/>
      <c r="D201" s="137"/>
      <c r="E201" s="514"/>
      <c r="F201" s="459"/>
      <c r="G201" s="47"/>
      <c r="H201" s="46" t="s">
        <v>27</v>
      </c>
      <c r="I201" s="75">
        <v>1</v>
      </c>
      <c r="J201" s="76"/>
      <c r="K201" s="76"/>
      <c r="L201" s="75"/>
      <c r="M201" s="75"/>
      <c r="N201" s="75"/>
      <c r="O201" s="75">
        <v>1</v>
      </c>
      <c r="P201" s="75"/>
      <c r="Q201" s="96"/>
      <c r="R201" s="96"/>
      <c r="S201" s="96"/>
      <c r="T201" s="75"/>
      <c r="U201" s="75"/>
      <c r="V201" s="75">
        <v>1</v>
      </c>
      <c r="W201" s="75"/>
      <c r="X201" s="76"/>
      <c r="Y201" s="76"/>
      <c r="Z201" s="75"/>
      <c r="AA201" s="75"/>
      <c r="AB201" s="75">
        <v>1</v>
      </c>
      <c r="AC201" s="75"/>
      <c r="AD201" s="75"/>
      <c r="AE201" s="76"/>
      <c r="AF201" s="76"/>
      <c r="AG201" s="75"/>
      <c r="AH201" s="75">
        <v>1</v>
      </c>
      <c r="AI201" s="75"/>
      <c r="AJ201" s="75"/>
      <c r="AK201" s="111"/>
      <c r="AL201" s="76"/>
      <c r="AM201" s="107"/>
      <c r="AN201" s="123"/>
      <c r="AO201" s="123"/>
      <c r="AP201" s="123"/>
      <c r="AQ201" s="123"/>
      <c r="AR201" s="123"/>
      <c r="AS201" s="123"/>
      <c r="AT201" s="428"/>
      <c r="AU201" s="428"/>
      <c r="AV201" s="121"/>
      <c r="AW201" s="428"/>
    </row>
    <row r="202" spans="1:49">
      <c r="A202" s="490"/>
      <c r="B202" s="535"/>
      <c r="C202" s="514"/>
      <c r="D202" s="137"/>
      <c r="E202" s="514"/>
      <c r="F202" s="459"/>
      <c r="G202" s="47"/>
      <c r="H202" s="48" t="s">
        <v>15</v>
      </c>
      <c r="I202" s="75"/>
      <c r="J202" s="76"/>
      <c r="K202" s="76"/>
      <c r="L202" s="75"/>
      <c r="M202" s="75"/>
      <c r="N202" s="75"/>
      <c r="O202" s="75"/>
      <c r="P202" s="75"/>
      <c r="Q202" s="96"/>
      <c r="R202" s="96"/>
      <c r="S202" s="96"/>
      <c r="T202" s="75"/>
      <c r="U202" s="75"/>
      <c r="V202" s="75"/>
      <c r="W202" s="75"/>
      <c r="X202" s="76"/>
      <c r="Y202" s="76"/>
      <c r="Z202" s="75"/>
      <c r="AA202" s="75"/>
      <c r="AB202" s="75"/>
      <c r="AC202" s="75"/>
      <c r="AD202" s="75"/>
      <c r="AE202" s="76"/>
      <c r="AF202" s="76"/>
      <c r="AG202" s="75"/>
      <c r="AH202" s="75"/>
      <c r="AI202" s="75"/>
      <c r="AJ202" s="75"/>
      <c r="AK202" s="111"/>
      <c r="AL202" s="76"/>
      <c r="AM202" s="107"/>
      <c r="AN202" s="123"/>
      <c r="AO202" s="123"/>
      <c r="AP202" s="123"/>
      <c r="AQ202" s="123"/>
      <c r="AR202" s="123"/>
      <c r="AS202" s="123"/>
      <c r="AT202" s="428"/>
      <c r="AU202" s="428"/>
      <c r="AV202" s="121"/>
      <c r="AW202" s="428"/>
    </row>
    <row r="203" spans="1:49">
      <c r="A203" s="490"/>
      <c r="B203" s="535"/>
      <c r="C203" s="514"/>
      <c r="D203" s="137"/>
      <c r="E203" s="514"/>
      <c r="F203" s="459"/>
      <c r="G203" s="51" t="s">
        <v>28</v>
      </c>
      <c r="H203" s="46" t="s">
        <v>29</v>
      </c>
      <c r="I203" s="75">
        <f>$N$214</f>
        <v>13400</v>
      </c>
      <c r="J203" s="76"/>
      <c r="K203" s="76"/>
      <c r="L203" s="75"/>
      <c r="M203" s="75"/>
      <c r="N203" s="75"/>
      <c r="O203" s="75">
        <f>$N$214</f>
        <v>13400</v>
      </c>
      <c r="P203" s="75"/>
      <c r="Q203" s="96"/>
      <c r="R203" s="96"/>
      <c r="S203" s="96"/>
      <c r="T203" s="75"/>
      <c r="U203" s="75"/>
      <c r="V203" s="75">
        <f>$N$214</f>
        <v>13400</v>
      </c>
      <c r="W203" s="75"/>
      <c r="X203" s="76"/>
      <c r="Y203" s="76"/>
      <c r="Z203" s="75"/>
      <c r="AA203" s="75"/>
      <c r="AB203" s="75">
        <f>$N$214</f>
        <v>13400</v>
      </c>
      <c r="AC203" s="75"/>
      <c r="AD203" s="75"/>
      <c r="AE203" s="76"/>
      <c r="AF203" s="76"/>
      <c r="AG203" s="75"/>
      <c r="AH203" s="75">
        <f>$N$214</f>
        <v>13400</v>
      </c>
      <c r="AI203" s="75"/>
      <c r="AJ203" s="75"/>
      <c r="AK203" s="111"/>
      <c r="AL203" s="76"/>
      <c r="AM203" s="107"/>
      <c r="AN203" s="123"/>
      <c r="AO203" s="123"/>
      <c r="AP203" s="123"/>
      <c r="AQ203" s="123"/>
      <c r="AR203" s="123"/>
      <c r="AS203" s="123"/>
      <c r="AT203" s="428"/>
      <c r="AU203" s="428"/>
      <c r="AV203" s="121"/>
      <c r="AW203" s="428"/>
    </row>
    <row r="204" spans="1:49">
      <c r="A204" s="490"/>
      <c r="B204" s="535"/>
      <c r="C204" s="514"/>
      <c r="D204" s="137"/>
      <c r="E204" s="514"/>
      <c r="F204" s="459"/>
      <c r="G204" s="47"/>
      <c r="H204" s="48" t="s">
        <v>15</v>
      </c>
      <c r="I204" s="75"/>
      <c r="J204" s="76"/>
      <c r="K204" s="76"/>
      <c r="L204" s="75"/>
      <c r="M204" s="75"/>
      <c r="N204" s="75"/>
      <c r="O204" s="75"/>
      <c r="P204" s="75"/>
      <c r="Q204" s="96"/>
      <c r="R204" s="96"/>
      <c r="S204" s="96"/>
      <c r="T204" s="75"/>
      <c r="U204" s="75"/>
      <c r="V204" s="75"/>
      <c r="W204" s="75"/>
      <c r="X204" s="76"/>
      <c r="Y204" s="76"/>
      <c r="Z204" s="75"/>
      <c r="AA204" s="75"/>
      <c r="AB204" s="75"/>
      <c r="AC204" s="75"/>
      <c r="AD204" s="75"/>
      <c r="AE204" s="76"/>
      <c r="AF204" s="76"/>
      <c r="AG204" s="75"/>
      <c r="AH204" s="75"/>
      <c r="AI204" s="75"/>
      <c r="AJ204" s="75"/>
      <c r="AK204" s="111"/>
      <c r="AL204" s="76"/>
      <c r="AM204" s="107"/>
      <c r="AN204" s="123"/>
      <c r="AO204" s="123"/>
      <c r="AP204" s="123"/>
      <c r="AQ204" s="123"/>
      <c r="AR204" s="123"/>
      <c r="AS204" s="123"/>
      <c r="AT204" s="428"/>
      <c r="AU204" s="428"/>
      <c r="AV204" s="121"/>
      <c r="AW204" s="428"/>
    </row>
    <row r="205" spans="1:49">
      <c r="A205" s="490"/>
      <c r="B205" s="535"/>
      <c r="C205" s="514"/>
      <c r="D205" s="137"/>
      <c r="E205" s="514"/>
      <c r="F205" s="459"/>
      <c r="G205" s="51" t="s">
        <v>79</v>
      </c>
      <c r="H205" s="46" t="s">
        <v>80</v>
      </c>
      <c r="I205" s="75">
        <f>$N$214</f>
        <v>13400</v>
      </c>
      <c r="J205" s="76"/>
      <c r="K205" s="76"/>
      <c r="L205" s="75"/>
      <c r="M205" s="75"/>
      <c r="N205" s="75"/>
      <c r="O205" s="75">
        <f>$N$214</f>
        <v>13400</v>
      </c>
      <c r="P205" s="75"/>
      <c r="Q205" s="96"/>
      <c r="R205" s="96"/>
      <c r="S205" s="96"/>
      <c r="T205" s="75"/>
      <c r="U205" s="75"/>
      <c r="V205" s="75">
        <f>$N$214</f>
        <v>13400</v>
      </c>
      <c r="W205" s="75"/>
      <c r="X205" s="76"/>
      <c r="Y205" s="76"/>
      <c r="Z205" s="75"/>
      <c r="AA205" s="75"/>
      <c r="AB205" s="75">
        <f>$N$214</f>
        <v>13400</v>
      </c>
      <c r="AC205" s="75"/>
      <c r="AD205" s="75"/>
      <c r="AE205" s="76"/>
      <c r="AF205" s="76"/>
      <c r="AG205" s="75"/>
      <c r="AH205" s="75">
        <f>$N$214</f>
        <v>13400</v>
      </c>
      <c r="AI205" s="75"/>
      <c r="AJ205" s="75"/>
      <c r="AK205" s="111"/>
      <c r="AL205" s="76"/>
      <c r="AM205" s="107"/>
      <c r="AN205" s="123"/>
      <c r="AO205" s="123"/>
      <c r="AP205" s="123"/>
      <c r="AQ205" s="123"/>
      <c r="AR205" s="123"/>
      <c r="AS205" s="123"/>
      <c r="AT205" s="428"/>
      <c r="AU205" s="428"/>
      <c r="AV205" s="121"/>
      <c r="AW205" s="428"/>
    </row>
    <row r="206" spans="1:49">
      <c r="A206" s="490"/>
      <c r="B206" s="535"/>
      <c r="C206" s="514"/>
      <c r="D206" s="137"/>
      <c r="E206" s="514"/>
      <c r="F206" s="459"/>
      <c r="G206" s="47"/>
      <c r="H206" s="46" t="s">
        <v>27</v>
      </c>
      <c r="I206" s="75">
        <v>1</v>
      </c>
      <c r="J206" s="76"/>
      <c r="K206" s="76"/>
      <c r="L206" s="75"/>
      <c r="M206" s="75"/>
      <c r="N206" s="75"/>
      <c r="O206" s="75">
        <v>1</v>
      </c>
      <c r="P206" s="75"/>
      <c r="Q206" s="96"/>
      <c r="R206" s="96"/>
      <c r="S206" s="96"/>
      <c r="T206" s="75"/>
      <c r="U206" s="75"/>
      <c r="V206" s="75">
        <v>1</v>
      </c>
      <c r="W206" s="75"/>
      <c r="X206" s="76"/>
      <c r="Y206" s="76"/>
      <c r="Z206" s="75"/>
      <c r="AA206" s="75"/>
      <c r="AB206" s="75">
        <v>1</v>
      </c>
      <c r="AC206" s="75"/>
      <c r="AD206" s="75"/>
      <c r="AE206" s="76"/>
      <c r="AF206" s="76"/>
      <c r="AG206" s="75"/>
      <c r="AH206" s="75">
        <v>1</v>
      </c>
      <c r="AI206" s="75"/>
      <c r="AJ206" s="75"/>
      <c r="AK206" s="111"/>
      <c r="AL206" s="76"/>
      <c r="AM206" s="107"/>
      <c r="AN206" s="123"/>
      <c r="AO206" s="123"/>
      <c r="AP206" s="123"/>
      <c r="AQ206" s="123"/>
      <c r="AR206" s="123"/>
      <c r="AS206" s="123"/>
      <c r="AT206" s="428"/>
      <c r="AU206" s="428"/>
      <c r="AV206" s="121"/>
      <c r="AW206" s="428"/>
    </row>
    <row r="207" spans="1:49">
      <c r="A207" s="490"/>
      <c r="B207" s="535"/>
      <c r="C207" s="514"/>
      <c r="D207" s="137"/>
      <c r="E207" s="514"/>
      <c r="F207" s="459"/>
      <c r="G207" s="47"/>
      <c r="H207" s="48" t="s">
        <v>15</v>
      </c>
      <c r="I207" s="75"/>
      <c r="J207" s="76"/>
      <c r="K207" s="76"/>
      <c r="L207" s="75"/>
      <c r="M207" s="75"/>
      <c r="N207" s="75"/>
      <c r="O207" s="75"/>
      <c r="P207" s="75"/>
      <c r="Q207" s="96"/>
      <c r="R207" s="96"/>
      <c r="S207" s="96"/>
      <c r="T207" s="75"/>
      <c r="U207" s="75"/>
      <c r="V207" s="75"/>
      <c r="W207" s="75"/>
      <c r="X207" s="76"/>
      <c r="Y207" s="76"/>
      <c r="Z207" s="75"/>
      <c r="AA207" s="75"/>
      <c r="AB207" s="75"/>
      <c r="AC207" s="75"/>
      <c r="AD207" s="75"/>
      <c r="AE207" s="76"/>
      <c r="AF207" s="76"/>
      <c r="AG207" s="75"/>
      <c r="AH207" s="75"/>
      <c r="AI207" s="75"/>
      <c r="AJ207" s="75"/>
      <c r="AK207" s="111"/>
      <c r="AL207" s="76"/>
      <c r="AM207" s="107"/>
      <c r="AN207" s="123"/>
      <c r="AO207" s="123"/>
      <c r="AP207" s="123"/>
      <c r="AQ207" s="123"/>
      <c r="AR207" s="123"/>
      <c r="AS207" s="123"/>
      <c r="AT207" s="428"/>
      <c r="AU207" s="428"/>
      <c r="AV207" s="121"/>
      <c r="AW207" s="428"/>
    </row>
    <row r="208" spans="1:49">
      <c r="A208" s="490"/>
      <c r="B208" s="535"/>
      <c r="C208" s="514"/>
      <c r="D208" s="137"/>
      <c r="E208" s="514"/>
      <c r="F208" s="459"/>
      <c r="G208" s="47"/>
      <c r="H208" s="46" t="s">
        <v>30</v>
      </c>
      <c r="I208" s="75">
        <f>$N$214/2</f>
        <v>6700</v>
      </c>
      <c r="J208" s="76"/>
      <c r="K208" s="76"/>
      <c r="L208" s="75">
        <f>$N$214/2</f>
        <v>6700</v>
      </c>
      <c r="M208" s="75"/>
      <c r="N208" s="75"/>
      <c r="O208" s="75">
        <f>$N$214/2</f>
        <v>6700</v>
      </c>
      <c r="P208" s="75">
        <f>$N$214/2</f>
        <v>6700</v>
      </c>
      <c r="Q208" s="96"/>
      <c r="R208" s="96"/>
      <c r="S208" s="96"/>
      <c r="T208" s="75"/>
      <c r="U208" s="75"/>
      <c r="V208" s="75">
        <f>$N$214/2</f>
        <v>6700</v>
      </c>
      <c r="W208" s="75">
        <f>$N$214/2</f>
        <v>6700</v>
      </c>
      <c r="X208" s="76"/>
      <c r="Y208" s="76"/>
      <c r="Z208" s="75"/>
      <c r="AA208" s="75"/>
      <c r="AB208" s="75">
        <f>$N$214/2</f>
        <v>6700</v>
      </c>
      <c r="AC208" s="75">
        <f>$N$214/2</f>
        <v>6700</v>
      </c>
      <c r="AD208" s="75"/>
      <c r="AE208" s="76"/>
      <c r="AF208" s="76"/>
      <c r="AG208" s="75"/>
      <c r="AH208" s="75">
        <f>$N$214/2</f>
        <v>6700</v>
      </c>
      <c r="AI208" s="75">
        <f>$N$214/2</f>
        <v>6700</v>
      </c>
      <c r="AJ208" s="75"/>
      <c r="AK208" s="111"/>
      <c r="AL208" s="76"/>
      <c r="AM208" s="107"/>
      <c r="AN208" s="123"/>
      <c r="AO208" s="123"/>
      <c r="AP208" s="123"/>
      <c r="AQ208" s="123"/>
      <c r="AR208" s="123"/>
      <c r="AS208" s="123"/>
      <c r="AT208" s="428"/>
      <c r="AU208" s="428"/>
      <c r="AV208" s="121"/>
      <c r="AW208" s="428"/>
    </row>
    <row r="209" spans="1:49">
      <c r="A209" s="490"/>
      <c r="B209" s="535"/>
      <c r="C209" s="514"/>
      <c r="D209" s="137"/>
      <c r="E209" s="514"/>
      <c r="F209" s="459"/>
      <c r="G209" s="47"/>
      <c r="H209" s="46" t="s">
        <v>31</v>
      </c>
      <c r="I209" s="75">
        <v>1</v>
      </c>
      <c r="J209" s="76"/>
      <c r="K209" s="76"/>
      <c r="L209" s="75">
        <v>1</v>
      </c>
      <c r="M209" s="75"/>
      <c r="N209" s="75"/>
      <c r="O209" s="75">
        <v>1</v>
      </c>
      <c r="P209" s="75">
        <v>1</v>
      </c>
      <c r="Q209" s="96"/>
      <c r="R209" s="96"/>
      <c r="S209" s="96"/>
      <c r="T209" s="75"/>
      <c r="U209" s="75"/>
      <c r="V209" s="75">
        <v>1</v>
      </c>
      <c r="W209" s="75">
        <v>1</v>
      </c>
      <c r="X209" s="76"/>
      <c r="Y209" s="76"/>
      <c r="Z209" s="75"/>
      <c r="AA209" s="75"/>
      <c r="AB209" s="75">
        <v>1</v>
      </c>
      <c r="AC209" s="75">
        <v>1</v>
      </c>
      <c r="AD209" s="75"/>
      <c r="AE209" s="76"/>
      <c r="AF209" s="76"/>
      <c r="AG209" s="75"/>
      <c r="AH209" s="75">
        <v>1</v>
      </c>
      <c r="AI209" s="75">
        <v>1</v>
      </c>
      <c r="AJ209" s="75"/>
      <c r="AK209" s="111"/>
      <c r="AL209" s="76"/>
      <c r="AM209" s="107"/>
      <c r="AN209" s="123"/>
      <c r="AO209" s="123"/>
      <c r="AP209" s="123"/>
      <c r="AQ209" s="123"/>
      <c r="AR209" s="123"/>
      <c r="AS209" s="123"/>
      <c r="AT209" s="428"/>
      <c r="AU209" s="428"/>
      <c r="AV209" s="121"/>
      <c r="AW209" s="428"/>
    </row>
    <row r="210" spans="1:49">
      <c r="A210" s="490"/>
      <c r="B210" s="535"/>
      <c r="C210" s="514"/>
      <c r="D210" s="137"/>
      <c r="E210" s="514"/>
      <c r="F210" s="459"/>
      <c r="G210" s="47"/>
      <c r="H210" s="48" t="s">
        <v>15</v>
      </c>
      <c r="I210" s="75"/>
      <c r="J210" s="76"/>
      <c r="K210" s="76"/>
      <c r="L210" s="75"/>
      <c r="M210" s="75"/>
      <c r="N210" s="75"/>
      <c r="O210" s="75"/>
      <c r="P210" s="75"/>
      <c r="Q210" s="96"/>
      <c r="R210" s="96"/>
      <c r="S210" s="96"/>
      <c r="T210" s="75"/>
      <c r="U210" s="75"/>
      <c r="V210" s="75"/>
      <c r="W210" s="75"/>
      <c r="X210" s="76"/>
      <c r="Y210" s="76"/>
      <c r="Z210" s="75"/>
      <c r="AA210" s="75"/>
      <c r="AB210" s="75"/>
      <c r="AC210" s="75"/>
      <c r="AD210" s="75"/>
      <c r="AE210" s="76"/>
      <c r="AF210" s="76"/>
      <c r="AG210" s="75"/>
      <c r="AH210" s="75"/>
      <c r="AI210" s="75"/>
      <c r="AJ210" s="75"/>
      <c r="AK210" s="111"/>
      <c r="AL210" s="76"/>
      <c r="AM210" s="107"/>
      <c r="AN210" s="123"/>
      <c r="AO210" s="123"/>
      <c r="AP210" s="123"/>
      <c r="AQ210" s="123"/>
      <c r="AR210" s="123"/>
      <c r="AS210" s="123"/>
      <c r="AT210" s="428"/>
      <c r="AU210" s="428"/>
      <c r="AV210" s="121"/>
      <c r="AW210" s="428"/>
    </row>
    <row r="211" spans="1:49">
      <c r="A211" s="490"/>
      <c r="B211" s="535"/>
      <c r="C211" s="514"/>
      <c r="D211" s="137"/>
      <c r="E211" s="514"/>
      <c r="F211" s="459"/>
      <c r="G211" s="47"/>
      <c r="H211" s="46" t="s">
        <v>109</v>
      </c>
      <c r="I211" s="75">
        <f>$N$214/4</f>
        <v>3350</v>
      </c>
      <c r="J211" s="76"/>
      <c r="K211" s="76"/>
      <c r="L211" s="75">
        <f>$N$214/4</f>
        <v>3350</v>
      </c>
      <c r="M211" s="75">
        <f>$N$214/4</f>
        <v>3350</v>
      </c>
      <c r="N211" s="75">
        <f>$N$214/4</f>
        <v>3350</v>
      </c>
      <c r="O211" s="75">
        <f>$N$214/4</f>
        <v>3350</v>
      </c>
      <c r="P211" s="75">
        <f>$N$214/4</f>
        <v>3350</v>
      </c>
      <c r="Q211" s="96"/>
      <c r="R211" s="96"/>
      <c r="S211" s="96"/>
      <c r="T211" s="75">
        <f>$N$214/4</f>
        <v>3350</v>
      </c>
      <c r="U211" s="75">
        <f>$N$214/4</f>
        <v>3350</v>
      </c>
      <c r="V211" s="75">
        <f>$N$214/4</f>
        <v>3350</v>
      </c>
      <c r="W211" s="75">
        <f>$N$214/4</f>
        <v>3350</v>
      </c>
      <c r="X211" s="76"/>
      <c r="Y211" s="76"/>
      <c r="Z211" s="75">
        <f>$N$214/4</f>
        <v>3350</v>
      </c>
      <c r="AA211" s="75">
        <f>$N$214/4</f>
        <v>3350</v>
      </c>
      <c r="AB211" s="75">
        <f>$N$214/4</f>
        <v>3350</v>
      </c>
      <c r="AC211" s="75">
        <f>$N$214/4</f>
        <v>3350</v>
      </c>
      <c r="AD211" s="75">
        <f>$N$214/4</f>
        <v>3350</v>
      </c>
      <c r="AE211" s="76"/>
      <c r="AF211" s="76"/>
      <c r="AG211" s="75">
        <f>$N$214/4</f>
        <v>3350</v>
      </c>
      <c r="AH211" s="75">
        <f>$N$214/4</f>
        <v>3350</v>
      </c>
      <c r="AI211" s="75">
        <f>$N$214/4</f>
        <v>3350</v>
      </c>
      <c r="AJ211" s="75">
        <f>$N$214/4</f>
        <v>3350</v>
      </c>
      <c r="AK211" s="111"/>
      <c r="AL211" s="76"/>
      <c r="AM211" s="107"/>
      <c r="AN211" s="123"/>
      <c r="AO211" s="123"/>
      <c r="AP211" s="123"/>
      <c r="AQ211" s="123"/>
      <c r="AR211" s="123"/>
      <c r="AS211" s="123"/>
      <c r="AT211" s="428"/>
      <c r="AU211" s="428"/>
      <c r="AV211" s="121"/>
      <c r="AW211" s="428"/>
    </row>
    <row r="212" spans="1:49">
      <c r="A212" s="490"/>
      <c r="B212" s="535"/>
      <c r="C212" s="514"/>
      <c r="D212" s="137"/>
      <c r="E212" s="514"/>
      <c r="F212" s="459"/>
      <c r="G212" s="47"/>
      <c r="H212" s="46" t="s">
        <v>84</v>
      </c>
      <c r="I212" s="75">
        <v>3</v>
      </c>
      <c r="J212" s="76"/>
      <c r="K212" s="76"/>
      <c r="L212" s="75">
        <v>3</v>
      </c>
      <c r="M212" s="75">
        <v>3</v>
      </c>
      <c r="N212" s="75">
        <v>3</v>
      </c>
      <c r="O212" s="75">
        <v>3</v>
      </c>
      <c r="P212" s="75">
        <v>3</v>
      </c>
      <c r="Q212" s="96"/>
      <c r="R212" s="96"/>
      <c r="S212" s="96"/>
      <c r="T212" s="75">
        <v>3</v>
      </c>
      <c r="U212" s="75">
        <v>3</v>
      </c>
      <c r="V212" s="75">
        <v>3</v>
      </c>
      <c r="W212" s="75">
        <v>3</v>
      </c>
      <c r="X212" s="76"/>
      <c r="Y212" s="76"/>
      <c r="Z212" s="75">
        <v>3</v>
      </c>
      <c r="AA212" s="75">
        <v>3</v>
      </c>
      <c r="AB212" s="75">
        <v>3</v>
      </c>
      <c r="AC212" s="75">
        <v>3</v>
      </c>
      <c r="AD212" s="75">
        <v>3</v>
      </c>
      <c r="AE212" s="76"/>
      <c r="AF212" s="76"/>
      <c r="AG212" s="75">
        <v>3</v>
      </c>
      <c r="AH212" s="75">
        <v>3</v>
      </c>
      <c r="AI212" s="75">
        <v>3</v>
      </c>
      <c r="AJ212" s="75">
        <v>3</v>
      </c>
      <c r="AK212" s="111"/>
      <c r="AL212" s="76"/>
      <c r="AM212" s="107"/>
      <c r="AN212" s="123"/>
      <c r="AO212" s="123"/>
      <c r="AP212" s="123"/>
      <c r="AQ212" s="123"/>
      <c r="AR212" s="123"/>
      <c r="AS212" s="123"/>
      <c r="AT212" s="428"/>
      <c r="AU212" s="428"/>
      <c r="AV212" s="121"/>
      <c r="AW212" s="428"/>
    </row>
    <row r="213" spans="1:49">
      <c r="A213" s="490"/>
      <c r="B213" s="535"/>
      <c r="C213" s="514"/>
      <c r="D213" s="137"/>
      <c r="E213" s="514"/>
      <c r="F213" s="459"/>
      <c r="G213" s="47"/>
      <c r="H213" s="48" t="s">
        <v>15</v>
      </c>
      <c r="I213" s="75"/>
      <c r="J213" s="76"/>
      <c r="K213" s="76"/>
      <c r="L213" s="75"/>
      <c r="M213" s="75"/>
      <c r="N213" s="75"/>
      <c r="O213" s="75"/>
      <c r="P213" s="75"/>
      <c r="Q213" s="96"/>
      <c r="R213" s="96"/>
      <c r="S213" s="96"/>
      <c r="T213" s="75"/>
      <c r="U213" s="75"/>
      <c r="V213" s="75"/>
      <c r="W213" s="75"/>
      <c r="X213" s="76"/>
      <c r="Y213" s="76"/>
      <c r="Z213" s="75"/>
      <c r="AA213" s="75"/>
      <c r="AB213" s="75"/>
      <c r="AC213" s="75"/>
      <c r="AD213" s="75"/>
      <c r="AE213" s="76"/>
      <c r="AF213" s="76"/>
      <c r="AG213" s="75"/>
      <c r="AH213" s="75"/>
      <c r="AI213" s="75"/>
      <c r="AJ213" s="75"/>
      <c r="AK213" s="111"/>
      <c r="AL213" s="76"/>
      <c r="AM213" s="107"/>
      <c r="AN213" s="123"/>
      <c r="AO213" s="123"/>
      <c r="AP213" s="123"/>
      <c r="AQ213" s="428"/>
      <c r="AR213" s="123"/>
      <c r="AS213" s="123"/>
      <c r="AT213" s="428"/>
      <c r="AU213" s="428"/>
      <c r="AV213" s="121"/>
      <c r="AW213" s="428"/>
    </row>
    <row r="214" spans="1:49">
      <c r="A214" s="490"/>
      <c r="B214" s="535"/>
      <c r="C214" s="514"/>
      <c r="D214" s="137"/>
      <c r="E214" s="514"/>
      <c r="F214" s="459"/>
      <c r="G214" s="47"/>
      <c r="H214" s="46" t="s">
        <v>32</v>
      </c>
      <c r="I214" s="75"/>
      <c r="J214" s="76"/>
      <c r="K214" s="76"/>
      <c r="L214" s="75"/>
      <c r="M214" s="75"/>
      <c r="N214" s="75">
        <f>3350*4</f>
        <v>13400</v>
      </c>
      <c r="O214" s="75"/>
      <c r="P214" s="47"/>
      <c r="Q214" s="96"/>
      <c r="R214" s="96"/>
      <c r="S214" s="96"/>
      <c r="T214" s="75"/>
      <c r="U214" s="75">
        <f>3350*4</f>
        <v>13400</v>
      </c>
      <c r="V214" s="75"/>
      <c r="W214" s="47"/>
      <c r="X214" s="76"/>
      <c r="Y214" s="76"/>
      <c r="Z214" s="75"/>
      <c r="AA214" s="75">
        <f>3350*4</f>
        <v>13400</v>
      </c>
      <c r="AB214" s="75"/>
      <c r="AC214" s="47"/>
      <c r="AD214" s="75"/>
      <c r="AE214" s="76"/>
      <c r="AF214" s="76"/>
      <c r="AG214" s="75">
        <f>3350*4</f>
        <v>13400</v>
      </c>
      <c r="AH214" s="75"/>
      <c r="AI214" s="47"/>
      <c r="AJ214" s="75"/>
      <c r="AK214" s="111"/>
      <c r="AL214" s="76"/>
      <c r="AM214" s="107"/>
      <c r="AN214" s="123"/>
      <c r="AO214" s="123"/>
      <c r="AP214" s="123"/>
      <c r="AQ214" s="428"/>
      <c r="AR214" s="123"/>
      <c r="AS214" s="123"/>
      <c r="AT214" s="428"/>
      <c r="AU214" s="428"/>
      <c r="AV214" s="121"/>
      <c r="AW214" s="428"/>
    </row>
    <row r="215" spans="1:49">
      <c r="A215" s="490"/>
      <c r="B215" s="535"/>
      <c r="C215" s="514"/>
      <c r="D215" s="137"/>
      <c r="E215" s="514"/>
      <c r="F215" s="459"/>
      <c r="G215" s="47"/>
      <c r="H215" s="46" t="s">
        <v>51</v>
      </c>
      <c r="I215" s="75"/>
      <c r="J215" s="76"/>
      <c r="K215" s="76"/>
      <c r="L215" s="75"/>
      <c r="M215" s="75"/>
      <c r="N215" s="75">
        <v>1</v>
      </c>
      <c r="O215" s="75"/>
      <c r="P215" s="47"/>
      <c r="Q215" s="96"/>
      <c r="R215" s="96"/>
      <c r="S215" s="96"/>
      <c r="T215" s="75"/>
      <c r="U215" s="75">
        <v>1</v>
      </c>
      <c r="V215" s="75"/>
      <c r="W215" s="47"/>
      <c r="X215" s="76"/>
      <c r="Y215" s="76"/>
      <c r="Z215" s="75"/>
      <c r="AA215" s="75">
        <v>1</v>
      </c>
      <c r="AB215" s="75"/>
      <c r="AC215" s="47"/>
      <c r="AD215" s="75"/>
      <c r="AE215" s="76"/>
      <c r="AF215" s="76"/>
      <c r="AG215" s="75">
        <v>1</v>
      </c>
      <c r="AH215" s="75"/>
      <c r="AI215" s="47"/>
      <c r="AJ215" s="75"/>
      <c r="AK215" s="111"/>
      <c r="AL215" s="76"/>
      <c r="AM215" s="107"/>
      <c r="AN215" s="123"/>
      <c r="AO215" s="123"/>
      <c r="AP215" s="123"/>
      <c r="AQ215" s="428"/>
      <c r="AR215" s="123"/>
      <c r="AS215" s="123"/>
      <c r="AT215" s="428"/>
      <c r="AU215" s="428"/>
      <c r="AV215" s="121"/>
      <c r="AW215" s="428"/>
    </row>
    <row r="216" spans="1:49">
      <c r="A216" s="495"/>
      <c r="B216" s="536"/>
      <c r="C216" s="515"/>
      <c r="D216" s="139"/>
      <c r="E216" s="515"/>
      <c r="F216" s="460"/>
      <c r="G216" s="52"/>
      <c r="H216" s="53" t="s">
        <v>15</v>
      </c>
      <c r="I216" s="87"/>
      <c r="J216" s="88"/>
      <c r="K216" s="88"/>
      <c r="L216" s="87"/>
      <c r="M216" s="87"/>
      <c r="N216" s="87"/>
      <c r="O216" s="87"/>
      <c r="P216" s="87"/>
      <c r="Q216" s="100"/>
      <c r="R216" s="100"/>
      <c r="S216" s="100"/>
      <c r="T216" s="87"/>
      <c r="U216" s="87"/>
      <c r="V216" s="87"/>
      <c r="W216" s="87"/>
      <c r="X216" s="88"/>
      <c r="Y216" s="88"/>
      <c r="Z216" s="87"/>
      <c r="AA216" s="87"/>
      <c r="AB216" s="87"/>
      <c r="AC216" s="87"/>
      <c r="AD216" s="87"/>
      <c r="AE216" s="88"/>
      <c r="AF216" s="88"/>
      <c r="AG216" s="87"/>
      <c r="AH216" s="87"/>
      <c r="AI216" s="87"/>
      <c r="AJ216" s="87"/>
      <c r="AK216" s="119"/>
      <c r="AL216" s="76"/>
      <c r="AM216" s="107"/>
      <c r="AN216" s="123"/>
      <c r="AO216" s="123"/>
      <c r="AP216" s="123"/>
      <c r="AQ216" s="428"/>
      <c r="AR216" s="123"/>
      <c r="AS216" s="123"/>
      <c r="AT216" s="428"/>
      <c r="AU216" s="428"/>
      <c r="AV216" s="121"/>
      <c r="AW216" s="428"/>
    </row>
    <row r="217" spans="1:49">
      <c r="A217" s="494" t="s">
        <v>88</v>
      </c>
      <c r="B217" s="499" t="s">
        <v>89</v>
      </c>
      <c r="C217" s="446">
        <v>3350</v>
      </c>
      <c r="D217" s="519">
        <v>1.4750000000000001</v>
      </c>
      <c r="E217" s="446"/>
      <c r="F217" s="432" t="s">
        <v>90</v>
      </c>
      <c r="G217" s="62">
        <v>0.08</v>
      </c>
      <c r="H217" s="44" t="s">
        <v>12</v>
      </c>
      <c r="I217" s="127"/>
      <c r="J217" s="128"/>
      <c r="K217" s="128"/>
      <c r="L217" s="127"/>
      <c r="M217" s="127"/>
      <c r="N217" s="127"/>
      <c r="O217" s="127"/>
      <c r="P217" s="127"/>
      <c r="Q217" s="99"/>
      <c r="R217" s="99"/>
      <c r="S217" s="99"/>
      <c r="T217" s="127"/>
      <c r="U217" s="127"/>
      <c r="V217" s="127"/>
      <c r="W217" s="127"/>
      <c r="Y217" s="128"/>
      <c r="Z217" s="127"/>
      <c r="AA217" s="127"/>
      <c r="AC217" s="127"/>
      <c r="AD217" s="127"/>
      <c r="AF217" s="128"/>
      <c r="AG217" s="127"/>
      <c r="AH217" s="127"/>
      <c r="AI217" s="15"/>
      <c r="AJ217" s="127"/>
      <c r="AK217" s="131"/>
      <c r="AL217" s="76"/>
      <c r="AM217" s="107"/>
      <c r="AN217" s="123"/>
      <c r="AO217" s="123"/>
      <c r="AP217" s="123"/>
      <c r="AQ217" s="123"/>
      <c r="AR217" s="123"/>
      <c r="AS217" s="123"/>
      <c r="AT217" s="428"/>
      <c r="AU217" s="428"/>
      <c r="AV217" s="121"/>
      <c r="AW217" s="428"/>
    </row>
    <row r="218" spans="1:49">
      <c r="A218" s="490"/>
      <c r="B218" s="500"/>
      <c r="C218" s="447"/>
      <c r="D218" s="520"/>
      <c r="E218" s="447"/>
      <c r="F218" s="433"/>
      <c r="G218" s="50"/>
      <c r="H218" s="46" t="s">
        <v>14</v>
      </c>
      <c r="I218" s="86"/>
      <c r="J218" s="101"/>
      <c r="K218" s="101"/>
      <c r="L218" s="86"/>
      <c r="M218" s="86"/>
      <c r="N218" s="86"/>
      <c r="O218" s="86"/>
      <c r="P218" s="86"/>
      <c r="Q218" s="130"/>
      <c r="R218" s="130"/>
      <c r="S218" s="130"/>
      <c r="T218" s="86"/>
      <c r="U218" s="86"/>
      <c r="V218" s="86"/>
      <c r="W218" s="86"/>
      <c r="X218" s="77"/>
      <c r="Y218" s="101"/>
      <c r="Z218" s="86"/>
      <c r="AA218" s="86"/>
      <c r="AB218" s="15"/>
      <c r="AC218" s="86"/>
      <c r="AD218" s="86"/>
      <c r="AE218" s="77"/>
      <c r="AF218" s="101"/>
      <c r="AG218" s="86"/>
      <c r="AH218" s="86"/>
      <c r="AI218" s="15"/>
      <c r="AJ218" s="86"/>
      <c r="AK218" s="118"/>
      <c r="AL218" s="76"/>
      <c r="AM218" s="107"/>
      <c r="AN218" s="123"/>
      <c r="AO218" s="123"/>
      <c r="AP218" s="123"/>
      <c r="AQ218" s="123"/>
      <c r="AR218" s="123"/>
      <c r="AS218" s="123"/>
      <c r="AT218" s="428"/>
      <c r="AU218" s="428"/>
      <c r="AV218" s="121"/>
      <c r="AW218" s="428"/>
    </row>
    <row r="219" spans="1:49">
      <c r="A219" s="490"/>
      <c r="B219" s="500"/>
      <c r="C219" s="447"/>
      <c r="D219" s="520"/>
      <c r="E219" s="447"/>
      <c r="F219" s="433"/>
      <c r="G219" s="50"/>
      <c r="H219" s="48" t="s">
        <v>15</v>
      </c>
      <c r="I219" s="86"/>
      <c r="J219" s="101"/>
      <c r="K219" s="101"/>
      <c r="L219" s="86"/>
      <c r="M219" s="86"/>
      <c r="N219" s="86"/>
      <c r="O219" s="86"/>
      <c r="P219" s="86"/>
      <c r="Q219" s="130"/>
      <c r="R219" s="130"/>
      <c r="S219" s="130"/>
      <c r="T219" s="86"/>
      <c r="U219" s="86"/>
      <c r="V219" s="86"/>
      <c r="W219" s="86"/>
      <c r="X219" s="76"/>
      <c r="Y219" s="101"/>
      <c r="Z219" s="86"/>
      <c r="AA219" s="86"/>
      <c r="AB219" s="75"/>
      <c r="AC219" s="86"/>
      <c r="AD219" s="86"/>
      <c r="AE219" s="76"/>
      <c r="AF219" s="101"/>
      <c r="AG219" s="86"/>
      <c r="AH219" s="86"/>
      <c r="AI219" s="75"/>
      <c r="AJ219" s="86"/>
      <c r="AK219" s="118"/>
      <c r="AL219" s="76"/>
      <c r="AM219" s="107"/>
      <c r="AN219" s="123"/>
      <c r="AO219" s="123"/>
      <c r="AP219" s="123"/>
      <c r="AQ219" s="123"/>
      <c r="AR219" s="123"/>
      <c r="AS219" s="123"/>
      <c r="AT219" s="428"/>
      <c r="AU219" s="428"/>
      <c r="AV219" s="121"/>
      <c r="AW219" s="428"/>
    </row>
    <row r="220" spans="1:49">
      <c r="A220" s="490"/>
      <c r="B220" s="500"/>
      <c r="C220" s="447"/>
      <c r="D220" s="520"/>
      <c r="E220" s="447"/>
      <c r="F220" s="433"/>
      <c r="G220" s="50">
        <v>0.254</v>
      </c>
      <c r="H220" s="49" t="s">
        <v>12</v>
      </c>
      <c r="I220" s="86"/>
      <c r="J220" s="101"/>
      <c r="K220" s="101"/>
      <c r="L220" s="86"/>
      <c r="M220" s="86"/>
      <c r="N220" s="86"/>
      <c r="O220" s="86"/>
      <c r="P220" s="86"/>
      <c r="Q220" s="130"/>
      <c r="R220" s="130"/>
      <c r="S220" s="130"/>
      <c r="T220" s="86"/>
      <c r="U220" s="86"/>
      <c r="V220" s="86"/>
      <c r="W220" s="86"/>
      <c r="X220" s="101"/>
      <c r="Y220" s="101"/>
      <c r="Z220" s="86"/>
      <c r="AA220" s="86"/>
      <c r="AB220" s="86"/>
      <c r="AC220" s="86"/>
      <c r="AD220" s="86"/>
      <c r="AE220" s="101"/>
      <c r="AF220" s="101"/>
      <c r="AG220" s="86"/>
      <c r="AH220" s="86"/>
      <c r="AI220" s="86"/>
      <c r="AJ220" s="86"/>
      <c r="AK220" s="118"/>
      <c r="AL220" s="76"/>
      <c r="AM220" s="107"/>
      <c r="AN220" s="123"/>
      <c r="AO220" s="123"/>
      <c r="AP220" s="123"/>
      <c r="AQ220" s="123"/>
      <c r="AR220" s="123"/>
      <c r="AS220" s="123"/>
      <c r="AT220" s="428"/>
      <c r="AU220" s="428"/>
      <c r="AV220" s="121"/>
      <c r="AW220" s="428"/>
    </row>
    <row r="221" spans="1:49">
      <c r="A221" s="490"/>
      <c r="B221" s="500"/>
      <c r="C221" s="447"/>
      <c r="D221" s="520"/>
      <c r="E221" s="447"/>
      <c r="F221" s="433"/>
      <c r="G221" s="50"/>
      <c r="H221" s="46" t="s">
        <v>14</v>
      </c>
      <c r="I221" s="86"/>
      <c r="J221" s="101"/>
      <c r="K221" s="101"/>
      <c r="L221" s="86"/>
      <c r="M221" s="86"/>
      <c r="N221" s="86"/>
      <c r="O221" s="86"/>
      <c r="P221" s="86"/>
      <c r="Q221" s="130"/>
      <c r="R221" s="130"/>
      <c r="S221" s="130"/>
      <c r="T221" s="86"/>
      <c r="U221" s="86"/>
      <c r="V221" s="86"/>
      <c r="W221" s="86"/>
      <c r="X221" s="101"/>
      <c r="Y221" s="101"/>
      <c r="Z221" s="86"/>
      <c r="AA221" s="86"/>
      <c r="AB221" s="86"/>
      <c r="AC221" s="86"/>
      <c r="AD221" s="86"/>
      <c r="AE221" s="101"/>
      <c r="AF221" s="101"/>
      <c r="AG221" s="86"/>
      <c r="AH221" s="86"/>
      <c r="AI221" s="86"/>
      <c r="AJ221" s="86"/>
      <c r="AK221" s="118"/>
      <c r="AL221" s="76"/>
      <c r="AM221" s="107"/>
      <c r="AN221" s="123"/>
      <c r="AO221" s="123"/>
      <c r="AP221" s="123"/>
      <c r="AQ221" s="123"/>
      <c r="AR221" s="123"/>
      <c r="AS221" s="123"/>
      <c r="AT221" s="428"/>
      <c r="AU221" s="428"/>
      <c r="AV221" s="121"/>
      <c r="AW221" s="428"/>
    </row>
    <row r="222" spans="1:49">
      <c r="A222" s="490"/>
      <c r="B222" s="500"/>
      <c r="C222" s="447"/>
      <c r="D222" s="520"/>
      <c r="E222" s="447"/>
      <c r="F222" s="433"/>
      <c r="G222" s="50"/>
      <c r="H222" s="48" t="s">
        <v>15</v>
      </c>
      <c r="I222" s="75"/>
      <c r="J222" s="101"/>
      <c r="K222" s="101"/>
      <c r="L222" s="86"/>
      <c r="M222" s="86"/>
      <c r="N222" s="86"/>
      <c r="O222" s="86"/>
      <c r="P222" s="86"/>
      <c r="Q222" s="130"/>
      <c r="R222" s="130"/>
      <c r="S222" s="130"/>
      <c r="T222" s="86"/>
      <c r="U222" s="86"/>
      <c r="V222" s="86"/>
      <c r="W222" s="86"/>
      <c r="X222" s="101"/>
      <c r="Y222" s="101"/>
      <c r="Z222" s="86"/>
      <c r="AA222" s="86"/>
      <c r="AB222" s="86"/>
      <c r="AC222" s="86"/>
      <c r="AD222" s="86"/>
      <c r="AE222" s="101"/>
      <c r="AF222" s="101"/>
      <c r="AG222" s="86"/>
      <c r="AH222" s="86"/>
      <c r="AI222" s="86"/>
      <c r="AJ222" s="86"/>
      <c r="AK222" s="118"/>
      <c r="AL222" s="76"/>
      <c r="AM222" s="107"/>
      <c r="AN222" s="123"/>
      <c r="AO222" s="123"/>
      <c r="AP222" s="123"/>
      <c r="AQ222" s="123"/>
      <c r="AR222" s="123"/>
      <c r="AS222" s="123"/>
      <c r="AT222" s="428"/>
      <c r="AU222" s="428"/>
      <c r="AV222" s="121"/>
      <c r="AW222" s="428"/>
    </row>
    <row r="223" spans="1:49">
      <c r="A223" s="490"/>
      <c r="B223" s="500"/>
      <c r="C223" s="447"/>
      <c r="D223" s="520"/>
      <c r="E223" s="447"/>
      <c r="F223" s="433"/>
      <c r="G223" s="50" t="s">
        <v>91</v>
      </c>
      <c r="H223" s="49" t="s">
        <v>92</v>
      </c>
      <c r="I223" s="86"/>
      <c r="J223" s="101"/>
      <c r="K223" s="101"/>
      <c r="L223" s="86"/>
      <c r="M223" s="86"/>
      <c r="N223" s="86"/>
      <c r="O223" s="47"/>
      <c r="P223" s="86"/>
      <c r="Q223" s="130"/>
      <c r="R223" s="130"/>
      <c r="S223" s="130"/>
      <c r="T223" s="86"/>
      <c r="U223" s="86"/>
      <c r="V223" s="86"/>
      <c r="W223" s="86"/>
      <c r="X223" s="101"/>
      <c r="Y223" s="101"/>
      <c r="Z223" s="86"/>
      <c r="AA223" s="86"/>
      <c r="AB223" s="86"/>
      <c r="AC223" s="86"/>
      <c r="AD223" s="86"/>
      <c r="AE223" s="101"/>
      <c r="AF223" s="101"/>
      <c r="AG223" s="86"/>
      <c r="AH223" s="86"/>
      <c r="AI223" s="86"/>
      <c r="AJ223" s="86"/>
      <c r="AK223" s="118"/>
      <c r="AL223" s="76"/>
      <c r="AM223" s="107"/>
      <c r="AN223" s="123"/>
      <c r="AO223" s="123"/>
      <c r="AP223" s="123"/>
      <c r="AQ223" s="123"/>
      <c r="AR223" s="123"/>
      <c r="AS223" s="123"/>
      <c r="AT223" s="428"/>
      <c r="AU223" s="428"/>
      <c r="AV223" s="121"/>
      <c r="AW223" s="428"/>
    </row>
    <row r="224" spans="1:49">
      <c r="A224" s="490"/>
      <c r="B224" s="500"/>
      <c r="C224" s="447"/>
      <c r="D224" s="520"/>
      <c r="E224" s="447"/>
      <c r="F224" s="433"/>
      <c r="G224" s="50"/>
      <c r="H224" s="46" t="s">
        <v>14</v>
      </c>
      <c r="I224" s="86"/>
      <c r="J224" s="101"/>
      <c r="K224" s="101"/>
      <c r="L224" s="86"/>
      <c r="M224" s="86"/>
      <c r="N224" s="86"/>
      <c r="O224" s="47"/>
      <c r="P224" s="86"/>
      <c r="Q224" s="130"/>
      <c r="R224" s="130"/>
      <c r="S224" s="130"/>
      <c r="T224" s="86"/>
      <c r="U224" s="86"/>
      <c r="V224" s="86"/>
      <c r="W224" s="86"/>
      <c r="X224" s="101"/>
      <c r="Y224" s="101"/>
      <c r="Z224" s="86"/>
      <c r="AA224" s="86"/>
      <c r="AB224" s="86"/>
      <c r="AC224" s="86"/>
      <c r="AD224" s="86"/>
      <c r="AE224" s="101"/>
      <c r="AF224" s="101"/>
      <c r="AG224" s="86"/>
      <c r="AH224" s="86"/>
      <c r="AI224" s="86"/>
      <c r="AJ224" s="86"/>
      <c r="AK224" s="118"/>
      <c r="AL224" s="76"/>
      <c r="AM224" s="107"/>
      <c r="AN224" s="123"/>
      <c r="AO224" s="123"/>
      <c r="AP224" s="123"/>
      <c r="AQ224" s="123"/>
      <c r="AR224" s="123"/>
      <c r="AS224" s="123"/>
      <c r="AT224" s="428"/>
      <c r="AU224" s="428"/>
      <c r="AV224" s="121"/>
      <c r="AW224" s="428"/>
    </row>
    <row r="225" spans="1:49">
      <c r="A225" s="490"/>
      <c r="B225" s="500"/>
      <c r="C225" s="447"/>
      <c r="D225" s="520"/>
      <c r="E225" s="447"/>
      <c r="F225" s="433"/>
      <c r="G225" s="50"/>
      <c r="H225" s="48" t="s">
        <v>15</v>
      </c>
      <c r="I225" s="86"/>
      <c r="J225" s="101"/>
      <c r="K225" s="101"/>
      <c r="L225" s="86"/>
      <c r="M225" s="86"/>
      <c r="N225" s="86"/>
      <c r="O225" s="75"/>
      <c r="P225" s="86"/>
      <c r="Q225" s="130"/>
      <c r="R225" s="130"/>
      <c r="S225" s="130"/>
      <c r="T225" s="86"/>
      <c r="U225" s="86"/>
      <c r="V225" s="86"/>
      <c r="W225" s="86"/>
      <c r="X225" s="101"/>
      <c r="Y225" s="101"/>
      <c r="Z225" s="86"/>
      <c r="AA225" s="86"/>
      <c r="AB225" s="86"/>
      <c r="AC225" s="86"/>
      <c r="AD225" s="86"/>
      <c r="AE225" s="101"/>
      <c r="AF225" s="101"/>
      <c r="AG225" s="86"/>
      <c r="AH225" s="86"/>
      <c r="AI225" s="86"/>
      <c r="AJ225" s="86"/>
      <c r="AK225" s="118"/>
      <c r="AL225" s="76"/>
      <c r="AM225" s="107"/>
      <c r="AN225" s="123"/>
      <c r="AO225" s="123"/>
      <c r="AP225" s="123"/>
      <c r="AQ225" s="123"/>
      <c r="AR225" s="123"/>
      <c r="AS225" s="123"/>
      <c r="AT225" s="428"/>
      <c r="AU225" s="428"/>
      <c r="AV225" s="121"/>
      <c r="AW225" s="428"/>
    </row>
    <row r="226" spans="1:49">
      <c r="A226" s="490"/>
      <c r="B226" s="500"/>
      <c r="C226" s="447"/>
      <c r="D226" s="520"/>
      <c r="E226" s="447"/>
      <c r="F226" s="433"/>
      <c r="G226" s="50" t="s">
        <v>93</v>
      </c>
      <c r="H226" s="49" t="s">
        <v>92</v>
      </c>
      <c r="I226" s="86"/>
      <c r="J226" s="101"/>
      <c r="K226" s="101"/>
      <c r="L226" s="86"/>
      <c r="M226" s="86"/>
      <c r="N226" s="86"/>
      <c r="O226" s="47"/>
      <c r="P226" s="86"/>
      <c r="Q226" s="130"/>
      <c r="R226" s="130"/>
      <c r="S226" s="130"/>
      <c r="T226" s="47"/>
      <c r="U226" s="47"/>
      <c r="V226" s="86"/>
      <c r="W226" s="86"/>
      <c r="X226" s="101"/>
      <c r="Y226" s="101"/>
      <c r="Z226" s="86"/>
      <c r="AA226" s="86"/>
      <c r="AB226" s="86"/>
      <c r="AC226" s="86"/>
      <c r="AD226" s="86"/>
      <c r="AE226" s="101"/>
      <c r="AF226" s="101"/>
      <c r="AG226" s="86"/>
      <c r="AH226" s="86"/>
      <c r="AI226" s="86"/>
      <c r="AJ226" s="86"/>
      <c r="AK226" s="118"/>
      <c r="AL226" s="76"/>
      <c r="AM226" s="107"/>
      <c r="AN226" s="123"/>
      <c r="AO226" s="123"/>
      <c r="AP226" s="123"/>
      <c r="AQ226" s="123"/>
      <c r="AR226" s="123"/>
      <c r="AS226" s="123"/>
      <c r="AT226" s="428"/>
      <c r="AU226" s="428"/>
      <c r="AV226" s="121"/>
      <c r="AW226" s="428"/>
    </row>
    <row r="227" spans="1:49">
      <c r="A227" s="490"/>
      <c r="B227" s="500"/>
      <c r="C227" s="447"/>
      <c r="D227" s="520"/>
      <c r="E227" s="447"/>
      <c r="F227" s="433"/>
      <c r="G227" s="50"/>
      <c r="H227" s="46" t="s">
        <v>14</v>
      </c>
      <c r="I227" s="86"/>
      <c r="J227" s="101"/>
      <c r="K227" s="101"/>
      <c r="L227" s="86"/>
      <c r="M227" s="86"/>
      <c r="N227" s="86"/>
      <c r="O227" s="47"/>
      <c r="P227" s="86"/>
      <c r="Q227" s="130"/>
      <c r="R227" s="130"/>
      <c r="S227" s="130"/>
      <c r="T227" s="47"/>
      <c r="U227" s="47"/>
      <c r="V227" s="86"/>
      <c r="W227" s="86"/>
      <c r="X227" s="101"/>
      <c r="Y227" s="101"/>
      <c r="Z227" s="86"/>
      <c r="AA227" s="86"/>
      <c r="AB227" s="86"/>
      <c r="AC227" s="86"/>
      <c r="AD227" s="86"/>
      <c r="AE227" s="101"/>
      <c r="AF227" s="101"/>
      <c r="AG227" s="86"/>
      <c r="AH227" s="86"/>
      <c r="AI227" s="86"/>
      <c r="AJ227" s="86"/>
      <c r="AK227" s="118"/>
      <c r="AL227" s="76"/>
      <c r="AM227" s="107"/>
      <c r="AN227" s="123"/>
      <c r="AO227" s="123"/>
      <c r="AP227" s="123"/>
      <c r="AQ227" s="123"/>
      <c r="AR227" s="123"/>
      <c r="AS227" s="123"/>
      <c r="AT227" s="428"/>
      <c r="AU227" s="428"/>
      <c r="AV227" s="121"/>
      <c r="AW227" s="428"/>
    </row>
    <row r="228" spans="1:49">
      <c r="A228" s="490"/>
      <c r="B228" s="500"/>
      <c r="C228" s="447"/>
      <c r="D228" s="520"/>
      <c r="E228" s="447"/>
      <c r="F228" s="433"/>
      <c r="G228" s="50"/>
      <c r="H228" s="48" t="s">
        <v>15</v>
      </c>
      <c r="I228" s="86"/>
      <c r="J228" s="101"/>
      <c r="K228" s="101"/>
      <c r="L228" s="86"/>
      <c r="M228" s="86"/>
      <c r="N228" s="86"/>
      <c r="O228" s="75"/>
      <c r="P228" s="86"/>
      <c r="Q228" s="130"/>
      <c r="R228" s="130"/>
      <c r="S228" s="130"/>
      <c r="T228" s="86"/>
      <c r="U228" s="86"/>
      <c r="V228" s="86"/>
      <c r="W228" s="86"/>
      <c r="X228" s="101"/>
      <c r="Y228" s="101"/>
      <c r="Z228" s="86"/>
      <c r="AA228" s="86"/>
      <c r="AB228" s="86"/>
      <c r="AC228" s="86"/>
      <c r="AD228" s="86"/>
      <c r="AE228" s="101"/>
      <c r="AF228" s="101"/>
      <c r="AG228" s="86"/>
      <c r="AH228" s="86"/>
      <c r="AI228" s="86"/>
      <c r="AJ228" s="86"/>
      <c r="AK228" s="118"/>
      <c r="AL228" s="76"/>
      <c r="AM228" s="107"/>
      <c r="AN228" s="123"/>
      <c r="AO228" s="123"/>
      <c r="AP228" s="123"/>
      <c r="AQ228" s="123"/>
      <c r="AR228" s="123"/>
      <c r="AS228" s="123"/>
      <c r="AT228" s="428"/>
      <c r="AU228" s="428"/>
      <c r="AV228" s="121"/>
      <c r="AW228" s="428"/>
    </row>
    <row r="229" spans="1:49">
      <c r="A229" s="490"/>
      <c r="B229" s="500"/>
      <c r="C229" s="447"/>
      <c r="D229" s="520"/>
      <c r="E229" s="447"/>
      <c r="F229" s="433"/>
      <c r="G229" s="50" t="s">
        <v>94</v>
      </c>
      <c r="H229" s="46" t="s">
        <v>95</v>
      </c>
      <c r="I229" s="129">
        <f>($O$259*$D$217/5)*14</f>
        <v>69177.5</v>
      </c>
      <c r="J229" s="149"/>
      <c r="K229" s="149"/>
      <c r="L229" s="129">
        <f>($O$259*$D$217/5)*14</f>
        <v>69177.5</v>
      </c>
      <c r="M229" s="129">
        <f>($O$259*$D$217/5)*14</f>
        <v>69177.5</v>
      </c>
      <c r="N229" s="129">
        <f>($O$259*$D$217/5)*14</f>
        <v>69177.5</v>
      </c>
      <c r="O229" s="129">
        <f>($O$259*$D$217/5)*14</f>
        <v>69177.5</v>
      </c>
      <c r="P229" s="129">
        <f>($O$259*$D$217/5)*14</f>
        <v>69177.5</v>
      </c>
      <c r="Q229" s="130"/>
      <c r="R229" s="130"/>
      <c r="S229" s="130"/>
      <c r="T229" s="129">
        <f t="shared" ref="T229:W229" si="46">($O$259*$D$217/5)*14</f>
        <v>69177.5</v>
      </c>
      <c r="U229" s="129">
        <f t="shared" si="46"/>
        <v>69177.5</v>
      </c>
      <c r="V229" s="129">
        <f t="shared" si="46"/>
        <v>69177.5</v>
      </c>
      <c r="W229" s="129">
        <f t="shared" si="46"/>
        <v>69177.5</v>
      </c>
      <c r="X229" s="149"/>
      <c r="Y229" s="149"/>
      <c r="Z229" s="129">
        <f t="shared" ref="Z229:AD229" si="47">($O$259*$D$217/5)*14</f>
        <v>69177.5</v>
      </c>
      <c r="AA229" s="129">
        <f t="shared" si="47"/>
        <v>69177.5</v>
      </c>
      <c r="AB229" s="129">
        <f t="shared" si="47"/>
        <v>69177.5</v>
      </c>
      <c r="AC229" s="129">
        <f t="shared" si="47"/>
        <v>69177.5</v>
      </c>
      <c r="AD229" s="129">
        <f t="shared" si="47"/>
        <v>69177.5</v>
      </c>
      <c r="AE229" s="149"/>
      <c r="AF229" s="149"/>
      <c r="AG229" s="129">
        <f t="shared" ref="AG229:AJ229" si="48">($O$259*$D$217/5)*14</f>
        <v>69177.5</v>
      </c>
      <c r="AH229" s="129">
        <f t="shared" si="48"/>
        <v>69177.5</v>
      </c>
      <c r="AI229" s="129">
        <f t="shared" si="48"/>
        <v>69177.5</v>
      </c>
      <c r="AJ229" s="129">
        <f t="shared" si="48"/>
        <v>69177.5</v>
      </c>
      <c r="AK229" s="153"/>
      <c r="AL229" s="76"/>
      <c r="AM229" s="107"/>
      <c r="AN229" s="123"/>
      <c r="AO229" s="123"/>
      <c r="AP229" s="123"/>
      <c r="AQ229" s="123"/>
      <c r="AR229" s="123"/>
      <c r="AS229" s="123"/>
      <c r="AT229" s="428"/>
      <c r="AU229" s="428"/>
      <c r="AV229" s="121"/>
      <c r="AW229" s="428"/>
    </row>
    <row r="230" spans="1:49">
      <c r="A230" s="490"/>
      <c r="B230" s="500"/>
      <c r="C230" s="447"/>
      <c r="D230" s="520"/>
      <c r="E230" s="447"/>
      <c r="F230" s="433"/>
      <c r="G230" s="50"/>
      <c r="H230" s="46" t="s">
        <v>96</v>
      </c>
      <c r="I230" s="86">
        <v>4</v>
      </c>
      <c r="J230" s="101"/>
      <c r="K230" s="101"/>
      <c r="L230" s="86">
        <v>4</v>
      </c>
      <c r="M230" s="86">
        <v>4</v>
      </c>
      <c r="N230" s="86">
        <v>4</v>
      </c>
      <c r="O230" s="86">
        <v>4</v>
      </c>
      <c r="P230" s="86">
        <v>4</v>
      </c>
      <c r="Q230" s="130"/>
      <c r="R230" s="130"/>
      <c r="S230" s="130"/>
      <c r="T230" s="86">
        <v>4</v>
      </c>
      <c r="U230" s="86">
        <v>4</v>
      </c>
      <c r="V230" s="86">
        <v>4</v>
      </c>
      <c r="W230" s="86">
        <v>4</v>
      </c>
      <c r="X230" s="101"/>
      <c r="Y230" s="101"/>
      <c r="Z230" s="86">
        <v>4</v>
      </c>
      <c r="AA230" s="86">
        <v>4</v>
      </c>
      <c r="AB230" s="86">
        <v>4</v>
      </c>
      <c r="AC230" s="86">
        <v>4</v>
      </c>
      <c r="AD230" s="86">
        <v>4</v>
      </c>
      <c r="AE230" s="101"/>
      <c r="AF230" s="101"/>
      <c r="AG230" s="86">
        <v>4</v>
      </c>
      <c r="AH230" s="86">
        <v>4</v>
      </c>
      <c r="AI230" s="86">
        <v>4</v>
      </c>
      <c r="AJ230" s="86">
        <v>4</v>
      </c>
      <c r="AK230" s="118"/>
      <c r="AL230" s="76"/>
      <c r="AM230" s="107"/>
      <c r="AN230" s="123"/>
      <c r="AO230" s="123"/>
      <c r="AP230" s="123"/>
      <c r="AQ230" s="123"/>
      <c r="AR230" s="123"/>
      <c r="AS230" s="123"/>
      <c r="AT230" s="428"/>
      <c r="AU230" s="428"/>
      <c r="AV230" s="121"/>
      <c r="AW230" s="428"/>
    </row>
    <row r="231" spans="1:49">
      <c r="A231" s="490"/>
      <c r="B231" s="500"/>
      <c r="C231" s="447"/>
      <c r="D231" s="520"/>
      <c r="E231" s="447"/>
      <c r="F231" s="433"/>
      <c r="G231" s="50"/>
      <c r="H231" s="48" t="s">
        <v>15</v>
      </c>
      <c r="I231" s="86"/>
      <c r="J231" s="101"/>
      <c r="K231" s="101"/>
      <c r="L231" s="86"/>
      <c r="M231" s="86"/>
      <c r="N231" s="86"/>
      <c r="O231" s="86"/>
      <c r="P231" s="86"/>
      <c r="Q231" s="130"/>
      <c r="R231" s="130"/>
      <c r="S231" s="130"/>
      <c r="T231" s="86"/>
      <c r="U231" s="86"/>
      <c r="V231" s="86"/>
      <c r="W231" s="86"/>
      <c r="X231" s="101"/>
      <c r="Y231" s="101"/>
      <c r="Z231" s="86"/>
      <c r="AA231" s="86"/>
      <c r="AB231" s="86"/>
      <c r="AC231" s="86"/>
      <c r="AD231" s="86"/>
      <c r="AE231" s="101"/>
      <c r="AF231" s="101"/>
      <c r="AG231" s="86"/>
      <c r="AH231" s="86"/>
      <c r="AI231" s="86"/>
      <c r="AJ231" s="86"/>
      <c r="AK231" s="118"/>
      <c r="AL231" s="76"/>
      <c r="AM231" s="107"/>
      <c r="AN231" s="123"/>
      <c r="AO231" s="123"/>
      <c r="AP231" s="123"/>
      <c r="AQ231" s="123"/>
      <c r="AR231" s="123"/>
      <c r="AS231" s="123"/>
      <c r="AT231" s="428"/>
      <c r="AU231" s="428"/>
      <c r="AV231" s="121"/>
      <c r="AW231" s="428"/>
    </row>
    <row r="232" spans="1:49">
      <c r="A232" s="490"/>
      <c r="B232" s="500"/>
      <c r="C232" s="447"/>
      <c r="D232" s="520"/>
      <c r="E232" s="447"/>
      <c r="F232" s="433"/>
      <c r="G232" s="47" t="s">
        <v>97</v>
      </c>
      <c r="H232" s="46" t="s">
        <v>98</v>
      </c>
      <c r="I232" s="89">
        <f>($O$259*$D$217/5)*5</f>
        <v>24706.25</v>
      </c>
      <c r="J232" s="90"/>
      <c r="K232" s="90"/>
      <c r="L232" s="89">
        <f>($O$259*$D$217/5)*5</f>
        <v>24706.25</v>
      </c>
      <c r="M232" s="89">
        <f>($O$259*$D$217/5)*5</f>
        <v>24706.25</v>
      </c>
      <c r="N232" s="89">
        <f>($O$259*$D$217/5)*5</f>
        <v>24706.25</v>
      </c>
      <c r="O232" s="89">
        <f>($O$259*$D$217/5)*5</f>
        <v>24706.25</v>
      </c>
      <c r="P232" s="89">
        <f>($O$259*$D$217/5)*5</f>
        <v>24706.25</v>
      </c>
      <c r="Q232" s="96"/>
      <c r="R232" s="96"/>
      <c r="S232" s="96"/>
      <c r="T232" s="89">
        <f>($O$259*$D$217/5)*5</f>
        <v>24706.25</v>
      </c>
      <c r="U232" s="89">
        <f>($O$259*$D$217/5)*5</f>
        <v>24706.25</v>
      </c>
      <c r="V232" s="89">
        <f>($O$259*$D$217/5)*5</f>
        <v>24706.25</v>
      </c>
      <c r="W232" s="89">
        <f>($O$259*$D$217/5)*5</f>
        <v>24706.25</v>
      </c>
      <c r="X232" s="90"/>
      <c r="Y232" s="90"/>
      <c r="Z232" s="89">
        <f>($O$259*$D$217/5)*5</f>
        <v>24706.25</v>
      </c>
      <c r="AA232" s="89">
        <f>($O$259*$D$217/5)*5</f>
        <v>24706.25</v>
      </c>
      <c r="AB232" s="89">
        <f>($O$259*$D$217/5)*5</f>
        <v>24706.25</v>
      </c>
      <c r="AC232" s="89">
        <f>($O$259*$D$217/5)*5</f>
        <v>24706.25</v>
      </c>
      <c r="AD232" s="89">
        <f>($O$259*$D$217/5)*5</f>
        <v>24706.25</v>
      </c>
      <c r="AE232" s="90"/>
      <c r="AF232" s="90"/>
      <c r="AG232" s="89">
        <f>($O$259*$D$217/5)*5</f>
        <v>24706.25</v>
      </c>
      <c r="AH232" s="89">
        <f>($O$259*$D$217/5)*5</f>
        <v>24706.25</v>
      </c>
      <c r="AI232" s="89">
        <f>($O$259*$D$217/5)*5</f>
        <v>24706.25</v>
      </c>
      <c r="AJ232" s="89">
        <f>($O$259*$D$217/5)*5</f>
        <v>24706.25</v>
      </c>
      <c r="AK232" s="120"/>
      <c r="AL232" s="76"/>
      <c r="AM232" s="107"/>
      <c r="AN232" s="123"/>
      <c r="AO232" s="123"/>
      <c r="AP232" s="123"/>
      <c r="AQ232" s="123"/>
      <c r="AR232" s="428"/>
      <c r="AS232" s="428"/>
      <c r="AT232" s="428"/>
      <c r="AU232" s="428"/>
      <c r="AV232" s="121"/>
      <c r="AW232" s="428"/>
    </row>
    <row r="233" spans="1:49">
      <c r="A233" s="490"/>
      <c r="B233" s="500"/>
      <c r="C233" s="447"/>
      <c r="D233" s="520"/>
      <c r="E233" s="447"/>
      <c r="F233" s="433"/>
      <c r="G233" s="47"/>
      <c r="H233" s="48" t="s">
        <v>15</v>
      </c>
      <c r="I233" s="89"/>
      <c r="J233" s="90"/>
      <c r="K233" s="90"/>
      <c r="L233" s="89"/>
      <c r="M233" s="89"/>
      <c r="N233" s="89"/>
      <c r="O233" s="89"/>
      <c r="P233" s="89"/>
      <c r="Q233" s="96"/>
      <c r="R233" s="96"/>
      <c r="S233" s="96"/>
      <c r="T233" s="89"/>
      <c r="U233" s="89"/>
      <c r="V233" s="89"/>
      <c r="W233" s="89"/>
      <c r="X233" s="90"/>
      <c r="Y233" s="90"/>
      <c r="Z233" s="89"/>
      <c r="AA233" s="89"/>
      <c r="AB233" s="89"/>
      <c r="AC233" s="89"/>
      <c r="AD233" s="89"/>
      <c r="AE233" s="90"/>
      <c r="AF233" s="90"/>
      <c r="AG233" s="89"/>
      <c r="AH233" s="89"/>
      <c r="AI233" s="89"/>
      <c r="AJ233" s="89"/>
      <c r="AK233" s="120"/>
      <c r="AL233" s="76"/>
      <c r="AM233" s="107"/>
      <c r="AN233" s="123"/>
      <c r="AO233" s="123"/>
      <c r="AP233" s="123"/>
      <c r="AQ233" s="123"/>
      <c r="AR233" s="428"/>
      <c r="AS233" s="428"/>
      <c r="AT233" s="428"/>
      <c r="AU233" s="428"/>
      <c r="AV233" s="121"/>
      <c r="AW233" s="428"/>
    </row>
    <row r="234" spans="1:49">
      <c r="A234" s="490"/>
      <c r="B234" s="500"/>
      <c r="C234" s="447"/>
      <c r="D234" s="520"/>
      <c r="E234" s="447"/>
      <c r="F234" s="433"/>
      <c r="G234" s="47" t="s">
        <v>99</v>
      </c>
      <c r="H234" s="46" t="s">
        <v>100</v>
      </c>
      <c r="I234" s="89">
        <f>($O$259*$D$217/5)*5</f>
        <v>24706.25</v>
      </c>
      <c r="J234" s="90"/>
      <c r="K234" s="90"/>
      <c r="L234" s="89">
        <f>($O$259*$D$217/5)*5</f>
        <v>24706.25</v>
      </c>
      <c r="M234" s="89">
        <f>($O$259*$D$217/5)*5</f>
        <v>24706.25</v>
      </c>
      <c r="N234" s="89">
        <f>($O$259*$D$217/5)*5</f>
        <v>24706.25</v>
      </c>
      <c r="O234" s="89">
        <f>($O$259*$D$217/5)*5</f>
        <v>24706.25</v>
      </c>
      <c r="P234" s="89">
        <f>($O$259*$D$217/5)*5</f>
        <v>24706.25</v>
      </c>
      <c r="Q234" s="96"/>
      <c r="R234" s="96"/>
      <c r="S234" s="96"/>
      <c r="T234" s="89">
        <f>($O$259*$D$217/5)*5</f>
        <v>24706.25</v>
      </c>
      <c r="U234" s="89">
        <f>($O$259*$D$217/5)*5</f>
        <v>24706.25</v>
      </c>
      <c r="V234" s="89">
        <f>($O$259*$D$217/5)*5</f>
        <v>24706.25</v>
      </c>
      <c r="W234" s="89">
        <f>($O$259*$D$217/5)*5</f>
        <v>24706.25</v>
      </c>
      <c r="X234" s="90"/>
      <c r="Y234" s="90"/>
      <c r="Z234" s="89">
        <f>($O$259*$D$217/5)*5</f>
        <v>24706.25</v>
      </c>
      <c r="AA234" s="89">
        <f>($O$259*$D$217/5)*5</f>
        <v>24706.25</v>
      </c>
      <c r="AB234" s="89">
        <f>($O$259*$D$217/5)*5</f>
        <v>24706.25</v>
      </c>
      <c r="AC234" s="89">
        <f>($O$259*$D$217/5)*5</f>
        <v>24706.25</v>
      </c>
      <c r="AD234" s="89">
        <f>($O$259*$D$217/5)*5</f>
        <v>24706.25</v>
      </c>
      <c r="AE234" s="90"/>
      <c r="AF234" s="90"/>
      <c r="AG234" s="89">
        <f>($O$259*$D$217/5)*5</f>
        <v>24706.25</v>
      </c>
      <c r="AH234" s="89">
        <f>($O$259*$D$217/5)*5</f>
        <v>24706.25</v>
      </c>
      <c r="AI234" s="89">
        <f>($O$259*$D$217/5)*5</f>
        <v>24706.25</v>
      </c>
      <c r="AJ234" s="89">
        <f>($O$259*$D$217/5)*5</f>
        <v>24706.25</v>
      </c>
      <c r="AK234" s="120"/>
      <c r="AL234" s="76"/>
      <c r="AM234" s="107"/>
      <c r="AN234" s="123"/>
      <c r="AO234" s="123"/>
      <c r="AP234" s="123"/>
      <c r="AQ234" s="123"/>
      <c r="AR234" s="428"/>
      <c r="AS234" s="428"/>
      <c r="AT234" s="428"/>
      <c r="AU234" s="428"/>
      <c r="AV234" s="121"/>
      <c r="AW234" s="428"/>
    </row>
    <row r="235" spans="1:49">
      <c r="A235" s="490"/>
      <c r="B235" s="500"/>
      <c r="C235" s="447"/>
      <c r="D235" s="520"/>
      <c r="E235" s="447"/>
      <c r="F235" s="433"/>
      <c r="G235" s="47"/>
      <c r="H235" s="48" t="s">
        <v>15</v>
      </c>
      <c r="I235" s="89"/>
      <c r="J235" s="90"/>
      <c r="K235" s="90"/>
      <c r="L235" s="89"/>
      <c r="M235" s="89"/>
      <c r="N235" s="89"/>
      <c r="O235" s="89"/>
      <c r="P235" s="89"/>
      <c r="Q235" s="96"/>
      <c r="R235" s="96"/>
      <c r="S235" s="96"/>
      <c r="T235" s="89"/>
      <c r="U235" s="89"/>
      <c r="V235" s="89"/>
      <c r="W235" s="89"/>
      <c r="X235" s="90"/>
      <c r="Y235" s="90"/>
      <c r="Z235" s="89"/>
      <c r="AA235" s="89"/>
      <c r="AB235" s="89"/>
      <c r="AC235" s="89"/>
      <c r="AD235" s="89"/>
      <c r="AE235" s="90"/>
      <c r="AF235" s="90"/>
      <c r="AG235" s="89"/>
      <c r="AH235" s="89"/>
      <c r="AI235" s="89"/>
      <c r="AJ235" s="89"/>
      <c r="AK235" s="120"/>
      <c r="AL235" s="76"/>
      <c r="AM235" s="107"/>
      <c r="AN235" s="123"/>
      <c r="AO235" s="123"/>
      <c r="AP235" s="123"/>
      <c r="AQ235" s="123"/>
      <c r="AR235" s="428"/>
      <c r="AS235" s="428"/>
      <c r="AT235" s="428"/>
      <c r="AU235" s="428"/>
      <c r="AV235" s="121"/>
      <c r="AW235" s="428"/>
    </row>
    <row r="236" spans="1:49">
      <c r="A236" s="490"/>
      <c r="B236" s="500"/>
      <c r="C236" s="447"/>
      <c r="D236" s="520"/>
      <c r="E236" s="447"/>
      <c r="F236" s="433"/>
      <c r="G236" s="47"/>
      <c r="H236" s="46" t="s">
        <v>101</v>
      </c>
      <c r="I236" s="75">
        <v>1</v>
      </c>
      <c r="J236" s="76"/>
      <c r="K236" s="76"/>
      <c r="L236" s="75">
        <v>1</v>
      </c>
      <c r="M236" s="75">
        <v>1</v>
      </c>
      <c r="N236" s="75">
        <v>1</v>
      </c>
      <c r="O236" s="75">
        <v>1</v>
      </c>
      <c r="P236" s="75">
        <v>1</v>
      </c>
      <c r="Q236" s="96"/>
      <c r="R236" s="96"/>
      <c r="S236" s="96"/>
      <c r="T236" s="75">
        <v>1</v>
      </c>
      <c r="U236" s="75">
        <v>1</v>
      </c>
      <c r="V236" s="75">
        <v>1</v>
      </c>
      <c r="W236" s="75">
        <v>1</v>
      </c>
      <c r="X236" s="76"/>
      <c r="Y236" s="76"/>
      <c r="Z236" s="75">
        <v>1</v>
      </c>
      <c r="AA236" s="75">
        <v>1</v>
      </c>
      <c r="AB236" s="75">
        <v>1</v>
      </c>
      <c r="AC236" s="75">
        <v>1</v>
      </c>
      <c r="AD236" s="75">
        <v>1</v>
      </c>
      <c r="AE236" s="76"/>
      <c r="AF236" s="76"/>
      <c r="AG236" s="75">
        <v>1</v>
      </c>
      <c r="AH236" s="75">
        <v>1</v>
      </c>
      <c r="AI236" s="75">
        <v>1</v>
      </c>
      <c r="AJ236" s="75">
        <v>1</v>
      </c>
      <c r="AK236" s="111"/>
      <c r="AL236" s="76"/>
      <c r="AM236" s="107"/>
      <c r="AN236" s="123"/>
      <c r="AO236" s="123"/>
      <c r="AP236" s="123"/>
      <c r="AQ236" s="123"/>
      <c r="AR236" s="428"/>
      <c r="AS236" s="428"/>
      <c r="AT236" s="428"/>
      <c r="AU236" s="428"/>
      <c r="AV236" s="121"/>
      <c r="AW236" s="428"/>
    </row>
    <row r="237" spans="1:49">
      <c r="A237" s="490"/>
      <c r="B237" s="500"/>
      <c r="C237" s="447"/>
      <c r="D237" s="520"/>
      <c r="E237" s="447"/>
      <c r="F237" s="433"/>
      <c r="G237" s="47"/>
      <c r="H237" s="48" t="s">
        <v>15</v>
      </c>
      <c r="I237" s="75"/>
      <c r="J237" s="76"/>
      <c r="K237" s="76"/>
      <c r="L237" s="75"/>
      <c r="M237" s="75"/>
      <c r="N237" s="75"/>
      <c r="O237" s="75"/>
      <c r="P237" s="75"/>
      <c r="Q237" s="96"/>
      <c r="R237" s="96"/>
      <c r="S237" s="96"/>
      <c r="T237" s="75"/>
      <c r="U237" s="75"/>
      <c r="V237" s="75"/>
      <c r="W237" s="75"/>
      <c r="X237" s="76"/>
      <c r="Y237" s="76"/>
      <c r="Z237" s="75"/>
      <c r="AA237" s="75"/>
      <c r="AB237" s="75"/>
      <c r="AC237" s="75"/>
      <c r="AD237" s="75"/>
      <c r="AE237" s="76"/>
      <c r="AF237" s="76"/>
      <c r="AG237" s="75"/>
      <c r="AH237" s="75"/>
      <c r="AI237" s="75"/>
      <c r="AJ237" s="75"/>
      <c r="AK237" s="111"/>
      <c r="AL237" s="76"/>
      <c r="AM237" s="107"/>
      <c r="AN237" s="123"/>
      <c r="AO237" s="123"/>
      <c r="AP237" s="123"/>
      <c r="AQ237" s="428"/>
      <c r="AR237" s="428"/>
      <c r="AS237" s="428"/>
      <c r="AT237" s="428"/>
      <c r="AU237" s="428"/>
      <c r="AV237" s="121"/>
      <c r="AW237" s="428"/>
    </row>
    <row r="238" spans="1:49">
      <c r="A238" s="490"/>
      <c r="B238" s="500"/>
      <c r="C238" s="447"/>
      <c r="D238" s="520"/>
      <c r="E238" s="447"/>
      <c r="F238" s="433"/>
      <c r="G238" s="47" t="s">
        <v>23</v>
      </c>
      <c r="H238" s="46" t="s">
        <v>24</v>
      </c>
      <c r="I238" s="89">
        <f>$O$259*$D$217/5</f>
        <v>4941.25</v>
      </c>
      <c r="J238" s="90"/>
      <c r="K238" s="90"/>
      <c r="L238" s="89">
        <f>$O$259*$D$217/5</f>
        <v>4941.25</v>
      </c>
      <c r="M238" s="89">
        <f>$O$259*$D$217/5</f>
        <v>4941.25</v>
      </c>
      <c r="N238" s="89">
        <f>$O$259*$D$217/5</f>
        <v>4941.25</v>
      </c>
      <c r="O238" s="89">
        <f>$O$259*$D$217/5</f>
        <v>4941.25</v>
      </c>
      <c r="P238" s="89">
        <f>$O$259*$D$217/5</f>
        <v>4941.25</v>
      </c>
      <c r="Q238" s="96"/>
      <c r="R238" s="96"/>
      <c r="S238" s="96"/>
      <c r="T238" s="89">
        <f>$O$259*$D$217/5</f>
        <v>4941.25</v>
      </c>
      <c r="U238" s="89">
        <f>$O$259*$D$217/5</f>
        <v>4941.25</v>
      </c>
      <c r="V238" s="89">
        <f>$O$259*$D$217/5</f>
        <v>4941.25</v>
      </c>
      <c r="W238" s="89">
        <f>$O$259*$D$217/5</f>
        <v>4941.25</v>
      </c>
      <c r="X238" s="90"/>
      <c r="Y238" s="90"/>
      <c r="Z238" s="89">
        <f>$O$259*$D$217/5</f>
        <v>4941.25</v>
      </c>
      <c r="AA238" s="89">
        <f>$O$259*$D$217/5</f>
        <v>4941.25</v>
      </c>
      <c r="AB238" s="89">
        <f>$O$259*$D$217/5</f>
        <v>4941.25</v>
      </c>
      <c r="AC238" s="89">
        <f>$O$259*$D$217/5</f>
        <v>4941.25</v>
      </c>
      <c r="AD238" s="89">
        <f>$O$259*$D$217/5</f>
        <v>4941.25</v>
      </c>
      <c r="AE238" s="90"/>
      <c r="AF238" s="90"/>
      <c r="AG238" s="89">
        <f>$O$259*$D$217/5</f>
        <v>4941.25</v>
      </c>
      <c r="AH238" s="89">
        <f>$O$259*$D$217/5</f>
        <v>4941.25</v>
      </c>
      <c r="AI238" s="89">
        <f>$O$259*$D$217/5</f>
        <v>4941.25</v>
      </c>
      <c r="AJ238" s="89">
        <f>$O$259*$D$217/5</f>
        <v>4941.25</v>
      </c>
      <c r="AK238" s="120"/>
      <c r="AL238" s="76"/>
      <c r="AM238" s="107"/>
      <c r="AN238" s="123"/>
      <c r="AO238" s="123"/>
      <c r="AP238" s="123"/>
      <c r="AQ238" s="428"/>
      <c r="AR238" s="428"/>
      <c r="AS238" s="428"/>
      <c r="AT238" s="428"/>
      <c r="AU238" s="428"/>
      <c r="AV238" s="121"/>
      <c r="AW238" s="428"/>
    </row>
    <row r="239" spans="1:49">
      <c r="A239" s="490"/>
      <c r="B239" s="500"/>
      <c r="C239" s="447"/>
      <c r="D239" s="520"/>
      <c r="E239" s="447"/>
      <c r="F239" s="433"/>
      <c r="G239" s="47"/>
      <c r="H239" s="48" t="s">
        <v>15</v>
      </c>
      <c r="I239" s="89"/>
      <c r="J239" s="90"/>
      <c r="K239" s="90"/>
      <c r="L239" s="89"/>
      <c r="M239" s="89"/>
      <c r="N239" s="89"/>
      <c r="O239" s="89"/>
      <c r="P239" s="89"/>
      <c r="Q239" s="96"/>
      <c r="R239" s="96"/>
      <c r="S239" s="96"/>
      <c r="T239" s="89"/>
      <c r="U239" s="89"/>
      <c r="V239" s="89"/>
      <c r="W239" s="89"/>
      <c r="X239" s="90"/>
      <c r="Y239" s="90"/>
      <c r="Z239" s="89"/>
      <c r="AA239" s="89"/>
      <c r="AB239" s="89"/>
      <c r="AC239" s="89"/>
      <c r="AD239" s="89"/>
      <c r="AE239" s="90"/>
      <c r="AF239" s="90"/>
      <c r="AG239" s="89"/>
      <c r="AH239" s="89"/>
      <c r="AI239" s="89"/>
      <c r="AJ239" s="89"/>
      <c r="AK239" s="120"/>
      <c r="AL239" s="76"/>
      <c r="AM239" s="107"/>
      <c r="AN239" s="123"/>
      <c r="AO239" s="123"/>
      <c r="AP239" s="123"/>
      <c r="AQ239" s="108"/>
      <c r="AR239" s="108"/>
      <c r="AS239" s="108"/>
      <c r="AT239" s="428"/>
      <c r="AU239" s="428"/>
      <c r="AV239" s="121"/>
      <c r="AW239" s="428"/>
    </row>
    <row r="240" spans="1:49">
      <c r="A240" s="490"/>
      <c r="B240" s="500"/>
      <c r="C240" s="447"/>
      <c r="D240" s="520"/>
      <c r="E240" s="447"/>
      <c r="F240" s="433"/>
      <c r="G240" s="47" t="s">
        <v>39</v>
      </c>
      <c r="H240" s="46" t="s">
        <v>40</v>
      </c>
      <c r="I240" s="89">
        <f>$O$259*$D$217/5</f>
        <v>4941.25</v>
      </c>
      <c r="J240" s="90"/>
      <c r="K240" s="90"/>
      <c r="L240" s="89">
        <f>$O$259*$D$217/5</f>
        <v>4941.25</v>
      </c>
      <c r="M240" s="89">
        <f>$O$259*$D$217/5</f>
        <v>4941.25</v>
      </c>
      <c r="N240" s="89">
        <f>$O$259*$D$217/5</f>
        <v>4941.25</v>
      </c>
      <c r="O240" s="89">
        <f>$O$259*$D$217/5</f>
        <v>4941.25</v>
      </c>
      <c r="P240" s="89">
        <f>$O$259*$D$217/5</f>
        <v>4941.25</v>
      </c>
      <c r="Q240" s="96"/>
      <c r="R240" s="96"/>
      <c r="S240" s="96"/>
      <c r="T240" s="89">
        <f>$O$259*$D$217/5</f>
        <v>4941.25</v>
      </c>
      <c r="U240" s="89">
        <f>$O$259*$D$217/5</f>
        <v>4941.25</v>
      </c>
      <c r="V240" s="89">
        <f>$O$259*$D$217/5</f>
        <v>4941.25</v>
      </c>
      <c r="W240" s="89">
        <f>$O$259*$D$217/5</f>
        <v>4941.25</v>
      </c>
      <c r="X240" s="90"/>
      <c r="Y240" s="90"/>
      <c r="Z240" s="89">
        <f>$O$259*$D$217/5</f>
        <v>4941.25</v>
      </c>
      <c r="AA240" s="89">
        <f>$O$259*$D$217/5</f>
        <v>4941.25</v>
      </c>
      <c r="AB240" s="89">
        <f>$O$259*$D$217/5</f>
        <v>4941.25</v>
      </c>
      <c r="AC240" s="89">
        <f>$O$259*$D$217/5</f>
        <v>4941.25</v>
      </c>
      <c r="AD240" s="89">
        <f>$O$259*$D$217/5</f>
        <v>4941.25</v>
      </c>
      <c r="AE240" s="90"/>
      <c r="AF240" s="90"/>
      <c r="AG240" s="89">
        <f>$O$259*$D$217/5</f>
        <v>4941.25</v>
      </c>
      <c r="AH240" s="89">
        <f>$O$259*$D$217/5</f>
        <v>4941.25</v>
      </c>
      <c r="AI240" s="89">
        <f>$O$259*$D$217/5</f>
        <v>4941.25</v>
      </c>
      <c r="AJ240" s="89">
        <f>$O$259*$D$217/5</f>
        <v>4941.25</v>
      </c>
      <c r="AK240" s="120"/>
      <c r="AL240" s="76"/>
      <c r="AM240" s="107"/>
      <c r="AN240" s="123"/>
      <c r="AO240" s="123"/>
      <c r="AP240" s="123"/>
      <c r="AQ240" s="428"/>
      <c r="AR240" s="123"/>
      <c r="AS240" s="123"/>
      <c r="AT240" s="428"/>
      <c r="AU240" s="428"/>
      <c r="AV240" s="121"/>
      <c r="AW240" s="428"/>
    </row>
    <row r="241" spans="1:49">
      <c r="A241" s="490"/>
      <c r="B241" s="500"/>
      <c r="C241" s="447"/>
      <c r="D241" s="520"/>
      <c r="E241" s="447"/>
      <c r="F241" s="433"/>
      <c r="G241" s="47"/>
      <c r="H241" s="48" t="s">
        <v>15</v>
      </c>
      <c r="I241" s="89"/>
      <c r="J241" s="90"/>
      <c r="K241" s="90"/>
      <c r="L241" s="89"/>
      <c r="M241" s="89"/>
      <c r="N241" s="89"/>
      <c r="O241" s="89"/>
      <c r="P241" s="89"/>
      <c r="Q241" s="96"/>
      <c r="R241" s="96"/>
      <c r="S241" s="96"/>
      <c r="T241" s="89"/>
      <c r="U241" s="89"/>
      <c r="V241" s="89"/>
      <c r="W241" s="89"/>
      <c r="X241" s="90"/>
      <c r="Y241" s="90"/>
      <c r="Z241" s="89"/>
      <c r="AA241" s="89"/>
      <c r="AB241" s="89"/>
      <c r="AC241" s="89"/>
      <c r="AD241" s="89"/>
      <c r="AE241" s="90"/>
      <c r="AF241" s="90"/>
      <c r="AG241" s="89"/>
      <c r="AH241" s="89"/>
      <c r="AI241" s="89"/>
      <c r="AJ241" s="89"/>
      <c r="AK241" s="120"/>
      <c r="AL241" s="76"/>
      <c r="AM241" s="107"/>
      <c r="AN241" s="123"/>
      <c r="AO241" s="123"/>
      <c r="AP241" s="123"/>
      <c r="AQ241" s="428"/>
      <c r="AR241" s="123"/>
      <c r="AS241" s="123"/>
      <c r="AT241" s="428"/>
      <c r="AU241" s="428"/>
      <c r="AV241" s="121"/>
      <c r="AW241" s="428"/>
    </row>
    <row r="242" spans="1:49">
      <c r="A242" s="490"/>
      <c r="B242" s="500"/>
      <c r="C242" s="447"/>
      <c r="D242" s="520"/>
      <c r="E242" s="447"/>
      <c r="F242" s="433"/>
      <c r="G242" s="47" t="s">
        <v>102</v>
      </c>
      <c r="H242" s="46" t="s">
        <v>103</v>
      </c>
      <c r="I242" s="89">
        <f>$O$259*$D$217/5</f>
        <v>4941.25</v>
      </c>
      <c r="J242" s="90"/>
      <c r="K242" s="90"/>
      <c r="L242" s="89">
        <f>$O$259*$D$217/5</f>
        <v>4941.25</v>
      </c>
      <c r="M242" s="89">
        <f>$O$259*$D$217/5</f>
        <v>4941.25</v>
      </c>
      <c r="N242" s="89">
        <f>$O$259*$D$217/5</f>
        <v>4941.25</v>
      </c>
      <c r="O242" s="89">
        <f>$O$259*$D$217/5</f>
        <v>4941.25</v>
      </c>
      <c r="P242" s="89">
        <f>$O$259*$D$217/5</f>
        <v>4941.25</v>
      </c>
      <c r="Q242" s="96"/>
      <c r="R242" s="96"/>
      <c r="S242" s="96"/>
      <c r="T242" s="89">
        <f>$O$259*$D$217/5</f>
        <v>4941.25</v>
      </c>
      <c r="U242" s="89">
        <f>$O$259*$D$217/5</f>
        <v>4941.25</v>
      </c>
      <c r="V242" s="89">
        <f>$O$259*$D$217/5</f>
        <v>4941.25</v>
      </c>
      <c r="W242" s="89">
        <f>$O$259*$D$217/5</f>
        <v>4941.25</v>
      </c>
      <c r="X242" s="90"/>
      <c r="Y242" s="90"/>
      <c r="Z242" s="89">
        <f>$O$259*$D$217/5</f>
        <v>4941.25</v>
      </c>
      <c r="AA242" s="89">
        <f>$O$259*$D$217/5</f>
        <v>4941.25</v>
      </c>
      <c r="AB242" s="89">
        <f>$O$259*$D$217/5</f>
        <v>4941.25</v>
      </c>
      <c r="AC242" s="89">
        <f>$O$259*$D$217/5</f>
        <v>4941.25</v>
      </c>
      <c r="AD242" s="89">
        <f>$O$259*$D$217/5</f>
        <v>4941.25</v>
      </c>
      <c r="AE242" s="90"/>
      <c r="AF242" s="90"/>
      <c r="AG242" s="89">
        <f>$O$259*$D$217/5</f>
        <v>4941.25</v>
      </c>
      <c r="AH242" s="89">
        <f>$O$259*$D$217/5</f>
        <v>4941.25</v>
      </c>
      <c r="AI242" s="89">
        <f>$O$259*$D$217/5</f>
        <v>4941.25</v>
      </c>
      <c r="AJ242" s="89">
        <f>$O$259*$D$217/5</f>
        <v>4941.25</v>
      </c>
      <c r="AK242" s="120"/>
      <c r="AL242" s="76"/>
      <c r="AM242" s="107"/>
      <c r="AN242" s="123"/>
      <c r="AO242" s="123"/>
      <c r="AP242" s="123"/>
      <c r="AQ242" s="428"/>
      <c r="AR242" s="123"/>
      <c r="AS242" s="123"/>
      <c r="AT242" s="428"/>
      <c r="AU242" s="428"/>
      <c r="AV242" s="121"/>
      <c r="AW242" s="428"/>
    </row>
    <row r="243" spans="1:49">
      <c r="A243" s="490"/>
      <c r="B243" s="500"/>
      <c r="C243" s="447"/>
      <c r="D243" s="520"/>
      <c r="E243" s="447"/>
      <c r="F243" s="433"/>
      <c r="G243" s="47"/>
      <c r="H243" s="48" t="s">
        <v>15</v>
      </c>
      <c r="I243" s="89"/>
      <c r="J243" s="90"/>
      <c r="K243" s="90"/>
      <c r="L243" s="89"/>
      <c r="M243" s="89"/>
      <c r="N243" s="89"/>
      <c r="O243" s="89"/>
      <c r="P243" s="89"/>
      <c r="Q243" s="96"/>
      <c r="R243" s="96"/>
      <c r="S243" s="96"/>
      <c r="T243" s="89"/>
      <c r="U243" s="89"/>
      <c r="V243" s="89"/>
      <c r="W243" s="89"/>
      <c r="X243" s="90"/>
      <c r="Y243" s="90"/>
      <c r="Z243" s="89"/>
      <c r="AA243" s="89"/>
      <c r="AB243" s="89"/>
      <c r="AC243" s="89"/>
      <c r="AD243" s="89"/>
      <c r="AE243" s="90"/>
      <c r="AF243" s="90"/>
      <c r="AG243" s="89"/>
      <c r="AH243" s="89"/>
      <c r="AI243" s="89"/>
      <c r="AJ243" s="89"/>
      <c r="AK243" s="120"/>
      <c r="AL243" s="76"/>
      <c r="AM243" s="107"/>
      <c r="AN243" s="123"/>
      <c r="AO243" s="123"/>
      <c r="AP243" s="123"/>
      <c r="AQ243" s="428"/>
      <c r="AR243" s="123"/>
      <c r="AS243" s="123"/>
      <c r="AT243" s="428"/>
      <c r="AU243" s="428"/>
      <c r="AV243" s="121"/>
      <c r="AW243" s="428"/>
    </row>
    <row r="244" spans="1:49">
      <c r="A244" s="490"/>
      <c r="B244" s="500"/>
      <c r="C244" s="447"/>
      <c r="D244" s="520"/>
      <c r="E244" s="447"/>
      <c r="F244" s="433"/>
      <c r="G244" s="47" t="s">
        <v>28</v>
      </c>
      <c r="H244" s="46" t="s">
        <v>29</v>
      </c>
      <c r="I244" s="89">
        <f>$O$259*$D$217/5</f>
        <v>4941.25</v>
      </c>
      <c r="J244" s="90"/>
      <c r="K244" s="90"/>
      <c r="L244" s="89">
        <f>$O$259*$D$217/5</f>
        <v>4941.25</v>
      </c>
      <c r="M244" s="89">
        <f>$O$259*$D$217/5</f>
        <v>4941.25</v>
      </c>
      <c r="N244" s="89">
        <f>$O$259*$D$217/5</f>
        <v>4941.25</v>
      </c>
      <c r="O244" s="89">
        <f>$O$259*$D$217/5</f>
        <v>4941.25</v>
      </c>
      <c r="P244" s="89">
        <f>$O$259*$D$217/5</f>
        <v>4941.25</v>
      </c>
      <c r="Q244" s="96"/>
      <c r="R244" s="96"/>
      <c r="S244" s="96"/>
      <c r="T244" s="89">
        <f>$O$259*$D$217/5</f>
        <v>4941.25</v>
      </c>
      <c r="U244" s="89">
        <f>$O$259*$D$217/5</f>
        <v>4941.25</v>
      </c>
      <c r="V244" s="89">
        <f>$O$259*$D$217/5</f>
        <v>4941.25</v>
      </c>
      <c r="W244" s="89">
        <f>$O$259*$D$217/5</f>
        <v>4941.25</v>
      </c>
      <c r="X244" s="90"/>
      <c r="Y244" s="90"/>
      <c r="Z244" s="89">
        <f>$O$259*$D$217/5</f>
        <v>4941.25</v>
      </c>
      <c r="AA244" s="89">
        <f>$O$259*$D$217/5</f>
        <v>4941.25</v>
      </c>
      <c r="AB244" s="89">
        <f>$O$259*$D$217/5</f>
        <v>4941.25</v>
      </c>
      <c r="AC244" s="89">
        <f>$O$259*$D$217/5</f>
        <v>4941.25</v>
      </c>
      <c r="AD244" s="89">
        <f>$O$259*$D$217/5</f>
        <v>4941.25</v>
      </c>
      <c r="AE244" s="90"/>
      <c r="AF244" s="90"/>
      <c r="AG244" s="89">
        <f>$O$259*$D$217/5</f>
        <v>4941.25</v>
      </c>
      <c r="AH244" s="89">
        <f>$O$259*$D$217/5</f>
        <v>4941.25</v>
      </c>
      <c r="AI244" s="89">
        <f>$O$259*$D$217/5</f>
        <v>4941.25</v>
      </c>
      <c r="AJ244" s="89">
        <f>$O$259*$D$217/5</f>
        <v>4941.25</v>
      </c>
      <c r="AK244" s="120"/>
      <c r="AL244" s="76"/>
      <c r="AM244" s="107"/>
      <c r="AN244" s="123"/>
      <c r="AO244" s="123"/>
      <c r="AP244" s="123"/>
      <c r="AQ244" s="428"/>
      <c r="AR244" s="123"/>
      <c r="AS244" s="123"/>
      <c r="AT244" s="428"/>
      <c r="AU244" s="428"/>
      <c r="AV244" s="121"/>
      <c r="AW244" s="428"/>
    </row>
    <row r="245" spans="1:49">
      <c r="A245" s="490"/>
      <c r="B245" s="500"/>
      <c r="C245" s="447"/>
      <c r="D245" s="520"/>
      <c r="E245" s="447"/>
      <c r="F245" s="433"/>
      <c r="G245" s="47"/>
      <c r="H245" s="46" t="s">
        <v>27</v>
      </c>
      <c r="I245" s="82">
        <v>1</v>
      </c>
      <c r="J245" s="83"/>
      <c r="K245" s="83"/>
      <c r="L245" s="82">
        <v>1</v>
      </c>
      <c r="M245" s="82">
        <v>1</v>
      </c>
      <c r="N245" s="82">
        <v>1</v>
      </c>
      <c r="O245" s="82">
        <v>1</v>
      </c>
      <c r="P245" s="82">
        <v>1</v>
      </c>
      <c r="Q245" s="152"/>
      <c r="R245" s="152"/>
      <c r="S245" s="152"/>
      <c r="T245" s="82">
        <v>1</v>
      </c>
      <c r="U245" s="82">
        <v>1</v>
      </c>
      <c r="V245" s="82">
        <v>1</v>
      </c>
      <c r="W245" s="82">
        <v>1</v>
      </c>
      <c r="X245" s="83"/>
      <c r="Y245" s="83"/>
      <c r="Z245" s="82">
        <v>1</v>
      </c>
      <c r="AA245" s="82">
        <v>1</v>
      </c>
      <c r="AB245" s="82">
        <v>1</v>
      </c>
      <c r="AC245" s="82">
        <v>1</v>
      </c>
      <c r="AD245" s="82">
        <v>1</v>
      </c>
      <c r="AE245" s="83"/>
      <c r="AF245" s="83"/>
      <c r="AG245" s="82">
        <v>1</v>
      </c>
      <c r="AH245" s="82">
        <v>1</v>
      </c>
      <c r="AI245" s="82">
        <v>1</v>
      </c>
      <c r="AJ245" s="82">
        <v>1</v>
      </c>
      <c r="AK245" s="154"/>
      <c r="AL245" s="76"/>
      <c r="AM245" s="107"/>
      <c r="AN245" s="123"/>
      <c r="AO245" s="123"/>
      <c r="AP245" s="123"/>
      <c r="AQ245" s="428"/>
      <c r="AR245" s="123"/>
      <c r="AS245" s="123"/>
      <c r="AT245" s="428"/>
      <c r="AU245" s="428"/>
      <c r="AV245" s="121"/>
      <c r="AW245" s="428"/>
    </row>
    <row r="246" spans="1:49">
      <c r="A246" s="490"/>
      <c r="B246" s="500"/>
      <c r="C246" s="447"/>
      <c r="D246" s="520"/>
      <c r="E246" s="447"/>
      <c r="F246" s="433"/>
      <c r="G246" s="47"/>
      <c r="H246" s="48" t="s">
        <v>15</v>
      </c>
      <c r="I246" s="82"/>
      <c r="J246" s="83"/>
      <c r="K246" s="83"/>
      <c r="L246" s="82"/>
      <c r="M246" s="82"/>
      <c r="N246" s="82"/>
      <c r="O246" s="82"/>
      <c r="P246" s="82"/>
      <c r="Q246" s="152"/>
      <c r="R246" s="152"/>
      <c r="S246" s="152"/>
      <c r="T246" s="82"/>
      <c r="U246" s="82"/>
      <c r="V246" s="82"/>
      <c r="W246" s="82"/>
      <c r="X246" s="83"/>
      <c r="Y246" s="83"/>
      <c r="Z246" s="82"/>
      <c r="AA246" s="82"/>
      <c r="AB246" s="82"/>
      <c r="AC246" s="82"/>
      <c r="AD246" s="82"/>
      <c r="AE246" s="83"/>
      <c r="AF246" s="83"/>
      <c r="AG246" s="82"/>
      <c r="AH246" s="82"/>
      <c r="AI246" s="82"/>
      <c r="AJ246" s="82"/>
      <c r="AK246" s="154"/>
      <c r="AL246" s="76"/>
      <c r="AM246" s="107"/>
      <c r="AN246" s="123"/>
      <c r="AO246" s="123"/>
      <c r="AP246" s="123"/>
      <c r="AQ246" s="428"/>
      <c r="AR246" s="123"/>
      <c r="AS246" s="123"/>
      <c r="AT246" s="428"/>
      <c r="AU246" s="428"/>
      <c r="AV246" s="121"/>
      <c r="AW246" s="428"/>
    </row>
    <row r="247" spans="1:49">
      <c r="A247" s="490"/>
      <c r="B247" s="500"/>
      <c r="C247" s="447"/>
      <c r="D247" s="520"/>
      <c r="E247" s="447"/>
      <c r="F247" s="433"/>
      <c r="G247" s="47"/>
      <c r="H247" s="46" t="s">
        <v>104</v>
      </c>
      <c r="I247" s="150">
        <f>($O$259*$D$217/5)*5</f>
        <v>24706.25</v>
      </c>
      <c r="J247" s="151"/>
      <c r="K247" s="151"/>
      <c r="L247" s="150">
        <f>($O$259*$D$217/5)*5</f>
        <v>24706.25</v>
      </c>
      <c r="M247" s="150">
        <f>($O$259*$D$217/5)*5</f>
        <v>24706.25</v>
      </c>
      <c r="N247" s="150">
        <f>($O$259*$D$217/5)*5</f>
        <v>24706.25</v>
      </c>
      <c r="O247" s="150">
        <f>($O$259*$D$217/5)*5</f>
        <v>24706.25</v>
      </c>
      <c r="P247" s="150">
        <f>($O$259*$D$217/5)*5</f>
        <v>24706.25</v>
      </c>
      <c r="Q247" s="152"/>
      <c r="R247" s="152"/>
      <c r="S247" s="152"/>
      <c r="T247" s="150">
        <f>($O$259*$D$217/5)*5</f>
        <v>24706.25</v>
      </c>
      <c r="U247" s="150">
        <f>($O$259*$D$217/5)*5</f>
        <v>24706.25</v>
      </c>
      <c r="V247" s="150">
        <f>($O$259*$D$217/5)*5</f>
        <v>24706.25</v>
      </c>
      <c r="W247" s="150">
        <f>($O$259*$D$217/5)*5</f>
        <v>24706.25</v>
      </c>
      <c r="X247" s="151"/>
      <c r="Y247" s="151"/>
      <c r="Z247" s="150">
        <f>($O$259*$D$217/5)*5</f>
        <v>24706.25</v>
      </c>
      <c r="AA247" s="150">
        <f>($O$259*$D$217/5)*5</f>
        <v>24706.25</v>
      </c>
      <c r="AB247" s="150">
        <f>($O$259*$D$217/5)*5</f>
        <v>24706.25</v>
      </c>
      <c r="AC247" s="150">
        <f>($O$259*$D$217/5)*5</f>
        <v>24706.25</v>
      </c>
      <c r="AD247" s="150">
        <f>($O$259*$D$217/5)*5</f>
        <v>24706.25</v>
      </c>
      <c r="AE247" s="151"/>
      <c r="AF247" s="151"/>
      <c r="AG247" s="150">
        <f>($O$259*$D$217/5)*5</f>
        <v>24706.25</v>
      </c>
      <c r="AH247" s="150">
        <f>($O$259*$D$217/5)*5</f>
        <v>24706.25</v>
      </c>
      <c r="AI247" s="150">
        <f>($O$259*$D$217/5)*5</f>
        <v>24706.25</v>
      </c>
      <c r="AJ247" s="150">
        <f>($O$259*$D$217/5)*5</f>
        <v>24706.25</v>
      </c>
      <c r="AK247" s="155"/>
      <c r="AL247" s="76"/>
      <c r="AM247" s="107"/>
      <c r="AN247" s="123"/>
      <c r="AO247" s="123"/>
      <c r="AP247" s="123"/>
      <c r="AQ247" s="428"/>
      <c r="AR247" s="123"/>
      <c r="AS247" s="123"/>
      <c r="AT247" s="428"/>
      <c r="AU247" s="428"/>
      <c r="AV247" s="121"/>
      <c r="AW247" s="428"/>
    </row>
    <row r="248" spans="1:49">
      <c r="A248" s="490"/>
      <c r="B248" s="500"/>
      <c r="C248" s="447"/>
      <c r="D248" s="520"/>
      <c r="E248" s="447"/>
      <c r="F248" s="433"/>
      <c r="G248" s="57"/>
      <c r="H248" s="46" t="s">
        <v>105</v>
      </c>
      <c r="I248" s="82">
        <v>2</v>
      </c>
      <c r="J248" s="83"/>
      <c r="K248" s="83"/>
      <c r="L248" s="82">
        <v>2</v>
      </c>
      <c r="M248" s="82">
        <v>2</v>
      </c>
      <c r="N248" s="82">
        <v>2</v>
      </c>
      <c r="O248" s="82">
        <v>2</v>
      </c>
      <c r="P248" s="82">
        <v>2</v>
      </c>
      <c r="Q248" s="152"/>
      <c r="R248" s="152"/>
      <c r="S248" s="152"/>
      <c r="T248" s="82">
        <v>2</v>
      </c>
      <c r="U248" s="82">
        <v>2</v>
      </c>
      <c r="V248" s="82">
        <v>2</v>
      </c>
      <c r="W248" s="82">
        <v>2</v>
      </c>
      <c r="X248" s="83"/>
      <c r="Y248" s="83"/>
      <c r="Z248" s="82">
        <v>2</v>
      </c>
      <c r="AA248" s="82">
        <v>2</v>
      </c>
      <c r="AB248" s="82">
        <v>2</v>
      </c>
      <c r="AC248" s="82">
        <v>2</v>
      </c>
      <c r="AD248" s="82">
        <v>2</v>
      </c>
      <c r="AE248" s="83"/>
      <c r="AF248" s="83"/>
      <c r="AG248" s="82">
        <v>2</v>
      </c>
      <c r="AH248" s="82">
        <v>2</v>
      </c>
      <c r="AI248" s="82">
        <v>2</v>
      </c>
      <c r="AJ248" s="82">
        <v>2</v>
      </c>
      <c r="AK248" s="154"/>
      <c r="AL248" s="76"/>
      <c r="AM248" s="107"/>
      <c r="AN248" s="123"/>
      <c r="AO248" s="123"/>
      <c r="AP248" s="123"/>
      <c r="AQ248" s="428"/>
      <c r="AR248" s="123"/>
      <c r="AS248" s="123"/>
      <c r="AT248" s="428"/>
      <c r="AU248" s="428"/>
      <c r="AV248" s="121"/>
      <c r="AW248" s="428"/>
    </row>
    <row r="249" spans="1:49">
      <c r="A249" s="490"/>
      <c r="B249" s="500"/>
      <c r="C249" s="447"/>
      <c r="D249" s="520"/>
      <c r="E249" s="447"/>
      <c r="F249" s="433"/>
      <c r="G249" s="57"/>
      <c r="H249" s="48" t="s">
        <v>15</v>
      </c>
      <c r="I249" s="82"/>
      <c r="J249" s="83"/>
      <c r="K249" s="83"/>
      <c r="L249" s="82"/>
      <c r="M249" s="82"/>
      <c r="N249" s="82"/>
      <c r="O249" s="82"/>
      <c r="P249" s="82"/>
      <c r="Q249" s="152"/>
      <c r="R249" s="152"/>
      <c r="S249" s="152"/>
      <c r="T249" s="82"/>
      <c r="U249" s="82"/>
      <c r="V249" s="82"/>
      <c r="W249" s="82"/>
      <c r="X249" s="83"/>
      <c r="Y249" s="83"/>
      <c r="Z249" s="82"/>
      <c r="AA249" s="82"/>
      <c r="AB249" s="82"/>
      <c r="AC249" s="82"/>
      <c r="AD249" s="82"/>
      <c r="AE249" s="83"/>
      <c r="AF249" s="83"/>
      <c r="AG249" s="82"/>
      <c r="AH249" s="82"/>
      <c r="AI249" s="82"/>
      <c r="AJ249" s="82"/>
      <c r="AK249" s="154"/>
      <c r="AL249" s="76"/>
      <c r="AM249" s="107"/>
      <c r="AN249" s="123"/>
      <c r="AO249" s="123"/>
      <c r="AP249" s="123"/>
      <c r="AQ249" s="428"/>
      <c r="AR249" s="123"/>
      <c r="AS249" s="123"/>
      <c r="AT249" s="428"/>
      <c r="AU249" s="428"/>
      <c r="AV249" s="121"/>
      <c r="AW249" s="428"/>
    </row>
    <row r="250" spans="1:49">
      <c r="A250" s="490"/>
      <c r="B250" s="500"/>
      <c r="C250" s="447"/>
      <c r="D250" s="520"/>
      <c r="E250" s="447"/>
      <c r="F250" s="433"/>
      <c r="G250" s="57"/>
      <c r="H250" s="46" t="s">
        <v>106</v>
      </c>
      <c r="I250" s="150">
        <f>($O$259*$D$217/5)*5</f>
        <v>24706.25</v>
      </c>
      <c r="J250" s="151"/>
      <c r="K250" s="151"/>
      <c r="L250" s="150">
        <f>($O$259*$D$217/5)*5</f>
        <v>24706.25</v>
      </c>
      <c r="M250" s="150">
        <f>($O$259*$D$217/5)*5</f>
        <v>24706.25</v>
      </c>
      <c r="N250" s="150">
        <f>($O$259*$D$217/5)*5</f>
        <v>24706.25</v>
      </c>
      <c r="O250" s="150">
        <f>($O$259*$D$217/5)*5</f>
        <v>24706.25</v>
      </c>
      <c r="P250" s="150">
        <f>($O$259*$D$217/5)*5</f>
        <v>24706.25</v>
      </c>
      <c r="Q250" s="152"/>
      <c r="R250" s="152"/>
      <c r="S250" s="152"/>
      <c r="T250" s="150">
        <f>($O$259*$D$217/5)*5</f>
        <v>24706.25</v>
      </c>
      <c r="U250" s="150">
        <f>($O$259*$D$217/5)*5</f>
        <v>24706.25</v>
      </c>
      <c r="V250" s="150">
        <f>($O$259*$D$217/5)*5</f>
        <v>24706.25</v>
      </c>
      <c r="W250" s="150">
        <f>($O$259*$D$217/5)*5</f>
        <v>24706.25</v>
      </c>
      <c r="X250" s="151"/>
      <c r="Y250" s="151"/>
      <c r="Z250" s="150">
        <f>($O$259*$D$217/5)*5</f>
        <v>24706.25</v>
      </c>
      <c r="AA250" s="150">
        <f>($O$259*$D$217/5)*5</f>
        <v>24706.25</v>
      </c>
      <c r="AB250" s="150">
        <f>($O$259*$D$217/5)*5</f>
        <v>24706.25</v>
      </c>
      <c r="AC250" s="150">
        <f>($O$259*$D$217/5)*5</f>
        <v>24706.25</v>
      </c>
      <c r="AD250" s="150">
        <f>($O$259*$D$217/5)*5</f>
        <v>24706.25</v>
      </c>
      <c r="AE250" s="151"/>
      <c r="AF250" s="151"/>
      <c r="AG250" s="150">
        <f>($O$259*$D$217/5)*5</f>
        <v>24706.25</v>
      </c>
      <c r="AH250" s="150">
        <f>($O$259*$D$217/5)*5</f>
        <v>24706.25</v>
      </c>
      <c r="AI250" s="150">
        <f>($O$259*$D$217/5)*5</f>
        <v>24706.25</v>
      </c>
      <c r="AJ250" s="150">
        <f>($O$259*$D$217/5)*5</f>
        <v>24706.25</v>
      </c>
      <c r="AK250" s="155"/>
      <c r="AL250" s="76"/>
      <c r="AM250" s="107"/>
      <c r="AN250" s="123"/>
      <c r="AO250" s="123"/>
      <c r="AP250" s="123"/>
      <c r="AQ250" s="428"/>
      <c r="AR250" s="123"/>
      <c r="AS250" s="123"/>
      <c r="AT250" s="428"/>
      <c r="AU250" s="428"/>
      <c r="AV250" s="121"/>
      <c r="AW250" s="428"/>
    </row>
    <row r="251" spans="1:49">
      <c r="A251" s="490"/>
      <c r="B251" s="500"/>
      <c r="C251" s="447"/>
      <c r="D251" s="520"/>
      <c r="E251" s="447"/>
      <c r="F251" s="433"/>
      <c r="G251" s="57"/>
      <c r="H251" s="46" t="s">
        <v>107</v>
      </c>
      <c r="I251" s="82">
        <v>5</v>
      </c>
      <c r="J251" s="83"/>
      <c r="K251" s="83"/>
      <c r="L251" s="82">
        <v>5</v>
      </c>
      <c r="M251" s="82">
        <v>5</v>
      </c>
      <c r="N251" s="82">
        <v>5</v>
      </c>
      <c r="O251" s="82">
        <v>5</v>
      </c>
      <c r="P251" s="82">
        <v>5</v>
      </c>
      <c r="Q251" s="152"/>
      <c r="R251" s="152"/>
      <c r="S251" s="152"/>
      <c r="T251" s="82">
        <v>5</v>
      </c>
      <c r="U251" s="82">
        <v>5</v>
      </c>
      <c r="V251" s="82">
        <v>5</v>
      </c>
      <c r="W251" s="82">
        <v>5</v>
      </c>
      <c r="X251" s="83"/>
      <c r="Y251" s="83"/>
      <c r="Z251" s="82">
        <v>5</v>
      </c>
      <c r="AA251" s="82">
        <v>5</v>
      </c>
      <c r="AB251" s="82">
        <v>5</v>
      </c>
      <c r="AC251" s="82">
        <v>5</v>
      </c>
      <c r="AD251" s="82">
        <v>5</v>
      </c>
      <c r="AE251" s="83"/>
      <c r="AF251" s="83"/>
      <c r="AG251" s="82">
        <v>5</v>
      </c>
      <c r="AH251" s="82">
        <v>5</v>
      </c>
      <c r="AI251" s="82">
        <v>5</v>
      </c>
      <c r="AJ251" s="82">
        <v>5</v>
      </c>
      <c r="AK251" s="154"/>
      <c r="AL251" s="76"/>
      <c r="AM251" s="107"/>
      <c r="AN251" s="123"/>
      <c r="AO251" s="123"/>
      <c r="AP251" s="123"/>
      <c r="AQ251" s="428"/>
      <c r="AR251" s="123"/>
      <c r="AS251" s="123"/>
      <c r="AT251" s="428"/>
      <c r="AU251" s="428"/>
      <c r="AV251" s="121"/>
      <c r="AW251" s="428"/>
    </row>
    <row r="252" spans="1:49">
      <c r="A252" s="490"/>
      <c r="B252" s="500"/>
      <c r="C252" s="447"/>
      <c r="D252" s="520"/>
      <c r="E252" s="447"/>
      <c r="F252" s="433"/>
      <c r="G252" s="57"/>
      <c r="H252" s="48" t="s">
        <v>15</v>
      </c>
      <c r="I252" s="82"/>
      <c r="J252" s="83"/>
      <c r="K252" s="83"/>
      <c r="L252" s="82"/>
      <c r="M252" s="82"/>
      <c r="N252" s="82"/>
      <c r="O252" s="82"/>
      <c r="P252" s="82"/>
      <c r="Q252" s="152"/>
      <c r="R252" s="152"/>
      <c r="S252" s="152"/>
      <c r="T252" s="82"/>
      <c r="U252" s="82"/>
      <c r="V252" s="82"/>
      <c r="W252" s="82"/>
      <c r="X252" s="83"/>
      <c r="Y252" s="83"/>
      <c r="Z252" s="82"/>
      <c r="AA252" s="82"/>
      <c r="AB252" s="82"/>
      <c r="AC252" s="82"/>
      <c r="AD252" s="82"/>
      <c r="AE252" s="83"/>
      <c r="AF252" s="83"/>
      <c r="AG252" s="82"/>
      <c r="AH252" s="82"/>
      <c r="AI252" s="82"/>
      <c r="AJ252" s="82"/>
      <c r="AK252" s="154"/>
      <c r="AL252" s="76"/>
      <c r="AM252" s="107"/>
      <c r="AN252" s="123"/>
      <c r="AO252" s="123"/>
      <c r="AP252" s="123"/>
      <c r="AQ252" s="428"/>
      <c r="AR252" s="123"/>
      <c r="AS252" s="123"/>
      <c r="AT252" s="428"/>
      <c r="AU252" s="428"/>
      <c r="AV252" s="121"/>
      <c r="AW252" s="428"/>
    </row>
    <row r="253" spans="1:49">
      <c r="A253" s="490"/>
      <c r="B253" s="500"/>
      <c r="C253" s="447"/>
      <c r="D253" s="520"/>
      <c r="E253" s="447"/>
      <c r="F253" s="433"/>
      <c r="G253" s="57"/>
      <c r="H253" s="46" t="s">
        <v>108</v>
      </c>
      <c r="I253" s="150">
        <f>$O$259*$D$217/5</f>
        <v>4941.25</v>
      </c>
      <c r="J253" s="151"/>
      <c r="K253" s="151"/>
      <c r="L253" s="150">
        <f>$O$259*$D$217/5</f>
        <v>4941.25</v>
      </c>
      <c r="M253" s="150">
        <f>$O$259*$D$217/5</f>
        <v>4941.25</v>
      </c>
      <c r="N253" s="150">
        <f>$O$259*$D$217/5</f>
        <v>4941.25</v>
      </c>
      <c r="O253" s="150">
        <f>$O$259*$D$217/5</f>
        <v>4941.25</v>
      </c>
      <c r="P253" s="150">
        <f>$O$259*$D$217/5</f>
        <v>4941.25</v>
      </c>
      <c r="Q253" s="152"/>
      <c r="R253" s="152"/>
      <c r="S253" s="152"/>
      <c r="T253" s="150">
        <f>$O$259*$D$217/5</f>
        <v>4941.25</v>
      </c>
      <c r="U253" s="150">
        <f>$O$259*$D$217/5</f>
        <v>4941.25</v>
      </c>
      <c r="V253" s="150">
        <f>$O$259*$D$217/5</f>
        <v>4941.25</v>
      </c>
      <c r="W253" s="150">
        <f>$O$259*$D$217/5</f>
        <v>4941.25</v>
      </c>
      <c r="X253" s="151"/>
      <c r="Y253" s="151"/>
      <c r="Z253" s="150">
        <f>$O$259*$D$217/5</f>
        <v>4941.25</v>
      </c>
      <c r="AA253" s="150">
        <f>$O$259*$D$217/5</f>
        <v>4941.25</v>
      </c>
      <c r="AB253" s="150">
        <f>$O$259*$D$217/5</f>
        <v>4941.25</v>
      </c>
      <c r="AC253" s="150">
        <f>$O$259*$D$217/5</f>
        <v>4941.25</v>
      </c>
      <c r="AD253" s="150">
        <f>$O$259*$D$217/5</f>
        <v>4941.25</v>
      </c>
      <c r="AE253" s="151"/>
      <c r="AF253" s="151"/>
      <c r="AG253" s="150">
        <f>$O$259*$D$217/5</f>
        <v>4941.25</v>
      </c>
      <c r="AH253" s="150">
        <f>$O$259*$D$217/5</f>
        <v>4941.25</v>
      </c>
      <c r="AI253" s="150">
        <f>$O$259*$D$217/5</f>
        <v>4941.25</v>
      </c>
      <c r="AJ253" s="150">
        <f>$O$259*$D$217/5</f>
        <v>4941.25</v>
      </c>
      <c r="AK253" s="155"/>
      <c r="AL253" s="76"/>
      <c r="AM253" s="107"/>
      <c r="AN253" s="123"/>
      <c r="AO253" s="123"/>
      <c r="AP253" s="123"/>
      <c r="AQ253" s="428"/>
      <c r="AR253" s="123"/>
      <c r="AS253" s="123"/>
      <c r="AT253" s="428"/>
      <c r="AU253" s="428"/>
      <c r="AV253" s="121"/>
      <c r="AW253" s="428"/>
    </row>
    <row r="254" spans="1:49">
      <c r="A254" s="490"/>
      <c r="B254" s="500"/>
      <c r="C254" s="447"/>
      <c r="D254" s="520"/>
      <c r="E254" s="447"/>
      <c r="F254" s="433"/>
      <c r="G254" s="57"/>
      <c r="H254" s="46" t="s">
        <v>31</v>
      </c>
      <c r="I254" s="82">
        <v>1</v>
      </c>
      <c r="J254" s="83"/>
      <c r="K254" s="83"/>
      <c r="L254" s="82">
        <v>1</v>
      </c>
      <c r="M254" s="82">
        <v>1</v>
      </c>
      <c r="N254" s="82">
        <v>1</v>
      </c>
      <c r="O254" s="82">
        <v>1</v>
      </c>
      <c r="P254" s="82">
        <v>1</v>
      </c>
      <c r="Q254" s="152"/>
      <c r="R254" s="152"/>
      <c r="S254" s="152"/>
      <c r="T254" s="82">
        <v>1</v>
      </c>
      <c r="U254" s="82">
        <v>1</v>
      </c>
      <c r="V254" s="82">
        <v>1</v>
      </c>
      <c r="W254" s="82">
        <v>1</v>
      </c>
      <c r="X254" s="83"/>
      <c r="Y254" s="83"/>
      <c r="Z254" s="82">
        <v>1</v>
      </c>
      <c r="AA254" s="82">
        <v>1</v>
      </c>
      <c r="AB254" s="82">
        <v>1</v>
      </c>
      <c r="AC254" s="82">
        <v>1</v>
      </c>
      <c r="AD254" s="82">
        <v>1</v>
      </c>
      <c r="AE254" s="83"/>
      <c r="AF254" s="83"/>
      <c r="AG254" s="82">
        <v>1</v>
      </c>
      <c r="AH254" s="82">
        <v>1</v>
      </c>
      <c r="AI254" s="82">
        <v>1</v>
      </c>
      <c r="AJ254" s="82">
        <v>1</v>
      </c>
      <c r="AK254" s="154"/>
      <c r="AL254" s="76"/>
      <c r="AM254" s="107"/>
      <c r="AN254" s="123"/>
      <c r="AO254" s="123"/>
      <c r="AP254" s="123"/>
      <c r="AQ254" s="428"/>
      <c r="AR254" s="123"/>
      <c r="AS254" s="123"/>
      <c r="AT254" s="428"/>
      <c r="AU254" s="428"/>
      <c r="AV254" s="121"/>
      <c r="AW254" s="428"/>
    </row>
    <row r="255" spans="1:49">
      <c r="A255" s="490"/>
      <c r="B255" s="500"/>
      <c r="C255" s="447"/>
      <c r="D255" s="520"/>
      <c r="E255" s="447"/>
      <c r="F255" s="433"/>
      <c r="G255" s="57" t="s">
        <v>136</v>
      </c>
      <c r="H255" s="48" t="s">
        <v>15</v>
      </c>
      <c r="I255" s="82"/>
      <c r="J255" s="83"/>
      <c r="K255" s="83"/>
      <c r="L255" s="82"/>
      <c r="M255" s="82"/>
      <c r="N255" s="82"/>
      <c r="O255" s="82"/>
      <c r="P255" s="82"/>
      <c r="Q255" s="152"/>
      <c r="R255" s="152"/>
      <c r="S255" s="152"/>
      <c r="T255" s="82"/>
      <c r="U255" s="82"/>
      <c r="V255" s="82"/>
      <c r="W255" s="82"/>
      <c r="X255" s="83"/>
      <c r="Y255" s="83"/>
      <c r="Z255" s="82"/>
      <c r="AA255" s="82"/>
      <c r="AB255" s="82"/>
      <c r="AC255" s="82"/>
      <c r="AD255" s="82"/>
      <c r="AE255" s="83"/>
      <c r="AF255" s="83"/>
      <c r="AG255" s="82"/>
      <c r="AH255" s="82"/>
      <c r="AI255" s="82"/>
      <c r="AJ255" s="82"/>
      <c r="AK255" s="154"/>
      <c r="AL255" s="76"/>
      <c r="AM255" s="107"/>
      <c r="AN255" s="123"/>
      <c r="AO255" s="123"/>
      <c r="AP255" s="123"/>
      <c r="AQ255" s="428"/>
      <c r="AR255" s="123"/>
      <c r="AS255" s="123"/>
      <c r="AT255" s="428"/>
      <c r="AU255" s="428"/>
      <c r="AV255" s="121"/>
      <c r="AW255" s="428"/>
    </row>
    <row r="256" spans="1:49">
      <c r="A256" s="490"/>
      <c r="B256" s="500"/>
      <c r="C256" s="447"/>
      <c r="D256" s="520"/>
      <c r="E256" s="447"/>
      <c r="F256" s="433"/>
      <c r="G256" s="57"/>
      <c r="H256" s="46" t="s">
        <v>109</v>
      </c>
      <c r="I256" s="150">
        <f>$O$259*$D$217/5</f>
        <v>4941.25</v>
      </c>
      <c r="J256" s="151"/>
      <c r="K256" s="151"/>
      <c r="L256" s="150">
        <f>$O$259*$D$217/5</f>
        <v>4941.25</v>
      </c>
      <c r="M256" s="150">
        <f>$O$259*$D$217/5</f>
        <v>4941.25</v>
      </c>
      <c r="N256" s="150">
        <f>$O$259*$D$217/5</f>
        <v>4941.25</v>
      </c>
      <c r="O256" s="150">
        <f>$O$259*$D$217/5</f>
        <v>4941.25</v>
      </c>
      <c r="P256" s="150">
        <f>$O$259*$D$217/5</f>
        <v>4941.25</v>
      </c>
      <c r="Q256" s="152"/>
      <c r="R256" s="152"/>
      <c r="S256" s="152"/>
      <c r="T256" s="150">
        <f>$O$259*$D$217/5</f>
        <v>4941.25</v>
      </c>
      <c r="U256" s="150">
        <f>$O$259*$D$217/5</f>
        <v>4941.25</v>
      </c>
      <c r="V256" s="150">
        <f>$O$259*$D$217/5</f>
        <v>4941.25</v>
      </c>
      <c r="W256" s="150">
        <f>$O$259*$D$217/5</f>
        <v>4941.25</v>
      </c>
      <c r="X256" s="151"/>
      <c r="Y256" s="151"/>
      <c r="Z256" s="150">
        <f>$O$259*$D$217/5</f>
        <v>4941.25</v>
      </c>
      <c r="AA256" s="150">
        <f>$O$259*$D$217/5</f>
        <v>4941.25</v>
      </c>
      <c r="AB256" s="150">
        <f>$O$259*$D$217/5</f>
        <v>4941.25</v>
      </c>
      <c r="AC256" s="150">
        <f>$O$259*$D$217/5</f>
        <v>4941.25</v>
      </c>
      <c r="AD256" s="150">
        <f>$O$259*$D$217/5</f>
        <v>4941.25</v>
      </c>
      <c r="AE256" s="151"/>
      <c r="AF256" s="151"/>
      <c r="AG256" s="150">
        <f>$O$259*$D$217/5</f>
        <v>4941.25</v>
      </c>
      <c r="AH256" s="150">
        <f>$O$259*$D$217/5</f>
        <v>4941.25</v>
      </c>
      <c r="AI256" s="150">
        <f>$O$259*$D$217/5</f>
        <v>4941.25</v>
      </c>
      <c r="AJ256" s="150">
        <f>$O$259*$D$217/5</f>
        <v>4941.25</v>
      </c>
      <c r="AK256" s="155"/>
      <c r="AL256" s="76"/>
      <c r="AM256" s="107"/>
      <c r="AN256" s="123"/>
      <c r="AO256" s="123"/>
      <c r="AP256" s="123"/>
      <c r="AQ256" s="428"/>
      <c r="AR256" s="123"/>
      <c r="AS256" s="123"/>
      <c r="AT256" s="428"/>
      <c r="AU256" s="428"/>
      <c r="AV256" s="121"/>
      <c r="AW256" s="428"/>
    </row>
    <row r="257" spans="1:49">
      <c r="A257" s="490"/>
      <c r="B257" s="500"/>
      <c r="C257" s="447"/>
      <c r="D257" s="520"/>
      <c r="E257" s="447"/>
      <c r="F257" s="433"/>
      <c r="G257" s="57"/>
      <c r="H257" s="46" t="s">
        <v>84</v>
      </c>
      <c r="I257" s="82">
        <v>1</v>
      </c>
      <c r="J257" s="83"/>
      <c r="K257" s="83"/>
      <c r="L257" s="82">
        <v>1</v>
      </c>
      <c r="M257" s="82">
        <v>1</v>
      </c>
      <c r="N257" s="82">
        <v>1</v>
      </c>
      <c r="O257" s="82">
        <v>1</v>
      </c>
      <c r="P257" s="82">
        <v>1</v>
      </c>
      <c r="Q257" s="152"/>
      <c r="R257" s="152"/>
      <c r="S257" s="152"/>
      <c r="T257" s="82">
        <v>1</v>
      </c>
      <c r="U257" s="82">
        <v>1</v>
      </c>
      <c r="V257" s="82">
        <v>1</v>
      </c>
      <c r="W257" s="82">
        <v>1</v>
      </c>
      <c r="X257" s="83"/>
      <c r="Y257" s="83"/>
      <c r="Z257" s="82">
        <v>1</v>
      </c>
      <c r="AA257" s="82">
        <v>1</v>
      </c>
      <c r="AB257" s="82">
        <v>1</v>
      </c>
      <c r="AC257" s="82">
        <v>1</v>
      </c>
      <c r="AD257" s="82">
        <v>1</v>
      </c>
      <c r="AE257" s="83"/>
      <c r="AF257" s="83"/>
      <c r="AG257" s="82">
        <v>1</v>
      </c>
      <c r="AH257" s="82">
        <v>1</v>
      </c>
      <c r="AI257" s="82">
        <v>1</v>
      </c>
      <c r="AJ257" s="82">
        <v>1</v>
      </c>
      <c r="AK257" s="154"/>
      <c r="AL257" s="76"/>
      <c r="AM257" s="107"/>
      <c r="AN257" s="123"/>
      <c r="AO257" s="123"/>
      <c r="AP257" s="123"/>
      <c r="AQ257" s="428"/>
      <c r="AR257" s="123"/>
      <c r="AS257" s="123"/>
      <c r="AT257" s="428"/>
      <c r="AU257" s="428"/>
      <c r="AV257" s="121"/>
      <c r="AW257" s="428"/>
    </row>
    <row r="258" spans="1:49">
      <c r="A258" s="490"/>
      <c r="B258" s="500"/>
      <c r="C258" s="447"/>
      <c r="D258" s="520"/>
      <c r="E258" s="447"/>
      <c r="F258" s="433"/>
      <c r="G258" s="57"/>
      <c r="H258" s="48" t="s">
        <v>15</v>
      </c>
      <c r="I258" s="82"/>
      <c r="J258" s="83"/>
      <c r="K258" s="83"/>
      <c r="L258" s="82"/>
      <c r="M258" s="82"/>
      <c r="N258" s="82"/>
      <c r="O258" s="75"/>
      <c r="P258" s="75"/>
      <c r="Q258" s="152"/>
      <c r="R258" s="152"/>
      <c r="S258" s="152"/>
      <c r="T258" s="82"/>
      <c r="U258" s="82"/>
      <c r="V258" s="82"/>
      <c r="W258" s="75"/>
      <c r="X258" s="83"/>
      <c r="Y258" s="76"/>
      <c r="Z258" s="82"/>
      <c r="AA258" s="82"/>
      <c r="AB258" s="82"/>
      <c r="AC258" s="82"/>
      <c r="AD258" s="82"/>
      <c r="AE258" s="83"/>
      <c r="AF258" s="83"/>
      <c r="AG258" s="82"/>
      <c r="AH258" s="82"/>
      <c r="AI258" s="82"/>
      <c r="AJ258" s="82"/>
      <c r="AK258" s="111"/>
      <c r="AL258" s="76"/>
      <c r="AM258" s="107"/>
      <c r="AN258" s="123"/>
      <c r="AO258" s="123"/>
      <c r="AP258" s="123"/>
      <c r="AQ258" s="428"/>
      <c r="AR258" s="123"/>
      <c r="AS258" s="123"/>
      <c r="AT258" s="428"/>
      <c r="AU258" s="428"/>
      <c r="AV258" s="121"/>
      <c r="AW258" s="428"/>
    </row>
    <row r="259" spans="1:49">
      <c r="A259" s="490"/>
      <c r="B259" s="500"/>
      <c r="C259" s="447"/>
      <c r="D259" s="520"/>
      <c r="E259" s="447"/>
      <c r="F259" s="433"/>
      <c r="G259" s="57"/>
      <c r="H259" s="46" t="s">
        <v>32</v>
      </c>
      <c r="I259" s="82"/>
      <c r="J259" s="83"/>
      <c r="K259" s="83"/>
      <c r="L259" s="82"/>
      <c r="M259" s="82"/>
      <c r="N259" s="82"/>
      <c r="O259" s="82">
        <f>($C$217*5)</f>
        <v>16750</v>
      </c>
      <c r="P259" s="47"/>
      <c r="Q259" s="152"/>
      <c r="R259" s="152"/>
      <c r="S259" s="152"/>
      <c r="T259" s="82"/>
      <c r="U259" s="82"/>
      <c r="V259" s="82"/>
      <c r="W259" s="82">
        <f>($C$217*5)</f>
        <v>16750</v>
      </c>
      <c r="X259" s="83"/>
      <c r="Y259" s="77"/>
      <c r="Z259" s="82"/>
      <c r="AA259" s="82"/>
      <c r="AB259" s="82"/>
      <c r="AC259" s="82"/>
      <c r="AD259" s="82">
        <f>($C$217*5)+($C$217*5*10%)</f>
        <v>18425</v>
      </c>
      <c r="AE259" s="83"/>
      <c r="AF259" s="83"/>
      <c r="AG259" s="82"/>
      <c r="AH259" s="82"/>
      <c r="AI259" s="82"/>
      <c r="AJ259" s="82"/>
      <c r="AK259" s="113"/>
      <c r="AL259" s="76"/>
      <c r="AM259" s="107"/>
      <c r="AN259" s="123"/>
      <c r="AO259" s="123"/>
      <c r="AP259" s="123"/>
      <c r="AQ259" s="428"/>
      <c r="AR259" s="123"/>
      <c r="AS259" s="123"/>
      <c r="AT259" s="428"/>
      <c r="AU259" s="428"/>
      <c r="AV259" s="121"/>
      <c r="AW259" s="428"/>
    </row>
    <row r="260" spans="1:49">
      <c r="A260" s="490"/>
      <c r="B260" s="500"/>
      <c r="C260" s="447"/>
      <c r="D260" s="520"/>
      <c r="E260" s="447"/>
      <c r="F260" s="433"/>
      <c r="G260" s="57"/>
      <c r="H260" s="46" t="s">
        <v>33</v>
      </c>
      <c r="I260" s="82"/>
      <c r="J260" s="83"/>
      <c r="K260" s="83"/>
      <c r="L260" s="82"/>
      <c r="M260" s="82"/>
      <c r="N260" s="82"/>
      <c r="O260" s="82">
        <v>1</v>
      </c>
      <c r="P260" s="47"/>
      <c r="Q260" s="152"/>
      <c r="R260" s="152"/>
      <c r="S260" s="152"/>
      <c r="T260" s="82"/>
      <c r="U260" s="82"/>
      <c r="V260" s="82"/>
      <c r="W260" s="82">
        <v>1</v>
      </c>
      <c r="X260" s="83"/>
      <c r="Y260" s="77"/>
      <c r="Z260" s="82"/>
      <c r="AA260" s="82"/>
      <c r="AB260" s="82"/>
      <c r="AC260" s="82"/>
      <c r="AD260" s="82">
        <v>1</v>
      </c>
      <c r="AE260" s="83"/>
      <c r="AF260" s="83"/>
      <c r="AG260" s="82"/>
      <c r="AH260" s="82"/>
      <c r="AI260" s="82"/>
      <c r="AJ260" s="82"/>
      <c r="AK260" s="113"/>
      <c r="AL260" s="76"/>
      <c r="AM260" s="107"/>
      <c r="AN260" s="123"/>
      <c r="AO260" s="123"/>
      <c r="AP260" s="123"/>
      <c r="AQ260" s="428"/>
      <c r="AR260" s="123"/>
      <c r="AS260" s="123"/>
      <c r="AT260" s="428"/>
      <c r="AU260" s="428"/>
      <c r="AV260" s="121"/>
      <c r="AW260" s="428"/>
    </row>
    <row r="261" spans="1:49">
      <c r="A261" s="495"/>
      <c r="B261" s="507"/>
      <c r="C261" s="448"/>
      <c r="D261" s="521"/>
      <c r="E261" s="448"/>
      <c r="F261" s="434"/>
      <c r="G261" s="52"/>
      <c r="H261" s="53" t="s">
        <v>15</v>
      </c>
      <c r="I261" s="87"/>
      <c r="J261" s="88"/>
      <c r="K261" s="88"/>
      <c r="L261" s="87"/>
      <c r="M261" s="87"/>
      <c r="N261" s="87"/>
      <c r="O261" s="87"/>
      <c r="P261" s="87"/>
      <c r="Q261" s="100"/>
      <c r="R261" s="100"/>
      <c r="S261" s="100"/>
      <c r="T261" s="87"/>
      <c r="U261" s="87"/>
      <c r="V261" s="87"/>
      <c r="W261" s="87"/>
      <c r="X261" s="88"/>
      <c r="Y261" s="88"/>
      <c r="Z261" s="87"/>
      <c r="AA261" s="87"/>
      <c r="AB261" s="87"/>
      <c r="AC261" s="87"/>
      <c r="AD261" s="87"/>
      <c r="AE261" s="88"/>
      <c r="AF261" s="88"/>
      <c r="AG261" s="87"/>
      <c r="AH261" s="87"/>
      <c r="AI261" s="87"/>
      <c r="AJ261" s="87"/>
      <c r="AK261" s="119"/>
      <c r="AL261" s="88"/>
      <c r="AM261" s="166"/>
      <c r="AN261" s="123"/>
      <c r="AO261" s="123"/>
      <c r="AP261" s="123"/>
      <c r="AQ261" s="428"/>
      <c r="AR261" s="123"/>
      <c r="AS261" s="123"/>
      <c r="AT261" s="428"/>
      <c r="AU261" s="428"/>
      <c r="AV261" s="121"/>
      <c r="AW261" s="428"/>
    </row>
    <row r="262" spans="1:49">
      <c r="A262" s="494" t="s">
        <v>88</v>
      </c>
      <c r="B262" s="499" t="s">
        <v>137</v>
      </c>
      <c r="C262" s="446">
        <v>5000</v>
      </c>
      <c r="D262" s="519">
        <v>1.48</v>
      </c>
      <c r="E262" s="446"/>
      <c r="F262" s="457"/>
      <c r="G262" s="62">
        <v>0.08</v>
      </c>
      <c r="H262" s="44" t="s">
        <v>12</v>
      </c>
      <c r="I262" s="86">
        <v>32.28</v>
      </c>
      <c r="J262" s="101"/>
      <c r="K262" s="101"/>
      <c r="L262" s="86">
        <v>32.28</v>
      </c>
      <c r="M262" s="86">
        <v>32.28</v>
      </c>
      <c r="N262" s="86">
        <v>32.28</v>
      </c>
      <c r="O262" s="86">
        <v>32.28</v>
      </c>
      <c r="P262" s="86">
        <v>32.28</v>
      </c>
      <c r="Q262" s="130"/>
      <c r="R262" s="130"/>
      <c r="S262" s="130"/>
      <c r="T262" s="86">
        <v>32.28</v>
      </c>
      <c r="U262" s="86">
        <v>32.28</v>
      </c>
      <c r="V262" s="86">
        <v>32.28</v>
      </c>
      <c r="W262" s="86">
        <v>32.28</v>
      </c>
      <c r="X262" s="101"/>
      <c r="Y262" s="101"/>
      <c r="Z262" s="86">
        <v>32.28</v>
      </c>
      <c r="AA262" s="86">
        <v>32.28</v>
      </c>
      <c r="AB262" s="86">
        <v>32.28</v>
      </c>
      <c r="AC262" s="86">
        <v>32.28</v>
      </c>
      <c r="AD262" s="86">
        <v>32.28</v>
      </c>
      <c r="AE262" s="101"/>
      <c r="AF262" s="101"/>
      <c r="AG262" s="86">
        <v>32.28</v>
      </c>
      <c r="AH262" s="86">
        <v>32.28</v>
      </c>
      <c r="AI262" s="86">
        <v>32.28</v>
      </c>
      <c r="AJ262" s="86">
        <v>32.28</v>
      </c>
      <c r="AK262" s="101"/>
      <c r="AL262" s="101"/>
      <c r="AM262" s="167"/>
      <c r="AN262" s="123"/>
      <c r="AO262" s="123"/>
      <c r="AP262" s="123"/>
      <c r="AQ262" s="108"/>
      <c r="AR262" s="123"/>
      <c r="AS262" s="123"/>
      <c r="AT262" s="108"/>
      <c r="AU262" s="108"/>
      <c r="AV262" s="121"/>
      <c r="AW262" s="108"/>
    </row>
    <row r="263" spans="1:49">
      <c r="A263" s="490"/>
      <c r="B263" s="500"/>
      <c r="C263" s="447"/>
      <c r="D263" s="520"/>
      <c r="E263" s="447"/>
      <c r="F263" s="455"/>
      <c r="G263" s="50"/>
      <c r="H263" s="46" t="s">
        <v>14</v>
      </c>
      <c r="I263" s="75"/>
      <c r="J263" s="76"/>
      <c r="K263" s="76"/>
      <c r="L263" s="75"/>
      <c r="M263" s="75"/>
      <c r="N263" s="75"/>
      <c r="O263" s="75"/>
      <c r="P263" s="75"/>
      <c r="Q263" s="96"/>
      <c r="R263" s="96"/>
      <c r="S263" s="96"/>
      <c r="T263" s="75"/>
      <c r="U263" s="75"/>
      <c r="V263" s="75"/>
      <c r="W263" s="75"/>
      <c r="X263" s="76"/>
      <c r="Y263" s="76"/>
      <c r="Z263" s="75"/>
      <c r="AA263" s="75"/>
      <c r="AB263" s="75"/>
      <c r="AC263" s="75"/>
      <c r="AD263" s="75"/>
      <c r="AE263" s="76"/>
      <c r="AF263" s="76"/>
      <c r="AG263" s="75"/>
      <c r="AH263" s="75"/>
      <c r="AI263" s="75"/>
      <c r="AJ263" s="75"/>
      <c r="AK263" s="76"/>
      <c r="AL263" s="76"/>
      <c r="AM263" s="107"/>
      <c r="AN263" s="123"/>
      <c r="AO263" s="123"/>
      <c r="AP263" s="123"/>
      <c r="AQ263" s="108"/>
      <c r="AR263" s="123"/>
      <c r="AS263" s="123"/>
      <c r="AT263" s="108"/>
      <c r="AU263" s="108"/>
      <c r="AV263" s="121"/>
      <c r="AW263" s="108"/>
    </row>
    <row r="264" spans="1:49">
      <c r="A264" s="490"/>
      <c r="B264" s="500"/>
      <c r="C264" s="447"/>
      <c r="D264" s="520"/>
      <c r="E264" s="447"/>
      <c r="F264" s="455"/>
      <c r="G264" s="50"/>
      <c r="H264" s="48" t="s">
        <v>15</v>
      </c>
      <c r="I264" s="75"/>
      <c r="J264" s="76"/>
      <c r="K264" s="76"/>
      <c r="L264" s="75"/>
      <c r="M264" s="75"/>
      <c r="N264" s="75"/>
      <c r="O264" s="75"/>
      <c r="P264" s="75"/>
      <c r="Q264" s="96"/>
      <c r="R264" s="96"/>
      <c r="S264" s="96"/>
      <c r="T264" s="75"/>
      <c r="U264" s="75"/>
      <c r="V264" s="75"/>
      <c r="W264" s="75"/>
      <c r="X264" s="76"/>
      <c r="Y264" s="76"/>
      <c r="Z264" s="75"/>
      <c r="AA264" s="75"/>
      <c r="AB264" s="75"/>
      <c r="AC264" s="75"/>
      <c r="AD264" s="75"/>
      <c r="AE264" s="76"/>
      <c r="AF264" s="76"/>
      <c r="AG264" s="75"/>
      <c r="AH264" s="75"/>
      <c r="AI264" s="75"/>
      <c r="AJ264" s="75"/>
      <c r="AK264" s="76"/>
      <c r="AL264" s="76"/>
      <c r="AM264" s="107"/>
      <c r="AN264" s="123"/>
      <c r="AO264" s="123"/>
      <c r="AP264" s="123"/>
      <c r="AQ264" s="108"/>
      <c r="AR264" s="123"/>
      <c r="AS264" s="123"/>
      <c r="AT264" s="108"/>
      <c r="AU264" s="108"/>
      <c r="AV264" s="121"/>
      <c r="AW264" s="108"/>
    </row>
    <row r="265" spans="1:49">
      <c r="A265" s="490"/>
      <c r="B265" s="500"/>
      <c r="C265" s="447"/>
      <c r="D265" s="520"/>
      <c r="E265" s="447"/>
      <c r="F265" s="455"/>
      <c r="G265" s="50">
        <v>0.1</v>
      </c>
      <c r="H265" s="49" t="s">
        <v>12</v>
      </c>
      <c r="I265" s="75">
        <v>26.8</v>
      </c>
      <c r="J265" s="76"/>
      <c r="K265" s="76"/>
      <c r="L265" s="75">
        <v>26.8</v>
      </c>
      <c r="M265" s="75">
        <v>26.8</v>
      </c>
      <c r="N265" s="75">
        <v>26.8</v>
      </c>
      <c r="O265" s="75">
        <v>26.8</v>
      </c>
      <c r="P265" s="75">
        <v>26.8</v>
      </c>
      <c r="Q265" s="96"/>
      <c r="R265" s="96"/>
      <c r="S265" s="96"/>
      <c r="T265" s="75">
        <v>26.8</v>
      </c>
      <c r="U265" s="75">
        <v>26.8</v>
      </c>
      <c r="V265" s="75">
        <v>26.8</v>
      </c>
      <c r="W265" s="75">
        <v>26.8</v>
      </c>
      <c r="X265" s="76"/>
      <c r="Y265" s="76"/>
      <c r="Z265" s="75">
        <v>26.8</v>
      </c>
      <c r="AA265" s="75">
        <v>26.8</v>
      </c>
      <c r="AB265" s="75">
        <v>26.8</v>
      </c>
      <c r="AC265" s="75">
        <v>26.8</v>
      </c>
      <c r="AD265" s="75">
        <v>26.8</v>
      </c>
      <c r="AE265" s="76"/>
      <c r="AF265" s="76"/>
      <c r="AG265" s="75">
        <v>26.8</v>
      </c>
      <c r="AH265" s="75">
        <v>26.8</v>
      </c>
      <c r="AI265" s="75">
        <v>26.8</v>
      </c>
      <c r="AJ265" s="75">
        <v>26.8</v>
      </c>
      <c r="AK265" s="76"/>
      <c r="AL265" s="76"/>
      <c r="AM265" s="107"/>
      <c r="AN265" s="123"/>
      <c r="AO265" s="123"/>
      <c r="AP265" s="123"/>
      <c r="AQ265" s="108"/>
      <c r="AR265" s="123"/>
      <c r="AS265" s="123"/>
      <c r="AT265" s="108"/>
      <c r="AU265" s="108"/>
      <c r="AV265" s="121"/>
      <c r="AW265" s="108"/>
    </row>
    <row r="266" spans="1:49">
      <c r="A266" s="490"/>
      <c r="B266" s="500"/>
      <c r="C266" s="447"/>
      <c r="D266" s="520"/>
      <c r="E266" s="447"/>
      <c r="F266" s="455"/>
      <c r="G266" s="50"/>
      <c r="H266" s="46" t="s">
        <v>14</v>
      </c>
      <c r="I266" s="75"/>
      <c r="J266" s="76"/>
      <c r="K266" s="76"/>
      <c r="L266" s="75"/>
      <c r="M266" s="75"/>
      <c r="N266" s="75"/>
      <c r="O266" s="75"/>
      <c r="P266" s="75"/>
      <c r="Q266" s="96"/>
      <c r="R266" s="96"/>
      <c r="S266" s="96"/>
      <c r="T266" s="75"/>
      <c r="U266" s="75"/>
      <c r="V266" s="75"/>
      <c r="W266" s="75"/>
      <c r="X266" s="76"/>
      <c r="Y266" s="76"/>
      <c r="Z266" s="75"/>
      <c r="AA266" s="75"/>
      <c r="AB266" s="75"/>
      <c r="AC266" s="75"/>
      <c r="AD266" s="75"/>
      <c r="AE266" s="76"/>
      <c r="AF266" s="76"/>
      <c r="AG266" s="75"/>
      <c r="AH266" s="75"/>
      <c r="AI266" s="75"/>
      <c r="AJ266" s="75"/>
      <c r="AK266" s="76"/>
      <c r="AL266" s="76"/>
      <c r="AM266" s="107"/>
      <c r="AN266" s="123"/>
      <c r="AO266" s="123"/>
      <c r="AP266" s="123"/>
      <c r="AQ266" s="108"/>
      <c r="AR266" s="123"/>
      <c r="AS266" s="123"/>
      <c r="AT266" s="108"/>
      <c r="AU266" s="108"/>
      <c r="AV266" s="121"/>
      <c r="AW266" s="108"/>
    </row>
    <row r="267" spans="1:49">
      <c r="A267" s="490"/>
      <c r="B267" s="500"/>
      <c r="C267" s="447"/>
      <c r="D267" s="520"/>
      <c r="E267" s="447"/>
      <c r="F267" s="455"/>
      <c r="G267" s="50"/>
      <c r="H267" s="48" t="s">
        <v>15</v>
      </c>
      <c r="I267" s="75"/>
      <c r="J267" s="76"/>
      <c r="K267" s="76"/>
      <c r="L267" s="75"/>
      <c r="M267" s="75"/>
      <c r="N267" s="75"/>
      <c r="O267" s="75"/>
      <c r="P267" s="75"/>
      <c r="Q267" s="96"/>
      <c r="R267" s="96"/>
      <c r="S267" s="96"/>
      <c r="T267" s="75"/>
      <c r="U267" s="75"/>
      <c r="V267" s="75"/>
      <c r="W267" s="75"/>
      <c r="X267" s="76"/>
      <c r="Y267" s="76"/>
      <c r="Z267" s="75"/>
      <c r="AA267" s="75"/>
      <c r="AB267" s="75"/>
      <c r="AC267" s="75"/>
      <c r="AD267" s="75"/>
      <c r="AE267" s="76"/>
      <c r="AF267" s="76"/>
      <c r="AG267" s="75"/>
      <c r="AH267" s="75"/>
      <c r="AI267" s="75"/>
      <c r="AJ267" s="75"/>
      <c r="AK267" s="76"/>
      <c r="AL267" s="76"/>
      <c r="AM267" s="107"/>
      <c r="AN267" s="123"/>
      <c r="AO267" s="123"/>
      <c r="AP267" s="123"/>
      <c r="AQ267" s="108"/>
      <c r="AR267" s="123"/>
      <c r="AS267" s="123"/>
      <c r="AT267" s="108"/>
      <c r="AU267" s="108"/>
      <c r="AV267" s="121"/>
      <c r="AW267" s="108"/>
    </row>
    <row r="268" spans="1:49">
      <c r="A268" s="490"/>
      <c r="B268" s="500"/>
      <c r="C268" s="447"/>
      <c r="D268" s="520"/>
      <c r="E268" s="447"/>
      <c r="F268" s="455"/>
      <c r="G268" s="50">
        <v>0.127</v>
      </c>
      <c r="H268" s="49" t="s">
        <v>12</v>
      </c>
      <c r="I268" s="75">
        <v>6.3</v>
      </c>
      <c r="J268" s="76"/>
      <c r="K268" s="76"/>
      <c r="L268" s="75">
        <v>6.3</v>
      </c>
      <c r="M268" s="75">
        <v>6.3</v>
      </c>
      <c r="N268" s="75">
        <v>6.3</v>
      </c>
      <c r="O268" s="75">
        <v>6.3</v>
      </c>
      <c r="P268" s="75">
        <v>6.3</v>
      </c>
      <c r="Q268" s="96"/>
      <c r="R268" s="96"/>
      <c r="S268" s="96"/>
      <c r="T268" s="75">
        <v>6.3</v>
      </c>
      <c r="U268" s="75">
        <v>6.3</v>
      </c>
      <c r="V268" s="75">
        <v>6.3</v>
      </c>
      <c r="W268" s="75">
        <v>6.3</v>
      </c>
      <c r="X268" s="76"/>
      <c r="Y268" s="76"/>
      <c r="Z268" s="75">
        <v>6.3</v>
      </c>
      <c r="AA268" s="75">
        <v>6.3</v>
      </c>
      <c r="AB268" s="75">
        <v>6.3</v>
      </c>
      <c r="AC268" s="75">
        <v>6.3</v>
      </c>
      <c r="AD268" s="75">
        <v>6.3</v>
      </c>
      <c r="AE268" s="76"/>
      <c r="AF268" s="76"/>
      <c r="AG268" s="75">
        <v>6.3</v>
      </c>
      <c r="AH268" s="75">
        <v>6.3</v>
      </c>
      <c r="AI268" s="75">
        <v>6.3</v>
      </c>
      <c r="AJ268" s="75">
        <v>6.3</v>
      </c>
      <c r="AK268" s="76"/>
      <c r="AL268" s="76"/>
      <c r="AM268" s="107"/>
      <c r="AN268" s="123"/>
      <c r="AO268" s="123"/>
      <c r="AP268" s="123"/>
      <c r="AQ268" s="108"/>
      <c r="AR268" s="123"/>
      <c r="AS268" s="123"/>
      <c r="AT268" s="108"/>
      <c r="AU268" s="108"/>
      <c r="AV268" s="121"/>
      <c r="AW268" s="108"/>
    </row>
    <row r="269" spans="1:49">
      <c r="A269" s="490"/>
      <c r="B269" s="500"/>
      <c r="C269" s="447"/>
      <c r="D269" s="520"/>
      <c r="E269" s="447"/>
      <c r="F269" s="455"/>
      <c r="G269" s="50"/>
      <c r="H269" s="46" t="s">
        <v>14</v>
      </c>
      <c r="I269" s="75"/>
      <c r="J269" s="76"/>
      <c r="K269" s="76"/>
      <c r="L269" s="75"/>
      <c r="M269" s="75"/>
      <c r="N269" s="75"/>
      <c r="O269" s="75"/>
      <c r="P269" s="75"/>
      <c r="Q269" s="96"/>
      <c r="R269" s="96"/>
      <c r="S269" s="96"/>
      <c r="T269" s="75"/>
      <c r="U269" s="75"/>
      <c r="V269" s="75"/>
      <c r="W269" s="75"/>
      <c r="X269" s="76"/>
      <c r="Y269" s="76"/>
      <c r="Z269" s="75"/>
      <c r="AA269" s="75"/>
      <c r="AB269" s="75"/>
      <c r="AC269" s="75"/>
      <c r="AD269" s="75"/>
      <c r="AE269" s="76"/>
      <c r="AF269" s="76"/>
      <c r="AG269" s="75"/>
      <c r="AH269" s="75"/>
      <c r="AI269" s="75"/>
      <c r="AJ269" s="75"/>
      <c r="AK269" s="76"/>
      <c r="AL269" s="76"/>
      <c r="AM269" s="107"/>
      <c r="AN269" s="123"/>
      <c r="AO269" s="123"/>
      <c r="AP269" s="123"/>
      <c r="AQ269" s="108"/>
      <c r="AR269" s="123"/>
      <c r="AS269" s="123"/>
      <c r="AT269" s="108"/>
      <c r="AU269" s="108"/>
      <c r="AV269" s="121"/>
      <c r="AW269" s="108"/>
    </row>
    <row r="270" spans="1:49">
      <c r="A270" s="490"/>
      <c r="B270" s="500"/>
      <c r="C270" s="447"/>
      <c r="D270" s="520"/>
      <c r="E270" s="447"/>
      <c r="F270" s="455"/>
      <c r="G270" s="50"/>
      <c r="H270" s="48" t="s">
        <v>15</v>
      </c>
      <c r="I270" s="75"/>
      <c r="J270" s="76"/>
      <c r="K270" s="76"/>
      <c r="L270" s="75"/>
      <c r="M270" s="75"/>
      <c r="N270" s="75"/>
      <c r="O270" s="75"/>
      <c r="P270" s="75"/>
      <c r="Q270" s="96"/>
      <c r="R270" s="96"/>
      <c r="S270" s="96"/>
      <c r="T270" s="75"/>
      <c r="U270" s="75"/>
      <c r="V270" s="75"/>
      <c r="W270" s="75"/>
      <c r="X270" s="76"/>
      <c r="Y270" s="76"/>
      <c r="Z270" s="75"/>
      <c r="AA270" s="75"/>
      <c r="AB270" s="75"/>
      <c r="AC270" s="75"/>
      <c r="AD270" s="75"/>
      <c r="AE270" s="76"/>
      <c r="AF270" s="76"/>
      <c r="AG270" s="75"/>
      <c r="AH270" s="75"/>
      <c r="AI270" s="75"/>
      <c r="AJ270" s="75"/>
      <c r="AK270" s="76"/>
      <c r="AL270" s="76"/>
      <c r="AM270" s="107"/>
      <c r="AN270" s="123"/>
      <c r="AO270" s="123"/>
      <c r="AP270" s="123"/>
      <c r="AQ270" s="108"/>
      <c r="AR270" s="123"/>
      <c r="AS270" s="123"/>
      <c r="AT270" s="108"/>
      <c r="AU270" s="108"/>
      <c r="AV270" s="121"/>
      <c r="AW270" s="108"/>
    </row>
    <row r="271" spans="1:49">
      <c r="A271" s="490"/>
      <c r="B271" s="500"/>
      <c r="C271" s="447"/>
      <c r="D271" s="520"/>
      <c r="E271" s="447"/>
      <c r="F271" s="455"/>
      <c r="G271" s="50" t="s">
        <v>91</v>
      </c>
      <c r="H271" s="49" t="s">
        <v>92</v>
      </c>
      <c r="I271" s="75"/>
      <c r="J271" s="76"/>
      <c r="K271" s="76"/>
      <c r="L271" s="75"/>
      <c r="M271" s="75"/>
      <c r="N271" s="75"/>
      <c r="O271" s="75"/>
      <c r="P271" s="75"/>
      <c r="Q271" s="96"/>
      <c r="R271" s="96"/>
      <c r="S271" s="96"/>
      <c r="T271" s="75"/>
      <c r="U271" s="75"/>
      <c r="V271" s="75"/>
      <c r="W271" s="75"/>
      <c r="X271" s="76"/>
      <c r="Y271" s="76"/>
      <c r="Z271" s="75"/>
      <c r="AA271" s="75"/>
      <c r="AB271" s="75"/>
      <c r="AC271" s="75"/>
      <c r="AD271" s="75"/>
      <c r="AE271" s="76"/>
      <c r="AF271" s="76"/>
      <c r="AG271" s="75"/>
      <c r="AH271" s="75"/>
      <c r="AI271" s="75"/>
      <c r="AJ271" s="75"/>
      <c r="AK271" s="76"/>
      <c r="AL271" s="76"/>
      <c r="AM271" s="107"/>
      <c r="AN271" s="123"/>
      <c r="AO271" s="123"/>
      <c r="AP271" s="123"/>
      <c r="AQ271" s="108"/>
      <c r="AR271" s="123"/>
      <c r="AS271" s="123"/>
      <c r="AT271" s="108"/>
      <c r="AU271" s="108"/>
      <c r="AV271" s="121"/>
      <c r="AW271" s="108"/>
    </row>
    <row r="272" spans="1:49">
      <c r="A272" s="490"/>
      <c r="B272" s="500"/>
      <c r="C272" s="447"/>
      <c r="D272" s="520"/>
      <c r="E272" s="447"/>
      <c r="F272" s="455"/>
      <c r="G272" s="50"/>
      <c r="H272" s="46" t="s">
        <v>14</v>
      </c>
      <c r="I272" s="75"/>
      <c r="J272" s="76"/>
      <c r="K272" s="76"/>
      <c r="L272" s="75"/>
      <c r="M272" s="75"/>
      <c r="N272" s="75"/>
      <c r="O272" s="75"/>
      <c r="P272" s="75"/>
      <c r="Q272" s="96"/>
      <c r="R272" s="96"/>
      <c r="S272" s="96"/>
      <c r="T272" s="75"/>
      <c r="U272" s="75"/>
      <c r="V272" s="75"/>
      <c r="W272" s="75"/>
      <c r="X272" s="76"/>
      <c r="Y272" s="76"/>
      <c r="Z272" s="75"/>
      <c r="AA272" s="75"/>
      <c r="AB272" s="75"/>
      <c r="AC272" s="75"/>
      <c r="AD272" s="75"/>
      <c r="AE272" s="76"/>
      <c r="AF272" s="76"/>
      <c r="AG272" s="75"/>
      <c r="AH272" s="75"/>
      <c r="AI272" s="75"/>
      <c r="AJ272" s="75"/>
      <c r="AK272" s="76"/>
      <c r="AL272" s="76"/>
      <c r="AM272" s="107"/>
      <c r="AN272" s="123"/>
      <c r="AO272" s="123"/>
      <c r="AP272" s="123"/>
      <c r="AQ272" s="108"/>
      <c r="AR272" s="123"/>
      <c r="AS272" s="123"/>
      <c r="AT272" s="108"/>
      <c r="AU272" s="108"/>
      <c r="AV272" s="121"/>
      <c r="AW272" s="108"/>
    </row>
    <row r="273" spans="1:49">
      <c r="A273" s="490"/>
      <c r="B273" s="500"/>
      <c r="C273" s="447"/>
      <c r="D273" s="520"/>
      <c r="E273" s="447"/>
      <c r="F273" s="455"/>
      <c r="G273" s="50"/>
      <c r="H273" s="48" t="s">
        <v>15</v>
      </c>
      <c r="I273" s="75"/>
      <c r="J273" s="76"/>
      <c r="K273" s="76"/>
      <c r="L273" s="75"/>
      <c r="M273" s="75"/>
      <c r="N273" s="75"/>
      <c r="O273" s="75"/>
      <c r="P273" s="75"/>
      <c r="Q273" s="96"/>
      <c r="R273" s="96"/>
      <c r="S273" s="96"/>
      <c r="T273" s="75"/>
      <c r="U273" s="75"/>
      <c r="V273" s="75"/>
      <c r="W273" s="75"/>
      <c r="X273" s="76"/>
      <c r="Y273" s="76"/>
      <c r="Z273" s="75"/>
      <c r="AA273" s="75"/>
      <c r="AB273" s="75"/>
      <c r="AC273" s="75"/>
      <c r="AD273" s="75"/>
      <c r="AE273" s="76"/>
      <c r="AF273" s="76"/>
      <c r="AG273" s="75"/>
      <c r="AH273" s="75"/>
      <c r="AI273" s="75"/>
      <c r="AJ273" s="75"/>
      <c r="AK273" s="76"/>
      <c r="AL273" s="76"/>
      <c r="AM273" s="107"/>
      <c r="AN273" s="123"/>
      <c r="AO273" s="123"/>
      <c r="AP273" s="123"/>
      <c r="AQ273" s="108"/>
      <c r="AR273" s="123"/>
      <c r="AS273" s="123"/>
      <c r="AT273" s="108"/>
      <c r="AU273" s="108"/>
      <c r="AV273" s="121"/>
      <c r="AW273" s="108"/>
    </row>
    <row r="274" spans="1:49">
      <c r="A274" s="490"/>
      <c r="B274" s="500"/>
      <c r="C274" s="447"/>
      <c r="D274" s="520"/>
      <c r="E274" s="447"/>
      <c r="F274" s="455"/>
      <c r="G274" s="50" t="s">
        <v>138</v>
      </c>
      <c r="H274" s="49" t="s">
        <v>92</v>
      </c>
      <c r="I274" s="75"/>
      <c r="J274" s="76"/>
      <c r="K274" s="76"/>
      <c r="L274" s="75"/>
      <c r="M274" s="75"/>
      <c r="N274" s="75"/>
      <c r="O274" s="75"/>
      <c r="P274" s="75"/>
      <c r="Q274" s="96"/>
      <c r="R274" s="96"/>
      <c r="S274" s="96"/>
      <c r="T274" s="75"/>
      <c r="U274" s="75"/>
      <c r="V274" s="75"/>
      <c r="W274" s="75"/>
      <c r="X274" s="76"/>
      <c r="Y274" s="76"/>
      <c r="Z274" s="75"/>
      <c r="AA274" s="75"/>
      <c r="AB274" s="75"/>
      <c r="AC274" s="75"/>
      <c r="AD274" s="75"/>
      <c r="AE274" s="76"/>
      <c r="AF274" s="76"/>
      <c r="AG274" s="75"/>
      <c r="AH274" s="75"/>
      <c r="AI274" s="75"/>
      <c r="AJ274" s="75"/>
      <c r="AK274" s="76"/>
      <c r="AL274" s="76"/>
      <c r="AM274" s="107"/>
      <c r="AN274" s="123"/>
      <c r="AO274" s="123"/>
      <c r="AP274" s="123"/>
      <c r="AQ274" s="108"/>
      <c r="AR274" s="123"/>
      <c r="AS274" s="123"/>
      <c r="AT274" s="108"/>
      <c r="AU274" s="108"/>
      <c r="AV274" s="121"/>
      <c r="AW274" s="108"/>
    </row>
    <row r="275" spans="1:49">
      <c r="A275" s="490"/>
      <c r="B275" s="500"/>
      <c r="C275" s="447"/>
      <c r="D275" s="520"/>
      <c r="E275" s="447"/>
      <c r="F275" s="455"/>
      <c r="G275" s="50"/>
      <c r="H275" s="46" t="s">
        <v>14</v>
      </c>
      <c r="I275" s="75"/>
      <c r="J275" s="76"/>
      <c r="K275" s="76"/>
      <c r="L275" s="75"/>
      <c r="M275" s="75"/>
      <c r="N275" s="75"/>
      <c r="O275" s="75"/>
      <c r="P275" s="75"/>
      <c r="Q275" s="96"/>
      <c r="R275" s="96"/>
      <c r="S275" s="96"/>
      <c r="T275" s="75"/>
      <c r="U275" s="75"/>
      <c r="V275" s="75"/>
      <c r="W275" s="75"/>
      <c r="X275" s="76"/>
      <c r="Y275" s="76"/>
      <c r="Z275" s="75"/>
      <c r="AA275" s="75"/>
      <c r="AB275" s="75"/>
      <c r="AC275" s="75"/>
      <c r="AD275" s="75"/>
      <c r="AE275" s="76"/>
      <c r="AF275" s="76"/>
      <c r="AG275" s="75"/>
      <c r="AH275" s="75"/>
      <c r="AI275" s="75"/>
      <c r="AJ275" s="75"/>
      <c r="AK275" s="76"/>
      <c r="AL275" s="76"/>
      <c r="AM275" s="107"/>
      <c r="AN275" s="123"/>
      <c r="AO275" s="123"/>
      <c r="AP275" s="123"/>
      <c r="AQ275" s="108"/>
      <c r="AR275" s="123"/>
      <c r="AS275" s="123"/>
      <c r="AT275" s="108"/>
      <c r="AU275" s="108"/>
      <c r="AV275" s="121"/>
      <c r="AW275" s="108"/>
    </row>
    <row r="276" spans="1:49">
      <c r="A276" s="490"/>
      <c r="B276" s="500"/>
      <c r="C276" s="447"/>
      <c r="D276" s="520"/>
      <c r="E276" s="447"/>
      <c r="F276" s="455"/>
      <c r="G276" s="50"/>
      <c r="H276" s="48" t="s">
        <v>15</v>
      </c>
      <c r="I276" s="75"/>
      <c r="J276" s="76"/>
      <c r="K276" s="76"/>
      <c r="L276" s="75"/>
      <c r="M276" s="75"/>
      <c r="N276" s="75"/>
      <c r="O276" s="75"/>
      <c r="P276" s="75"/>
      <c r="Q276" s="96"/>
      <c r="R276" s="96"/>
      <c r="S276" s="96"/>
      <c r="T276" s="75"/>
      <c r="U276" s="75"/>
      <c r="V276" s="75"/>
      <c r="W276" s="75"/>
      <c r="X276" s="76"/>
      <c r="Y276" s="76"/>
      <c r="Z276" s="75"/>
      <c r="AA276" s="75"/>
      <c r="AB276" s="75"/>
      <c r="AC276" s="75"/>
      <c r="AD276" s="75"/>
      <c r="AE276" s="76"/>
      <c r="AF276" s="76"/>
      <c r="AG276" s="75"/>
      <c r="AH276" s="75"/>
      <c r="AI276" s="75"/>
      <c r="AJ276" s="75"/>
      <c r="AK276" s="76"/>
      <c r="AL276" s="76"/>
      <c r="AM276" s="107"/>
      <c r="AN276" s="123"/>
      <c r="AO276" s="123"/>
      <c r="AP276" s="123"/>
      <c r="AQ276" s="108"/>
      <c r="AR276" s="123"/>
      <c r="AS276" s="123"/>
      <c r="AT276" s="108"/>
      <c r="AU276" s="108"/>
      <c r="AV276" s="121"/>
      <c r="AW276" s="108"/>
    </row>
    <row r="277" spans="1:49">
      <c r="A277" s="490"/>
      <c r="B277" s="500"/>
      <c r="C277" s="447"/>
      <c r="D277" s="520"/>
      <c r="E277" s="447"/>
      <c r="F277" s="455"/>
      <c r="G277" s="50" t="s">
        <v>139</v>
      </c>
      <c r="H277" s="49" t="s">
        <v>92</v>
      </c>
      <c r="I277" s="75"/>
      <c r="J277" s="76"/>
      <c r="K277" s="76"/>
      <c r="L277" s="75"/>
      <c r="M277" s="75"/>
      <c r="N277" s="75"/>
      <c r="O277" s="75"/>
      <c r="P277" s="75"/>
      <c r="Q277" s="96"/>
      <c r="R277" s="96"/>
      <c r="S277" s="96"/>
      <c r="T277" s="75"/>
      <c r="U277" s="75"/>
      <c r="V277" s="75"/>
      <c r="W277" s="75"/>
      <c r="X277" s="76"/>
      <c r="Y277" s="76"/>
      <c r="Z277" s="75"/>
      <c r="AA277" s="75"/>
      <c r="AB277" s="75"/>
      <c r="AC277" s="75"/>
      <c r="AD277" s="75"/>
      <c r="AE277" s="76"/>
      <c r="AF277" s="76"/>
      <c r="AG277" s="75"/>
      <c r="AH277" s="75"/>
      <c r="AI277" s="75"/>
      <c r="AJ277" s="75"/>
      <c r="AK277" s="76"/>
      <c r="AL277" s="76"/>
      <c r="AM277" s="107"/>
      <c r="AN277" s="123"/>
      <c r="AO277" s="123"/>
      <c r="AP277" s="123"/>
      <c r="AQ277" s="108"/>
      <c r="AR277" s="123"/>
      <c r="AS277" s="123"/>
      <c r="AT277" s="108"/>
      <c r="AU277" s="108"/>
      <c r="AV277" s="121"/>
      <c r="AW277" s="108"/>
    </row>
    <row r="278" spans="1:49">
      <c r="A278" s="490"/>
      <c r="B278" s="500"/>
      <c r="C278" s="447"/>
      <c r="D278" s="520"/>
      <c r="E278" s="447"/>
      <c r="F278" s="455"/>
      <c r="G278" s="50"/>
      <c r="H278" s="46" t="s">
        <v>14</v>
      </c>
      <c r="I278" s="75"/>
      <c r="J278" s="76"/>
      <c r="K278" s="76"/>
      <c r="L278" s="75"/>
      <c r="M278" s="75"/>
      <c r="N278" s="75"/>
      <c r="O278" s="75"/>
      <c r="P278" s="75"/>
      <c r="Q278" s="96"/>
      <c r="R278" s="96"/>
      <c r="S278" s="96"/>
      <c r="T278" s="75"/>
      <c r="U278" s="75"/>
      <c r="V278" s="75"/>
      <c r="W278" s="75"/>
      <c r="X278" s="76"/>
      <c r="Y278" s="76"/>
      <c r="Z278" s="75"/>
      <c r="AA278" s="75"/>
      <c r="AB278" s="75"/>
      <c r="AC278" s="75"/>
      <c r="AD278" s="75"/>
      <c r="AE278" s="76"/>
      <c r="AF278" s="76"/>
      <c r="AG278" s="75"/>
      <c r="AH278" s="75"/>
      <c r="AI278" s="75"/>
      <c r="AJ278" s="75"/>
      <c r="AK278" s="76"/>
      <c r="AL278" s="76"/>
      <c r="AM278" s="107"/>
      <c r="AN278" s="123"/>
      <c r="AO278" s="123"/>
      <c r="AP278" s="123"/>
      <c r="AQ278" s="108"/>
      <c r="AR278" s="123"/>
      <c r="AS278" s="123"/>
      <c r="AT278" s="108"/>
      <c r="AU278" s="108"/>
      <c r="AV278" s="121"/>
      <c r="AW278" s="108"/>
    </row>
    <row r="279" spans="1:49">
      <c r="A279" s="490"/>
      <c r="B279" s="500"/>
      <c r="C279" s="447"/>
      <c r="D279" s="520"/>
      <c r="E279" s="447"/>
      <c r="F279" s="455"/>
      <c r="G279" s="50"/>
      <c r="H279" s="48" t="s">
        <v>15</v>
      </c>
      <c r="I279" s="75"/>
      <c r="J279" s="76"/>
      <c r="K279" s="76"/>
      <c r="L279" s="75"/>
      <c r="M279" s="75"/>
      <c r="N279" s="75"/>
      <c r="O279" s="75"/>
      <c r="P279" s="75"/>
      <c r="Q279" s="96"/>
      <c r="R279" s="96"/>
      <c r="S279" s="96"/>
      <c r="T279" s="75"/>
      <c r="U279" s="75"/>
      <c r="V279" s="75"/>
      <c r="W279" s="75"/>
      <c r="X279" s="76"/>
      <c r="Y279" s="76"/>
      <c r="Z279" s="75"/>
      <c r="AA279" s="75"/>
      <c r="AB279" s="75"/>
      <c r="AC279" s="75"/>
      <c r="AD279" s="75"/>
      <c r="AE279" s="76"/>
      <c r="AF279" s="76"/>
      <c r="AG279" s="75"/>
      <c r="AH279" s="75"/>
      <c r="AI279" s="75"/>
      <c r="AJ279" s="75"/>
      <c r="AK279" s="76"/>
      <c r="AL279" s="76"/>
      <c r="AM279" s="107"/>
      <c r="AN279" s="123"/>
      <c r="AO279" s="123"/>
      <c r="AP279" s="123"/>
      <c r="AQ279" s="108"/>
      <c r="AR279" s="123"/>
      <c r="AS279" s="123"/>
      <c r="AT279" s="108"/>
      <c r="AU279" s="108"/>
      <c r="AV279" s="121"/>
      <c r="AW279" s="108"/>
    </row>
    <row r="280" spans="1:49">
      <c r="A280" s="490"/>
      <c r="B280" s="500"/>
      <c r="C280" s="447"/>
      <c r="D280" s="520"/>
      <c r="E280" s="447"/>
      <c r="F280" s="455"/>
      <c r="G280" s="50" t="s">
        <v>140</v>
      </c>
      <c r="H280" s="46" t="s">
        <v>141</v>
      </c>
      <c r="I280" s="75">
        <f>$P$308*$D$262/5</f>
        <v>7400</v>
      </c>
      <c r="J280" s="76"/>
      <c r="K280" s="76"/>
      <c r="L280" s="75">
        <f t="shared" ref="L280:P280" si="49">$P$308*$D$262/5</f>
        <v>7400</v>
      </c>
      <c r="M280" s="75">
        <f t="shared" si="49"/>
        <v>7400</v>
      </c>
      <c r="N280" s="75">
        <f t="shared" si="49"/>
        <v>7400</v>
      </c>
      <c r="O280" s="75">
        <f t="shared" si="49"/>
        <v>7400</v>
      </c>
      <c r="P280" s="75">
        <f t="shared" si="49"/>
        <v>7400</v>
      </c>
      <c r="Q280" s="96"/>
      <c r="R280" s="96"/>
      <c r="S280" s="96"/>
      <c r="T280" s="75">
        <f t="shared" ref="T280:W280" si="50">$P$308*$D$262/5</f>
        <v>7400</v>
      </c>
      <c r="U280" s="75">
        <f t="shared" si="50"/>
        <v>7400</v>
      </c>
      <c r="V280" s="75">
        <f t="shared" si="50"/>
        <v>7400</v>
      </c>
      <c r="W280" s="75">
        <f t="shared" si="50"/>
        <v>7400</v>
      </c>
      <c r="X280" s="76"/>
      <c r="Y280" s="76"/>
      <c r="Z280" s="75">
        <f t="shared" ref="Z280:AD280" si="51">$P$308*$D$262/5</f>
        <v>7400</v>
      </c>
      <c r="AA280" s="75">
        <f t="shared" si="51"/>
        <v>7400</v>
      </c>
      <c r="AB280" s="75">
        <f t="shared" si="51"/>
        <v>7400</v>
      </c>
      <c r="AC280" s="75">
        <f t="shared" si="51"/>
        <v>7400</v>
      </c>
      <c r="AD280" s="75">
        <f t="shared" si="51"/>
        <v>7400</v>
      </c>
      <c r="AE280" s="76"/>
      <c r="AF280" s="76"/>
      <c r="AG280" s="75">
        <f t="shared" ref="AG280:AJ280" si="52">$P$308*$D$262/5</f>
        <v>7400</v>
      </c>
      <c r="AH280" s="75">
        <f t="shared" si="52"/>
        <v>7400</v>
      </c>
      <c r="AI280" s="75">
        <f t="shared" si="52"/>
        <v>7400</v>
      </c>
      <c r="AJ280" s="75">
        <f t="shared" si="52"/>
        <v>7400</v>
      </c>
      <c r="AK280" s="76"/>
      <c r="AL280" s="76"/>
      <c r="AM280" s="107"/>
      <c r="AN280" s="123"/>
      <c r="AO280" s="123"/>
      <c r="AP280" s="123"/>
      <c r="AQ280" s="108"/>
      <c r="AR280" s="123"/>
      <c r="AS280" s="123"/>
      <c r="AT280" s="108"/>
      <c r="AU280" s="108"/>
      <c r="AV280" s="121"/>
      <c r="AW280" s="108"/>
    </row>
    <row r="281" spans="1:49">
      <c r="A281" s="490"/>
      <c r="B281" s="500"/>
      <c r="C281" s="447"/>
      <c r="D281" s="520"/>
      <c r="E281" s="447"/>
      <c r="F281" s="455"/>
      <c r="G281" s="50"/>
      <c r="H281" s="46" t="s">
        <v>96</v>
      </c>
      <c r="I281" s="75"/>
      <c r="J281" s="76"/>
      <c r="K281" s="76"/>
      <c r="L281" s="75"/>
      <c r="M281" s="75"/>
      <c r="N281" s="75"/>
      <c r="O281" s="75"/>
      <c r="P281" s="75"/>
      <c r="Q281" s="96"/>
      <c r="R281" s="96"/>
      <c r="S281" s="96"/>
      <c r="T281" s="75"/>
      <c r="U281" s="75"/>
      <c r="V281" s="75"/>
      <c r="W281" s="75"/>
      <c r="X281" s="76"/>
      <c r="Y281" s="76"/>
      <c r="Z281" s="75"/>
      <c r="AA281" s="75"/>
      <c r="AB281" s="75"/>
      <c r="AC281" s="75"/>
      <c r="AD281" s="75"/>
      <c r="AE281" s="76"/>
      <c r="AF281" s="76"/>
      <c r="AG281" s="75"/>
      <c r="AH281" s="75"/>
      <c r="AI281" s="75"/>
      <c r="AJ281" s="75"/>
      <c r="AK281" s="76"/>
      <c r="AL281" s="76"/>
      <c r="AM281" s="107"/>
      <c r="AN281" s="123"/>
      <c r="AO281" s="123"/>
      <c r="AP281" s="123"/>
      <c r="AQ281" s="108"/>
      <c r="AR281" s="123"/>
      <c r="AS281" s="123"/>
      <c r="AT281" s="108"/>
      <c r="AU281" s="108"/>
      <c r="AV281" s="121"/>
      <c r="AW281" s="108"/>
    </row>
    <row r="282" spans="1:49">
      <c r="A282" s="490"/>
      <c r="B282" s="500"/>
      <c r="C282" s="447"/>
      <c r="D282" s="520"/>
      <c r="E282" s="447"/>
      <c r="F282" s="455"/>
      <c r="G282" s="50"/>
      <c r="H282" s="48" t="s">
        <v>15</v>
      </c>
      <c r="I282" s="75"/>
      <c r="J282" s="76"/>
      <c r="K282" s="76"/>
      <c r="L282" s="75"/>
      <c r="M282" s="75"/>
      <c r="N282" s="75"/>
      <c r="O282" s="75"/>
      <c r="P282" s="75"/>
      <c r="Q282" s="96"/>
      <c r="R282" s="96"/>
      <c r="S282" s="96"/>
      <c r="T282" s="75"/>
      <c r="U282" s="75"/>
      <c r="V282" s="75"/>
      <c r="W282" s="75"/>
      <c r="X282" s="76"/>
      <c r="Y282" s="76"/>
      <c r="Z282" s="75"/>
      <c r="AA282" s="75"/>
      <c r="AB282" s="75"/>
      <c r="AC282" s="75"/>
      <c r="AD282" s="75"/>
      <c r="AE282" s="76"/>
      <c r="AF282" s="76"/>
      <c r="AG282" s="75"/>
      <c r="AH282" s="75"/>
      <c r="AI282" s="75"/>
      <c r="AJ282" s="75"/>
      <c r="AK282" s="76"/>
      <c r="AL282" s="76"/>
      <c r="AM282" s="107"/>
      <c r="AN282" s="123"/>
      <c r="AO282" s="123"/>
      <c r="AP282" s="123"/>
      <c r="AQ282" s="108"/>
      <c r="AR282" s="123"/>
      <c r="AS282" s="123"/>
      <c r="AT282" s="108"/>
      <c r="AU282" s="108"/>
      <c r="AV282" s="121"/>
      <c r="AW282" s="108"/>
    </row>
    <row r="283" spans="1:49">
      <c r="A283" s="490"/>
      <c r="B283" s="500"/>
      <c r="C283" s="447"/>
      <c r="D283" s="520"/>
      <c r="E283" s="447"/>
      <c r="F283" s="455"/>
      <c r="G283" s="50" t="s">
        <v>94</v>
      </c>
      <c r="H283" s="46" t="s">
        <v>142</v>
      </c>
      <c r="I283" s="75">
        <f>$P$308*$D$262/5</f>
        <v>7400</v>
      </c>
      <c r="J283" s="76"/>
      <c r="K283" s="76"/>
      <c r="L283" s="75">
        <f t="shared" ref="L283:P283" si="53">$P$308*$D$262/5</f>
        <v>7400</v>
      </c>
      <c r="M283" s="75">
        <f t="shared" si="53"/>
        <v>7400</v>
      </c>
      <c r="N283" s="75">
        <f t="shared" si="53"/>
        <v>7400</v>
      </c>
      <c r="O283" s="75">
        <f t="shared" si="53"/>
        <v>7400</v>
      </c>
      <c r="P283" s="75">
        <f t="shared" si="53"/>
        <v>7400</v>
      </c>
      <c r="Q283" s="96"/>
      <c r="R283" s="96"/>
      <c r="S283" s="96"/>
      <c r="T283" s="75">
        <f t="shared" ref="T283:W283" si="54">$P$308*$D$262/5</f>
        <v>7400</v>
      </c>
      <c r="U283" s="75">
        <f t="shared" si="54"/>
        <v>7400</v>
      </c>
      <c r="V283" s="75">
        <f t="shared" si="54"/>
        <v>7400</v>
      </c>
      <c r="W283" s="75">
        <f t="shared" si="54"/>
        <v>7400</v>
      </c>
      <c r="X283" s="76"/>
      <c r="Y283" s="76"/>
      <c r="Z283" s="75">
        <f t="shared" ref="Z283:AD283" si="55">$P$308*$D$262/5</f>
        <v>7400</v>
      </c>
      <c r="AA283" s="75">
        <f t="shared" si="55"/>
        <v>7400</v>
      </c>
      <c r="AB283" s="75">
        <f t="shared" si="55"/>
        <v>7400</v>
      </c>
      <c r="AC283" s="75">
        <f t="shared" si="55"/>
        <v>7400</v>
      </c>
      <c r="AD283" s="75">
        <f t="shared" si="55"/>
        <v>7400</v>
      </c>
      <c r="AE283" s="76"/>
      <c r="AF283" s="76"/>
      <c r="AG283" s="75">
        <f t="shared" ref="AG283:AJ283" si="56">$P$308*$D$262/5</f>
        <v>7400</v>
      </c>
      <c r="AH283" s="75">
        <f t="shared" si="56"/>
        <v>7400</v>
      </c>
      <c r="AI283" s="75">
        <f t="shared" si="56"/>
        <v>7400</v>
      </c>
      <c r="AJ283" s="75">
        <f t="shared" si="56"/>
        <v>7400</v>
      </c>
      <c r="AK283" s="76"/>
      <c r="AL283" s="76"/>
      <c r="AM283" s="107"/>
      <c r="AN283" s="123"/>
      <c r="AO283" s="123"/>
      <c r="AP283" s="123"/>
      <c r="AQ283" s="108"/>
      <c r="AR283" s="123"/>
      <c r="AS283" s="123"/>
      <c r="AT283" s="108"/>
      <c r="AU283" s="108"/>
      <c r="AV283" s="121"/>
      <c r="AW283" s="108"/>
    </row>
    <row r="284" spans="1:49">
      <c r="A284" s="490"/>
      <c r="B284" s="500"/>
      <c r="C284" s="447"/>
      <c r="D284" s="520"/>
      <c r="E284" s="447"/>
      <c r="F284" s="455"/>
      <c r="G284" s="50"/>
      <c r="H284" s="46" t="s">
        <v>96</v>
      </c>
      <c r="I284" s="75"/>
      <c r="J284" s="76"/>
      <c r="K284" s="76"/>
      <c r="L284" s="75"/>
      <c r="M284" s="75"/>
      <c r="N284" s="75"/>
      <c r="O284" s="75"/>
      <c r="P284" s="75"/>
      <c r="Q284" s="96"/>
      <c r="R284" s="96"/>
      <c r="S284" s="96"/>
      <c r="T284" s="75"/>
      <c r="U284" s="75"/>
      <c r="V284" s="75"/>
      <c r="W284" s="75"/>
      <c r="X284" s="76"/>
      <c r="Y284" s="76"/>
      <c r="Z284" s="75"/>
      <c r="AA284" s="75"/>
      <c r="AB284" s="75"/>
      <c r="AC284" s="75"/>
      <c r="AD284" s="75"/>
      <c r="AE284" s="76"/>
      <c r="AF284" s="76"/>
      <c r="AG284" s="75"/>
      <c r="AH284" s="75"/>
      <c r="AI284" s="75"/>
      <c r="AJ284" s="75"/>
      <c r="AK284" s="76"/>
      <c r="AL284" s="76"/>
      <c r="AM284" s="107"/>
      <c r="AN284" s="123"/>
      <c r="AO284" s="123"/>
      <c r="AP284" s="123"/>
      <c r="AQ284" s="108"/>
      <c r="AR284" s="123"/>
      <c r="AS284" s="123"/>
      <c r="AT284" s="108"/>
      <c r="AU284" s="108"/>
      <c r="AV284" s="121"/>
      <c r="AW284" s="108"/>
    </row>
    <row r="285" spans="1:49">
      <c r="A285" s="490"/>
      <c r="B285" s="500"/>
      <c r="C285" s="447"/>
      <c r="D285" s="520"/>
      <c r="E285" s="447"/>
      <c r="F285" s="455"/>
      <c r="G285" s="50"/>
      <c r="H285" s="48" t="s">
        <v>15</v>
      </c>
      <c r="I285" s="75"/>
      <c r="J285" s="76"/>
      <c r="K285" s="76"/>
      <c r="L285" s="75"/>
      <c r="M285" s="75"/>
      <c r="N285" s="75"/>
      <c r="O285" s="75"/>
      <c r="P285" s="75"/>
      <c r="Q285" s="96"/>
      <c r="R285" s="96"/>
      <c r="S285" s="96"/>
      <c r="T285" s="75"/>
      <c r="U285" s="75"/>
      <c r="V285" s="75"/>
      <c r="W285" s="75"/>
      <c r="X285" s="76"/>
      <c r="Y285" s="76"/>
      <c r="Z285" s="75"/>
      <c r="AA285" s="75"/>
      <c r="AB285" s="75"/>
      <c r="AC285" s="75"/>
      <c r="AD285" s="75"/>
      <c r="AE285" s="76"/>
      <c r="AF285" s="76"/>
      <c r="AG285" s="75"/>
      <c r="AH285" s="75"/>
      <c r="AI285" s="75"/>
      <c r="AJ285" s="75"/>
      <c r="AK285" s="76"/>
      <c r="AL285" s="76"/>
      <c r="AM285" s="107"/>
      <c r="AN285" s="123"/>
      <c r="AO285" s="123"/>
      <c r="AP285" s="123"/>
      <c r="AQ285" s="108"/>
      <c r="AR285" s="123"/>
      <c r="AS285" s="123"/>
      <c r="AT285" s="108"/>
      <c r="AU285" s="108"/>
      <c r="AV285" s="121"/>
      <c r="AW285" s="108"/>
    </row>
    <row r="286" spans="1:49">
      <c r="A286" s="490"/>
      <c r="B286" s="500"/>
      <c r="C286" s="447"/>
      <c r="D286" s="520"/>
      <c r="E286" s="447"/>
      <c r="F286" s="455"/>
      <c r="G286" s="50" t="s">
        <v>143</v>
      </c>
      <c r="H286" s="46" t="s">
        <v>144</v>
      </c>
      <c r="I286" s="75">
        <f>($P$308*$D$262/5)*2</f>
        <v>14800</v>
      </c>
      <c r="J286" s="76"/>
      <c r="K286" s="76"/>
      <c r="L286" s="75">
        <f t="shared" ref="L286:P286" si="57">($P$308*$D$262/5)*2</f>
        <v>14800</v>
      </c>
      <c r="M286" s="75">
        <f t="shared" si="57"/>
        <v>14800</v>
      </c>
      <c r="N286" s="75">
        <f t="shared" si="57"/>
        <v>14800</v>
      </c>
      <c r="O286" s="75">
        <f t="shared" si="57"/>
        <v>14800</v>
      </c>
      <c r="P286" s="75">
        <f t="shared" si="57"/>
        <v>14800</v>
      </c>
      <c r="Q286" s="96"/>
      <c r="R286" s="96"/>
      <c r="S286" s="96"/>
      <c r="T286" s="75">
        <f t="shared" ref="T286:W286" si="58">($P$308*$D$262/5)*2</f>
        <v>14800</v>
      </c>
      <c r="U286" s="75">
        <f t="shared" si="58"/>
        <v>14800</v>
      </c>
      <c r="V286" s="75">
        <f t="shared" si="58"/>
        <v>14800</v>
      </c>
      <c r="W286" s="75">
        <f t="shared" si="58"/>
        <v>14800</v>
      </c>
      <c r="X286" s="76"/>
      <c r="Y286" s="76"/>
      <c r="Z286" s="75">
        <f t="shared" ref="Z286:AD286" si="59">($P$308*$D$262/5)*2</f>
        <v>14800</v>
      </c>
      <c r="AA286" s="75">
        <f t="shared" si="59"/>
        <v>14800</v>
      </c>
      <c r="AB286" s="75">
        <f t="shared" si="59"/>
        <v>14800</v>
      </c>
      <c r="AC286" s="75">
        <f t="shared" si="59"/>
        <v>14800</v>
      </c>
      <c r="AD286" s="75">
        <f t="shared" si="59"/>
        <v>14800</v>
      </c>
      <c r="AE286" s="76"/>
      <c r="AF286" s="76"/>
      <c r="AG286" s="75">
        <f t="shared" ref="AG286:AJ286" si="60">($P$308*$D$262/5)*2</f>
        <v>14800</v>
      </c>
      <c r="AH286" s="75">
        <f t="shared" si="60"/>
        <v>14800</v>
      </c>
      <c r="AI286" s="75">
        <f t="shared" si="60"/>
        <v>14800</v>
      </c>
      <c r="AJ286" s="75">
        <f t="shared" si="60"/>
        <v>14800</v>
      </c>
      <c r="AK286" s="76"/>
      <c r="AL286" s="76"/>
      <c r="AM286" s="107"/>
      <c r="AN286" s="123"/>
      <c r="AO286" s="123"/>
      <c r="AP286" s="123"/>
      <c r="AQ286" s="108"/>
      <c r="AR286" s="123"/>
      <c r="AS286" s="123"/>
      <c r="AT286" s="108"/>
      <c r="AU286" s="108"/>
      <c r="AV286" s="121"/>
      <c r="AW286" s="108"/>
    </row>
    <row r="287" spans="1:49">
      <c r="A287" s="490"/>
      <c r="B287" s="500"/>
      <c r="C287" s="447"/>
      <c r="D287" s="520"/>
      <c r="E287" s="447"/>
      <c r="F287" s="455"/>
      <c r="G287" s="50"/>
      <c r="H287" s="46" t="s">
        <v>96</v>
      </c>
      <c r="I287" s="75"/>
      <c r="J287" s="76"/>
      <c r="K287" s="76"/>
      <c r="L287" s="75"/>
      <c r="M287" s="75"/>
      <c r="N287" s="75"/>
      <c r="O287" s="75"/>
      <c r="P287" s="75"/>
      <c r="Q287" s="96"/>
      <c r="R287" s="96"/>
      <c r="S287" s="96"/>
      <c r="T287" s="75"/>
      <c r="U287" s="75"/>
      <c r="V287" s="75"/>
      <c r="W287" s="75"/>
      <c r="X287" s="76"/>
      <c r="Y287" s="76"/>
      <c r="Z287" s="75"/>
      <c r="AA287" s="75"/>
      <c r="AB287" s="75"/>
      <c r="AC287" s="75"/>
      <c r="AD287" s="75"/>
      <c r="AE287" s="76"/>
      <c r="AF287" s="76"/>
      <c r="AG287" s="75"/>
      <c r="AH287" s="75"/>
      <c r="AI287" s="75"/>
      <c r="AJ287" s="75"/>
      <c r="AK287" s="76"/>
      <c r="AL287" s="76"/>
      <c r="AM287" s="107"/>
      <c r="AN287" s="123"/>
      <c r="AO287" s="123"/>
      <c r="AP287" s="123"/>
      <c r="AQ287" s="108"/>
      <c r="AR287" s="123"/>
      <c r="AS287" s="123"/>
      <c r="AT287" s="108"/>
      <c r="AU287" s="108"/>
      <c r="AV287" s="121"/>
      <c r="AW287" s="108"/>
    </row>
    <row r="288" spans="1:49">
      <c r="A288" s="490"/>
      <c r="B288" s="500"/>
      <c r="C288" s="447"/>
      <c r="D288" s="520"/>
      <c r="E288" s="447"/>
      <c r="F288" s="455"/>
      <c r="G288" s="50"/>
      <c r="H288" s="48" t="s">
        <v>15</v>
      </c>
      <c r="I288" s="75"/>
      <c r="J288" s="76"/>
      <c r="K288" s="76"/>
      <c r="L288" s="75"/>
      <c r="M288" s="75"/>
      <c r="N288" s="75"/>
      <c r="O288" s="75"/>
      <c r="P288" s="75"/>
      <c r="Q288" s="96"/>
      <c r="R288" s="96"/>
      <c r="S288" s="96"/>
      <c r="T288" s="75"/>
      <c r="U288" s="75"/>
      <c r="V288" s="75"/>
      <c r="W288" s="75"/>
      <c r="X288" s="76"/>
      <c r="Y288" s="76"/>
      <c r="Z288" s="75"/>
      <c r="AA288" s="75"/>
      <c r="AB288" s="75"/>
      <c r="AC288" s="75"/>
      <c r="AD288" s="75"/>
      <c r="AE288" s="76"/>
      <c r="AF288" s="76"/>
      <c r="AG288" s="75"/>
      <c r="AH288" s="75"/>
      <c r="AI288" s="75"/>
      <c r="AJ288" s="75"/>
      <c r="AK288" s="76"/>
      <c r="AL288" s="76"/>
      <c r="AM288" s="107"/>
      <c r="AN288" s="123"/>
      <c r="AO288" s="123"/>
      <c r="AP288" s="123"/>
      <c r="AQ288" s="108"/>
      <c r="AR288" s="123"/>
      <c r="AS288" s="123"/>
      <c r="AT288" s="108"/>
      <c r="AU288" s="108"/>
      <c r="AV288" s="121"/>
      <c r="AW288" s="108"/>
    </row>
    <row r="289" spans="1:49">
      <c r="A289" s="490"/>
      <c r="B289" s="500"/>
      <c r="C289" s="447"/>
      <c r="D289" s="520"/>
      <c r="E289" s="447"/>
      <c r="F289" s="455"/>
      <c r="G289" s="50" t="s">
        <v>145</v>
      </c>
      <c r="H289" s="46" t="s">
        <v>146</v>
      </c>
      <c r="I289" s="75">
        <f>$P$308*$D$262/5</f>
        <v>7400</v>
      </c>
      <c r="J289" s="76"/>
      <c r="K289" s="76"/>
      <c r="L289" s="75">
        <f t="shared" ref="L289:P289" si="61">$P$308*$D$262/5</f>
        <v>7400</v>
      </c>
      <c r="M289" s="75">
        <f t="shared" si="61"/>
        <v>7400</v>
      </c>
      <c r="N289" s="75">
        <f t="shared" si="61"/>
        <v>7400</v>
      </c>
      <c r="O289" s="75">
        <f t="shared" si="61"/>
        <v>7400</v>
      </c>
      <c r="P289" s="75">
        <f t="shared" si="61"/>
        <v>7400</v>
      </c>
      <c r="Q289" s="96"/>
      <c r="R289" s="96"/>
      <c r="S289" s="96"/>
      <c r="T289" s="75">
        <f t="shared" ref="T289:W289" si="62">$P$308*$D$262/5</f>
        <v>7400</v>
      </c>
      <c r="U289" s="75">
        <f t="shared" si="62"/>
        <v>7400</v>
      </c>
      <c r="V289" s="75">
        <f t="shared" si="62"/>
        <v>7400</v>
      </c>
      <c r="W289" s="75">
        <f t="shared" si="62"/>
        <v>7400</v>
      </c>
      <c r="X289" s="76"/>
      <c r="Y289" s="76"/>
      <c r="Z289" s="75">
        <f t="shared" ref="Z289:AD289" si="63">$P$308*$D$262/5</f>
        <v>7400</v>
      </c>
      <c r="AA289" s="75">
        <f t="shared" si="63"/>
        <v>7400</v>
      </c>
      <c r="AB289" s="75">
        <f t="shared" si="63"/>
        <v>7400</v>
      </c>
      <c r="AC289" s="75">
        <f t="shared" si="63"/>
        <v>7400</v>
      </c>
      <c r="AD289" s="75">
        <f t="shared" si="63"/>
        <v>7400</v>
      </c>
      <c r="AE289" s="76"/>
      <c r="AF289" s="76"/>
      <c r="AG289" s="75">
        <f t="shared" ref="AG289:AJ289" si="64">$P$308*$D$262/5</f>
        <v>7400</v>
      </c>
      <c r="AH289" s="75">
        <f t="shared" si="64"/>
        <v>7400</v>
      </c>
      <c r="AI289" s="75">
        <f t="shared" si="64"/>
        <v>7400</v>
      </c>
      <c r="AJ289" s="75">
        <f t="shared" si="64"/>
        <v>7400</v>
      </c>
      <c r="AK289" s="76"/>
      <c r="AL289" s="76"/>
      <c r="AM289" s="107"/>
      <c r="AN289" s="123"/>
      <c r="AO289" s="123"/>
      <c r="AP289" s="123"/>
      <c r="AQ289" s="108"/>
      <c r="AR289" s="123"/>
      <c r="AS289" s="123"/>
      <c r="AT289" s="108"/>
      <c r="AU289" s="108"/>
      <c r="AV289" s="121"/>
      <c r="AW289" s="108"/>
    </row>
    <row r="290" spans="1:49">
      <c r="A290" s="490"/>
      <c r="B290" s="500"/>
      <c r="C290" s="447"/>
      <c r="D290" s="520"/>
      <c r="E290" s="447"/>
      <c r="F290" s="455"/>
      <c r="G290" s="50"/>
      <c r="H290" s="46" t="s">
        <v>96</v>
      </c>
      <c r="I290" s="75"/>
      <c r="J290" s="76"/>
      <c r="K290" s="76"/>
      <c r="L290" s="75"/>
      <c r="M290" s="75"/>
      <c r="N290" s="75"/>
      <c r="O290" s="75"/>
      <c r="P290" s="75"/>
      <c r="Q290" s="96"/>
      <c r="R290" s="96"/>
      <c r="S290" s="96"/>
      <c r="T290" s="75"/>
      <c r="U290" s="75"/>
      <c r="V290" s="75"/>
      <c r="W290" s="75"/>
      <c r="X290" s="76"/>
      <c r="Y290" s="76"/>
      <c r="Z290" s="75"/>
      <c r="AA290" s="75"/>
      <c r="AB290" s="75"/>
      <c r="AC290" s="75"/>
      <c r="AD290" s="75"/>
      <c r="AE290" s="76"/>
      <c r="AF290" s="76"/>
      <c r="AG290" s="75"/>
      <c r="AH290" s="75"/>
      <c r="AI290" s="75"/>
      <c r="AJ290" s="75"/>
      <c r="AK290" s="76"/>
      <c r="AL290" s="76"/>
      <c r="AM290" s="107"/>
      <c r="AN290" s="123"/>
      <c r="AO290" s="123"/>
      <c r="AP290" s="123"/>
      <c r="AQ290" s="108"/>
      <c r="AR290" s="123"/>
      <c r="AS290" s="123"/>
      <c r="AT290" s="108"/>
      <c r="AU290" s="108"/>
      <c r="AV290" s="121"/>
      <c r="AW290" s="108"/>
    </row>
    <row r="291" spans="1:49">
      <c r="A291" s="490"/>
      <c r="B291" s="500"/>
      <c r="C291" s="447"/>
      <c r="D291" s="520"/>
      <c r="E291" s="447"/>
      <c r="F291" s="455"/>
      <c r="G291" s="50"/>
      <c r="H291" s="48" t="s">
        <v>15</v>
      </c>
      <c r="I291" s="75"/>
      <c r="J291" s="76"/>
      <c r="K291" s="76"/>
      <c r="L291" s="75"/>
      <c r="M291" s="75"/>
      <c r="N291" s="75"/>
      <c r="O291" s="75"/>
      <c r="P291" s="75"/>
      <c r="Q291" s="96"/>
      <c r="R291" s="96"/>
      <c r="S291" s="96"/>
      <c r="T291" s="75"/>
      <c r="U291" s="75"/>
      <c r="V291" s="75"/>
      <c r="W291" s="75"/>
      <c r="X291" s="76"/>
      <c r="Y291" s="76"/>
      <c r="Z291" s="75"/>
      <c r="AA291" s="75"/>
      <c r="AB291" s="75"/>
      <c r="AC291" s="75"/>
      <c r="AD291" s="75"/>
      <c r="AE291" s="76"/>
      <c r="AF291" s="76"/>
      <c r="AG291" s="75"/>
      <c r="AH291" s="75"/>
      <c r="AI291" s="75"/>
      <c r="AJ291" s="75"/>
      <c r="AK291" s="76"/>
      <c r="AL291" s="76"/>
      <c r="AM291" s="107"/>
      <c r="AN291" s="123"/>
      <c r="AO291" s="123"/>
      <c r="AP291" s="123"/>
      <c r="AQ291" s="108"/>
      <c r="AR291" s="123"/>
      <c r="AS291" s="123"/>
      <c r="AT291" s="108"/>
      <c r="AU291" s="108"/>
      <c r="AV291" s="121"/>
      <c r="AW291" s="108"/>
    </row>
    <row r="292" spans="1:49">
      <c r="A292" s="490"/>
      <c r="B292" s="500"/>
      <c r="C292" s="447"/>
      <c r="D292" s="520"/>
      <c r="E292" s="447"/>
      <c r="F292" s="455"/>
      <c r="G292" s="47" t="s">
        <v>25</v>
      </c>
      <c r="H292" s="46" t="s">
        <v>147</v>
      </c>
      <c r="I292" s="75">
        <f>$P$308*$D$262/5</f>
        <v>7400</v>
      </c>
      <c r="J292" s="76"/>
      <c r="K292" s="76"/>
      <c r="L292" s="75">
        <f t="shared" ref="L292:P292" si="65">$P$308*$D$262/5</f>
        <v>7400</v>
      </c>
      <c r="M292" s="75">
        <f t="shared" si="65"/>
        <v>7400</v>
      </c>
      <c r="N292" s="75">
        <f t="shared" si="65"/>
        <v>7400</v>
      </c>
      <c r="O292" s="75">
        <f t="shared" si="65"/>
        <v>7400</v>
      </c>
      <c r="P292" s="75">
        <f t="shared" si="65"/>
        <v>7400</v>
      </c>
      <c r="Q292" s="96"/>
      <c r="R292" s="96"/>
      <c r="S292" s="96"/>
      <c r="T292" s="75">
        <f t="shared" ref="T292:W292" si="66">$P$308*$D$262/5</f>
        <v>7400</v>
      </c>
      <c r="U292" s="75">
        <f t="shared" si="66"/>
        <v>7400</v>
      </c>
      <c r="V292" s="75">
        <f t="shared" si="66"/>
        <v>7400</v>
      </c>
      <c r="W292" s="75">
        <f t="shared" si="66"/>
        <v>7400</v>
      </c>
      <c r="X292" s="76"/>
      <c r="Y292" s="76"/>
      <c r="Z292" s="75">
        <f t="shared" ref="Z292:AD292" si="67">$P$308*$D$262/5</f>
        <v>7400</v>
      </c>
      <c r="AA292" s="75">
        <f t="shared" si="67"/>
        <v>7400</v>
      </c>
      <c r="AB292" s="75">
        <f t="shared" si="67"/>
        <v>7400</v>
      </c>
      <c r="AC292" s="75">
        <f t="shared" si="67"/>
        <v>7400</v>
      </c>
      <c r="AD292" s="75">
        <f t="shared" si="67"/>
        <v>7400</v>
      </c>
      <c r="AE292" s="76"/>
      <c r="AF292" s="76"/>
      <c r="AG292" s="75">
        <f t="shared" ref="AG292:AJ292" si="68">$P$308*$D$262/5</f>
        <v>7400</v>
      </c>
      <c r="AH292" s="75">
        <f t="shared" si="68"/>
        <v>7400</v>
      </c>
      <c r="AI292" s="75">
        <f t="shared" si="68"/>
        <v>7400</v>
      </c>
      <c r="AJ292" s="75">
        <f t="shared" si="68"/>
        <v>7400</v>
      </c>
      <c r="AK292" s="76"/>
      <c r="AL292" s="76"/>
      <c r="AM292" s="107"/>
      <c r="AN292" s="123"/>
      <c r="AO292" s="123"/>
      <c r="AP292" s="123"/>
      <c r="AQ292" s="108"/>
      <c r="AR292" s="123"/>
      <c r="AS292" s="123"/>
      <c r="AT292" s="108"/>
      <c r="AU292" s="108"/>
      <c r="AV292" s="121"/>
      <c r="AW292" s="108"/>
    </row>
    <row r="293" spans="1:49">
      <c r="A293" s="490"/>
      <c r="B293" s="500"/>
      <c r="C293" s="447"/>
      <c r="D293" s="520"/>
      <c r="E293" s="447"/>
      <c r="F293" s="455"/>
      <c r="G293" s="47"/>
      <c r="H293" s="48" t="s">
        <v>15</v>
      </c>
      <c r="I293" s="75"/>
      <c r="J293" s="76"/>
      <c r="K293" s="76"/>
      <c r="L293" s="75"/>
      <c r="M293" s="75"/>
      <c r="N293" s="75"/>
      <c r="O293" s="75"/>
      <c r="P293" s="75"/>
      <c r="Q293" s="96"/>
      <c r="R293" s="96"/>
      <c r="S293" s="96"/>
      <c r="T293" s="75"/>
      <c r="U293" s="75"/>
      <c r="V293" s="75"/>
      <c r="W293" s="75"/>
      <c r="X293" s="76"/>
      <c r="Y293" s="76"/>
      <c r="Z293" s="75"/>
      <c r="AA293" s="75"/>
      <c r="AB293" s="75"/>
      <c r="AC293" s="75"/>
      <c r="AD293" s="75"/>
      <c r="AE293" s="76"/>
      <c r="AF293" s="76"/>
      <c r="AG293" s="75"/>
      <c r="AH293" s="75"/>
      <c r="AI293" s="75"/>
      <c r="AJ293" s="75"/>
      <c r="AK293" s="76"/>
      <c r="AL293" s="76"/>
      <c r="AM293" s="107"/>
      <c r="AN293" s="123"/>
      <c r="AO293" s="123"/>
      <c r="AP293" s="123"/>
      <c r="AQ293" s="108"/>
      <c r="AR293" s="123"/>
      <c r="AS293" s="123"/>
      <c r="AT293" s="108"/>
      <c r="AU293" s="108"/>
      <c r="AV293" s="121"/>
      <c r="AW293" s="108"/>
    </row>
    <row r="294" spans="1:49">
      <c r="A294" s="490"/>
      <c r="B294" s="500"/>
      <c r="C294" s="447"/>
      <c r="D294" s="520"/>
      <c r="E294" s="447"/>
      <c r="F294" s="455"/>
      <c r="G294" s="47" t="s">
        <v>28</v>
      </c>
      <c r="H294" s="46" t="s">
        <v>148</v>
      </c>
      <c r="I294" s="75">
        <f>$P$308*$D$262/5</f>
        <v>7400</v>
      </c>
      <c r="J294" s="76"/>
      <c r="K294" s="76"/>
      <c r="L294" s="75">
        <f t="shared" ref="L294:P294" si="69">$P$308*$D$262/5</f>
        <v>7400</v>
      </c>
      <c r="M294" s="75">
        <f t="shared" si="69"/>
        <v>7400</v>
      </c>
      <c r="N294" s="75">
        <f t="shared" si="69"/>
        <v>7400</v>
      </c>
      <c r="O294" s="75">
        <f t="shared" si="69"/>
        <v>7400</v>
      </c>
      <c r="P294" s="75">
        <f t="shared" si="69"/>
        <v>7400</v>
      </c>
      <c r="Q294" s="96"/>
      <c r="R294" s="96"/>
      <c r="S294" s="96"/>
      <c r="T294" s="75">
        <f t="shared" ref="T294:W294" si="70">$P$308*$D$262/5</f>
        <v>7400</v>
      </c>
      <c r="U294" s="75">
        <f t="shared" si="70"/>
        <v>7400</v>
      </c>
      <c r="V294" s="75">
        <f t="shared" si="70"/>
        <v>7400</v>
      </c>
      <c r="W294" s="75">
        <f t="shared" si="70"/>
        <v>7400</v>
      </c>
      <c r="X294" s="76"/>
      <c r="Y294" s="76"/>
      <c r="Z294" s="75">
        <f t="shared" ref="Z294:AD294" si="71">$P$308*$D$262/5</f>
        <v>7400</v>
      </c>
      <c r="AA294" s="75">
        <f t="shared" si="71"/>
        <v>7400</v>
      </c>
      <c r="AB294" s="75">
        <f t="shared" si="71"/>
        <v>7400</v>
      </c>
      <c r="AC294" s="75">
        <f t="shared" si="71"/>
        <v>7400</v>
      </c>
      <c r="AD294" s="75">
        <f t="shared" si="71"/>
        <v>7400</v>
      </c>
      <c r="AE294" s="76"/>
      <c r="AF294" s="76"/>
      <c r="AG294" s="75">
        <f t="shared" ref="AG294:AJ294" si="72">$P$308*$D$262/5</f>
        <v>7400</v>
      </c>
      <c r="AH294" s="75">
        <f t="shared" si="72"/>
        <v>7400</v>
      </c>
      <c r="AI294" s="75">
        <f t="shared" si="72"/>
        <v>7400</v>
      </c>
      <c r="AJ294" s="75">
        <f t="shared" si="72"/>
        <v>7400</v>
      </c>
      <c r="AK294" s="76"/>
      <c r="AL294" s="76"/>
      <c r="AM294" s="107"/>
      <c r="AN294" s="123"/>
      <c r="AO294" s="123"/>
      <c r="AP294" s="123"/>
      <c r="AQ294" s="108"/>
      <c r="AR294" s="123"/>
      <c r="AS294" s="123"/>
      <c r="AT294" s="108"/>
      <c r="AU294" s="108"/>
      <c r="AV294" s="121"/>
      <c r="AW294" s="108"/>
    </row>
    <row r="295" spans="1:49">
      <c r="A295" s="490"/>
      <c r="B295" s="500"/>
      <c r="C295" s="447"/>
      <c r="D295" s="520"/>
      <c r="E295" s="447"/>
      <c r="F295" s="455"/>
      <c r="G295" s="47"/>
      <c r="H295" s="48" t="s">
        <v>15</v>
      </c>
      <c r="I295" s="75"/>
      <c r="J295" s="76"/>
      <c r="K295" s="76"/>
      <c r="L295" s="75"/>
      <c r="M295" s="75"/>
      <c r="N295" s="75"/>
      <c r="O295" s="75"/>
      <c r="P295" s="75"/>
      <c r="Q295" s="96"/>
      <c r="R295" s="96"/>
      <c r="S295" s="96"/>
      <c r="T295" s="75"/>
      <c r="U295" s="75"/>
      <c r="V295" s="75"/>
      <c r="W295" s="75"/>
      <c r="X295" s="76"/>
      <c r="Y295" s="76"/>
      <c r="Z295" s="75"/>
      <c r="AA295" s="75"/>
      <c r="AB295" s="75"/>
      <c r="AC295" s="75"/>
      <c r="AD295" s="75"/>
      <c r="AE295" s="76"/>
      <c r="AF295" s="76"/>
      <c r="AG295" s="75"/>
      <c r="AH295" s="75"/>
      <c r="AI295" s="75"/>
      <c r="AJ295" s="75"/>
      <c r="AK295" s="76"/>
      <c r="AL295" s="76"/>
      <c r="AM295" s="107"/>
      <c r="AN295" s="123"/>
      <c r="AO295" s="123"/>
      <c r="AP295" s="123"/>
      <c r="AQ295" s="108"/>
      <c r="AR295" s="123"/>
      <c r="AS295" s="123"/>
      <c r="AT295" s="108"/>
      <c r="AU295" s="108"/>
      <c r="AV295" s="121"/>
      <c r="AW295" s="108"/>
    </row>
    <row r="296" spans="1:49">
      <c r="A296" s="490"/>
      <c r="B296" s="500"/>
      <c r="C296" s="447"/>
      <c r="D296" s="520"/>
      <c r="E296" s="447"/>
      <c r="F296" s="455"/>
      <c r="G296" s="47" t="s">
        <v>79</v>
      </c>
      <c r="H296" s="46" t="s">
        <v>149</v>
      </c>
      <c r="I296" s="75">
        <f>$P$308*$D$262/5</f>
        <v>7400</v>
      </c>
      <c r="J296" s="76"/>
      <c r="K296" s="76"/>
      <c r="L296" s="75">
        <f t="shared" ref="L296:P296" si="73">$P$308*$D$262/5</f>
        <v>7400</v>
      </c>
      <c r="M296" s="75">
        <f t="shared" si="73"/>
        <v>7400</v>
      </c>
      <c r="N296" s="75">
        <f t="shared" si="73"/>
        <v>7400</v>
      </c>
      <c r="O296" s="75">
        <f t="shared" si="73"/>
        <v>7400</v>
      </c>
      <c r="P296" s="75">
        <f t="shared" si="73"/>
        <v>7400</v>
      </c>
      <c r="Q296" s="96"/>
      <c r="R296" s="96"/>
      <c r="S296" s="96"/>
      <c r="T296" s="75">
        <f t="shared" ref="T296:W296" si="74">$P$308*$D$262/5</f>
        <v>7400</v>
      </c>
      <c r="U296" s="75">
        <f t="shared" si="74"/>
        <v>7400</v>
      </c>
      <c r="V296" s="75">
        <f t="shared" si="74"/>
        <v>7400</v>
      </c>
      <c r="W296" s="75">
        <f t="shared" si="74"/>
        <v>7400</v>
      </c>
      <c r="X296" s="76"/>
      <c r="Y296" s="76"/>
      <c r="Z296" s="75">
        <f t="shared" ref="Z296:AD296" si="75">$P$308*$D$262/5</f>
        <v>7400</v>
      </c>
      <c r="AA296" s="75">
        <f t="shared" si="75"/>
        <v>7400</v>
      </c>
      <c r="AB296" s="75">
        <f t="shared" si="75"/>
        <v>7400</v>
      </c>
      <c r="AC296" s="75">
        <f t="shared" si="75"/>
        <v>7400</v>
      </c>
      <c r="AD296" s="75">
        <f t="shared" si="75"/>
        <v>7400</v>
      </c>
      <c r="AE296" s="76"/>
      <c r="AF296" s="76"/>
      <c r="AG296" s="75">
        <f t="shared" ref="AG296:AJ296" si="76">$P$308*$D$262/5</f>
        <v>7400</v>
      </c>
      <c r="AH296" s="75">
        <f t="shared" si="76"/>
        <v>7400</v>
      </c>
      <c r="AI296" s="75">
        <f t="shared" si="76"/>
        <v>7400</v>
      </c>
      <c r="AJ296" s="75">
        <f t="shared" si="76"/>
        <v>7400</v>
      </c>
      <c r="AK296" s="76"/>
      <c r="AL296" s="76"/>
      <c r="AM296" s="107"/>
      <c r="AN296" s="123"/>
      <c r="AO296" s="123"/>
      <c r="AP296" s="123"/>
      <c r="AQ296" s="108"/>
      <c r="AR296" s="123"/>
      <c r="AS296" s="123"/>
      <c r="AT296" s="108"/>
      <c r="AU296" s="108"/>
      <c r="AV296" s="121"/>
      <c r="AW296" s="108"/>
    </row>
    <row r="297" spans="1:49">
      <c r="A297" s="490"/>
      <c r="B297" s="500"/>
      <c r="C297" s="447"/>
      <c r="D297" s="520"/>
      <c r="E297" s="447"/>
      <c r="F297" s="455"/>
      <c r="G297" s="47"/>
      <c r="H297" s="46" t="s">
        <v>101</v>
      </c>
      <c r="I297" s="75"/>
      <c r="J297" s="76"/>
      <c r="K297" s="76"/>
      <c r="L297" s="75"/>
      <c r="M297" s="75"/>
      <c r="N297" s="75"/>
      <c r="O297" s="75"/>
      <c r="P297" s="75"/>
      <c r="Q297" s="96"/>
      <c r="R297" s="96"/>
      <c r="S297" s="96"/>
      <c r="T297" s="75"/>
      <c r="U297" s="75"/>
      <c r="V297" s="75"/>
      <c r="W297" s="75"/>
      <c r="X297" s="76"/>
      <c r="Y297" s="76"/>
      <c r="Z297" s="75"/>
      <c r="AA297" s="75"/>
      <c r="AB297" s="75"/>
      <c r="AC297" s="75"/>
      <c r="AD297" s="75"/>
      <c r="AE297" s="76"/>
      <c r="AF297" s="76"/>
      <c r="AG297" s="75"/>
      <c r="AH297" s="75"/>
      <c r="AI297" s="75"/>
      <c r="AJ297" s="75"/>
      <c r="AK297" s="76"/>
      <c r="AL297" s="76"/>
      <c r="AM297" s="107"/>
      <c r="AN297" s="123"/>
      <c r="AO297" s="123"/>
      <c r="AP297" s="123"/>
      <c r="AQ297" s="108"/>
      <c r="AR297" s="123"/>
      <c r="AS297" s="123"/>
      <c r="AT297" s="108"/>
      <c r="AU297" s="108"/>
      <c r="AV297" s="121"/>
      <c r="AW297" s="108"/>
    </row>
    <row r="298" spans="1:49">
      <c r="A298" s="490"/>
      <c r="B298" s="500"/>
      <c r="C298" s="447"/>
      <c r="D298" s="520"/>
      <c r="E298" s="447"/>
      <c r="F298" s="455"/>
      <c r="G298" s="47"/>
      <c r="H298" s="48" t="s">
        <v>15</v>
      </c>
      <c r="I298" s="75"/>
      <c r="J298" s="76"/>
      <c r="K298" s="76"/>
      <c r="L298" s="75"/>
      <c r="M298" s="75"/>
      <c r="N298" s="75"/>
      <c r="O298" s="75"/>
      <c r="P298" s="75"/>
      <c r="Q298" s="96"/>
      <c r="R298" s="96"/>
      <c r="S298" s="96"/>
      <c r="T298" s="75"/>
      <c r="U298" s="75"/>
      <c r="V298" s="75"/>
      <c r="W298" s="75"/>
      <c r="X298" s="76"/>
      <c r="Y298" s="76"/>
      <c r="Z298" s="75"/>
      <c r="AA298" s="75"/>
      <c r="AB298" s="75"/>
      <c r="AC298" s="75"/>
      <c r="AD298" s="75"/>
      <c r="AE298" s="76"/>
      <c r="AF298" s="76"/>
      <c r="AG298" s="75"/>
      <c r="AH298" s="75"/>
      <c r="AI298" s="75"/>
      <c r="AJ298" s="75"/>
      <c r="AK298" s="76"/>
      <c r="AL298" s="76"/>
      <c r="AM298" s="107"/>
      <c r="AN298" s="123"/>
      <c r="AO298" s="123"/>
      <c r="AP298" s="123"/>
      <c r="AQ298" s="108"/>
      <c r="AR298" s="123"/>
      <c r="AS298" s="123"/>
      <c r="AT298" s="108"/>
      <c r="AU298" s="108"/>
      <c r="AV298" s="121"/>
      <c r="AW298" s="108"/>
    </row>
    <row r="299" spans="1:49">
      <c r="A299" s="490"/>
      <c r="B299" s="500"/>
      <c r="C299" s="447"/>
      <c r="D299" s="520"/>
      <c r="E299" s="447"/>
      <c r="F299" s="455"/>
      <c r="G299" s="47" t="s">
        <v>23</v>
      </c>
      <c r="H299" s="46" t="s">
        <v>24</v>
      </c>
      <c r="I299" s="75">
        <f>$P$308*$D$262/5</f>
        <v>7400</v>
      </c>
      <c r="J299" s="76"/>
      <c r="K299" s="76"/>
      <c r="L299" s="75">
        <f t="shared" ref="L299:P299" si="77">$P$308*$D$262/5</f>
        <v>7400</v>
      </c>
      <c r="M299" s="75">
        <f t="shared" si="77"/>
        <v>7400</v>
      </c>
      <c r="N299" s="75">
        <f t="shared" si="77"/>
        <v>7400</v>
      </c>
      <c r="O299" s="75">
        <f t="shared" si="77"/>
        <v>7400</v>
      </c>
      <c r="P299" s="75">
        <f t="shared" si="77"/>
        <v>7400</v>
      </c>
      <c r="Q299" s="96"/>
      <c r="R299" s="96"/>
      <c r="S299" s="96"/>
      <c r="T299" s="75">
        <f t="shared" ref="T299:W299" si="78">$P$308*$D$262/5</f>
        <v>7400</v>
      </c>
      <c r="U299" s="75">
        <f t="shared" si="78"/>
        <v>7400</v>
      </c>
      <c r="V299" s="75">
        <f t="shared" si="78"/>
        <v>7400</v>
      </c>
      <c r="W299" s="75">
        <f t="shared" si="78"/>
        <v>7400</v>
      </c>
      <c r="X299" s="76"/>
      <c r="Y299" s="76"/>
      <c r="Z299" s="75">
        <f t="shared" ref="Z299:AD299" si="79">$P$308*$D$262/5</f>
        <v>7400</v>
      </c>
      <c r="AA299" s="75">
        <f t="shared" si="79"/>
        <v>7400</v>
      </c>
      <c r="AB299" s="75">
        <f t="shared" si="79"/>
        <v>7400</v>
      </c>
      <c r="AC299" s="75">
        <f t="shared" si="79"/>
        <v>7400</v>
      </c>
      <c r="AD299" s="75">
        <f t="shared" si="79"/>
        <v>7400</v>
      </c>
      <c r="AE299" s="76"/>
      <c r="AF299" s="76"/>
      <c r="AG299" s="75">
        <f t="shared" ref="AG299:AJ299" si="80">$P$308*$D$262/5</f>
        <v>7400</v>
      </c>
      <c r="AH299" s="75">
        <f t="shared" si="80"/>
        <v>7400</v>
      </c>
      <c r="AI299" s="75">
        <f t="shared" si="80"/>
        <v>7400</v>
      </c>
      <c r="AJ299" s="75">
        <f t="shared" si="80"/>
        <v>7400</v>
      </c>
      <c r="AK299" s="76"/>
      <c r="AL299" s="76"/>
      <c r="AM299" s="107"/>
      <c r="AN299" s="123"/>
      <c r="AO299" s="123"/>
      <c r="AP299" s="123"/>
      <c r="AQ299" s="108"/>
      <c r="AR299" s="123"/>
      <c r="AS299" s="123"/>
      <c r="AT299" s="108"/>
      <c r="AU299" s="108"/>
      <c r="AV299" s="121"/>
      <c r="AW299" s="108"/>
    </row>
    <row r="300" spans="1:49">
      <c r="A300" s="490"/>
      <c r="B300" s="500"/>
      <c r="C300" s="447"/>
      <c r="D300" s="520"/>
      <c r="E300" s="447"/>
      <c r="F300" s="455"/>
      <c r="G300" s="47"/>
      <c r="H300" s="46" t="s">
        <v>27</v>
      </c>
      <c r="I300" s="75"/>
      <c r="J300" s="76"/>
      <c r="K300" s="76"/>
      <c r="L300" s="75"/>
      <c r="M300" s="75"/>
      <c r="N300" s="75"/>
      <c r="O300" s="75"/>
      <c r="P300" s="75"/>
      <c r="Q300" s="96"/>
      <c r="R300" s="96"/>
      <c r="S300" s="96"/>
      <c r="T300" s="75"/>
      <c r="U300" s="75"/>
      <c r="V300" s="75"/>
      <c r="W300" s="75"/>
      <c r="X300" s="76"/>
      <c r="Y300" s="76"/>
      <c r="Z300" s="75"/>
      <c r="AA300" s="75"/>
      <c r="AB300" s="75"/>
      <c r="AC300" s="75"/>
      <c r="AD300" s="75"/>
      <c r="AE300" s="76"/>
      <c r="AF300" s="76"/>
      <c r="AG300" s="75"/>
      <c r="AH300" s="75"/>
      <c r="AI300" s="75"/>
      <c r="AJ300" s="75"/>
      <c r="AK300" s="76"/>
      <c r="AL300" s="76"/>
      <c r="AM300" s="107"/>
      <c r="AN300" s="123"/>
      <c r="AO300" s="123"/>
      <c r="AP300" s="123"/>
      <c r="AQ300" s="108"/>
      <c r="AR300" s="123"/>
      <c r="AS300" s="123"/>
      <c r="AT300" s="108"/>
      <c r="AU300" s="108"/>
      <c r="AV300" s="121"/>
      <c r="AW300" s="108"/>
    </row>
    <row r="301" spans="1:49">
      <c r="A301" s="490"/>
      <c r="B301" s="500"/>
      <c r="C301" s="447"/>
      <c r="D301" s="520"/>
      <c r="E301" s="447"/>
      <c r="F301" s="455"/>
      <c r="G301" s="47"/>
      <c r="H301" s="48" t="s">
        <v>15</v>
      </c>
      <c r="I301" s="75"/>
      <c r="J301" s="76"/>
      <c r="K301" s="76"/>
      <c r="L301" s="75"/>
      <c r="M301" s="75"/>
      <c r="N301" s="75"/>
      <c r="O301" s="75"/>
      <c r="P301" s="75"/>
      <c r="Q301" s="96"/>
      <c r="R301" s="96"/>
      <c r="S301" s="96"/>
      <c r="T301" s="75"/>
      <c r="U301" s="75"/>
      <c r="V301" s="75"/>
      <c r="W301" s="75"/>
      <c r="X301" s="76"/>
      <c r="Y301" s="76"/>
      <c r="Z301" s="75"/>
      <c r="AA301" s="75"/>
      <c r="AB301" s="75"/>
      <c r="AC301" s="75"/>
      <c r="AD301" s="75"/>
      <c r="AE301" s="76"/>
      <c r="AF301" s="76"/>
      <c r="AG301" s="75"/>
      <c r="AH301" s="75"/>
      <c r="AI301" s="75"/>
      <c r="AJ301" s="75"/>
      <c r="AK301" s="76"/>
      <c r="AL301" s="76"/>
      <c r="AM301" s="107"/>
      <c r="AN301" s="123"/>
      <c r="AO301" s="123"/>
      <c r="AP301" s="123"/>
      <c r="AQ301" s="108"/>
      <c r="AR301" s="123"/>
      <c r="AS301" s="123"/>
      <c r="AT301" s="108"/>
      <c r="AU301" s="108"/>
      <c r="AV301" s="121"/>
      <c r="AW301" s="108"/>
    </row>
    <row r="302" spans="1:49">
      <c r="A302" s="490"/>
      <c r="B302" s="500"/>
      <c r="C302" s="447"/>
      <c r="D302" s="520"/>
      <c r="E302" s="447"/>
      <c r="F302" s="455"/>
      <c r="G302" s="57"/>
      <c r="H302" s="46" t="s">
        <v>108</v>
      </c>
      <c r="I302" s="75">
        <f>$P$308*$D$262/5</f>
        <v>7400</v>
      </c>
      <c r="J302" s="76"/>
      <c r="K302" s="76"/>
      <c r="L302" s="75">
        <f>$P$308*$D$262/5</f>
        <v>7400</v>
      </c>
      <c r="M302" s="75">
        <f>$P$308*$D$262/5</f>
        <v>7400</v>
      </c>
      <c r="N302" s="75">
        <f>$P$308*$D$262/5</f>
        <v>7400</v>
      </c>
      <c r="O302" s="75">
        <f>$P$308*$D$262/5</f>
        <v>7400</v>
      </c>
      <c r="P302" s="75">
        <f>$P$308*$D$262/5</f>
        <v>7400</v>
      </c>
      <c r="Q302" s="96"/>
      <c r="R302" s="96"/>
      <c r="S302" s="96"/>
      <c r="T302" s="75">
        <f t="shared" ref="T302:W302" si="81">$P$308*$D$262/5</f>
        <v>7400</v>
      </c>
      <c r="U302" s="75">
        <f t="shared" si="81"/>
        <v>7400</v>
      </c>
      <c r="V302" s="75">
        <f t="shared" si="81"/>
        <v>7400</v>
      </c>
      <c r="W302" s="75">
        <f t="shared" si="81"/>
        <v>7400</v>
      </c>
      <c r="X302" s="76"/>
      <c r="Y302" s="76"/>
      <c r="Z302" s="75">
        <f t="shared" ref="Z302:AD302" si="82">$P$308*$D$262/5</f>
        <v>7400</v>
      </c>
      <c r="AA302" s="75">
        <f t="shared" si="82"/>
        <v>7400</v>
      </c>
      <c r="AB302" s="75">
        <f t="shared" si="82"/>
        <v>7400</v>
      </c>
      <c r="AC302" s="75">
        <f t="shared" si="82"/>
        <v>7400</v>
      </c>
      <c r="AD302" s="75">
        <f t="shared" si="82"/>
        <v>7400</v>
      </c>
      <c r="AE302" s="76"/>
      <c r="AF302" s="76"/>
      <c r="AG302" s="75">
        <f t="shared" ref="AG302:AJ302" si="83">$P$308*$D$262/5</f>
        <v>7400</v>
      </c>
      <c r="AH302" s="75">
        <f t="shared" si="83"/>
        <v>7400</v>
      </c>
      <c r="AI302" s="75">
        <f t="shared" si="83"/>
        <v>7400</v>
      </c>
      <c r="AJ302" s="75">
        <f t="shared" si="83"/>
        <v>7400</v>
      </c>
      <c r="AK302" s="76"/>
      <c r="AL302" s="76"/>
      <c r="AM302" s="107"/>
      <c r="AN302" s="123"/>
      <c r="AO302" s="123"/>
      <c r="AP302" s="123"/>
      <c r="AQ302" s="108"/>
      <c r="AR302" s="123"/>
      <c r="AS302" s="123"/>
      <c r="AT302" s="108"/>
      <c r="AU302" s="108"/>
      <c r="AV302" s="121"/>
      <c r="AW302" s="108"/>
    </row>
    <row r="303" spans="1:49">
      <c r="A303" s="490"/>
      <c r="B303" s="500"/>
      <c r="C303" s="447"/>
      <c r="D303" s="520"/>
      <c r="E303" s="447"/>
      <c r="F303" s="455"/>
      <c r="G303" s="57"/>
      <c r="H303" s="46" t="s">
        <v>31</v>
      </c>
      <c r="I303" s="75"/>
      <c r="J303" s="76"/>
      <c r="K303" s="76"/>
      <c r="L303" s="75"/>
      <c r="M303" s="75"/>
      <c r="N303" s="75"/>
      <c r="O303" s="75"/>
      <c r="P303" s="75"/>
      <c r="Q303" s="96"/>
      <c r="R303" s="96"/>
      <c r="S303" s="96"/>
      <c r="T303" s="75"/>
      <c r="U303" s="75"/>
      <c r="V303" s="75"/>
      <c r="W303" s="75"/>
      <c r="X303" s="76"/>
      <c r="Y303" s="76"/>
      <c r="Z303" s="75"/>
      <c r="AA303" s="75"/>
      <c r="AB303" s="75"/>
      <c r="AC303" s="75"/>
      <c r="AD303" s="75"/>
      <c r="AE303" s="76"/>
      <c r="AF303" s="76"/>
      <c r="AG303" s="75"/>
      <c r="AH303" s="75"/>
      <c r="AI303" s="75"/>
      <c r="AJ303" s="75"/>
      <c r="AK303" s="76"/>
      <c r="AL303" s="76"/>
      <c r="AM303" s="107"/>
      <c r="AN303" s="123"/>
      <c r="AO303" s="123"/>
      <c r="AP303" s="123"/>
      <c r="AQ303" s="108"/>
      <c r="AR303" s="123"/>
      <c r="AS303" s="123"/>
      <c r="AT303" s="108"/>
      <c r="AU303" s="108"/>
      <c r="AV303" s="121"/>
      <c r="AW303" s="108"/>
    </row>
    <row r="304" spans="1:49">
      <c r="A304" s="490"/>
      <c r="B304" s="500"/>
      <c r="C304" s="447"/>
      <c r="D304" s="520"/>
      <c r="E304" s="447"/>
      <c r="F304" s="455"/>
      <c r="G304" s="57"/>
      <c r="H304" s="48" t="s">
        <v>15</v>
      </c>
      <c r="I304" s="75"/>
      <c r="J304" s="76"/>
      <c r="K304" s="76"/>
      <c r="L304" s="75"/>
      <c r="M304" s="75"/>
      <c r="N304" s="75"/>
      <c r="O304" s="75"/>
      <c r="P304" s="75"/>
      <c r="Q304" s="96"/>
      <c r="R304" s="96"/>
      <c r="S304" s="96"/>
      <c r="T304" s="75"/>
      <c r="U304" s="75"/>
      <c r="V304" s="75"/>
      <c r="W304" s="75"/>
      <c r="X304" s="76"/>
      <c r="Y304" s="76"/>
      <c r="Z304" s="75"/>
      <c r="AA304" s="75"/>
      <c r="AB304" s="75"/>
      <c r="AC304" s="75"/>
      <c r="AD304" s="75"/>
      <c r="AE304" s="76"/>
      <c r="AF304" s="76"/>
      <c r="AG304" s="75"/>
      <c r="AH304" s="75"/>
      <c r="AI304" s="75"/>
      <c r="AJ304" s="75"/>
      <c r="AK304" s="76"/>
      <c r="AL304" s="76"/>
      <c r="AM304" s="107"/>
      <c r="AN304" s="123"/>
      <c r="AO304" s="123"/>
      <c r="AP304" s="123"/>
      <c r="AQ304" s="108"/>
      <c r="AR304" s="123"/>
      <c r="AS304" s="123"/>
      <c r="AT304" s="108"/>
      <c r="AU304" s="108"/>
      <c r="AV304" s="121"/>
      <c r="AW304" s="108"/>
    </row>
    <row r="305" spans="1:49">
      <c r="A305" s="490"/>
      <c r="B305" s="500"/>
      <c r="C305" s="447"/>
      <c r="D305" s="520"/>
      <c r="E305" s="447"/>
      <c r="F305" s="455"/>
      <c r="G305" s="57"/>
      <c r="H305" s="46" t="s">
        <v>109</v>
      </c>
      <c r="I305" s="75">
        <f>$P$308*$D$262/5</f>
        <v>7400</v>
      </c>
      <c r="J305" s="76"/>
      <c r="K305" s="76"/>
      <c r="L305" s="75">
        <f>$P$308*$D$262/5</f>
        <v>7400</v>
      </c>
      <c r="M305" s="75">
        <f>$P$308*$D$262/5</f>
        <v>7400</v>
      </c>
      <c r="N305" s="75">
        <f>$P$308*$D$262/5</f>
        <v>7400</v>
      </c>
      <c r="O305" s="75">
        <f>$P$308*$D$262/5</f>
        <v>7400</v>
      </c>
      <c r="P305" s="75">
        <f>$P$308*$D$262/5</f>
        <v>7400</v>
      </c>
      <c r="Q305" s="96"/>
      <c r="R305" s="96"/>
      <c r="S305" s="96"/>
      <c r="T305" s="75">
        <f t="shared" ref="T305:W305" si="84">$P$308*$D$262/5</f>
        <v>7400</v>
      </c>
      <c r="U305" s="75">
        <f t="shared" si="84"/>
        <v>7400</v>
      </c>
      <c r="V305" s="75">
        <f t="shared" si="84"/>
        <v>7400</v>
      </c>
      <c r="W305" s="75">
        <f t="shared" si="84"/>
        <v>7400</v>
      </c>
      <c r="X305" s="76"/>
      <c r="Y305" s="76"/>
      <c r="Z305" s="75">
        <f t="shared" ref="Z305:AD305" si="85">$P$308*$D$262/5</f>
        <v>7400</v>
      </c>
      <c r="AA305" s="75">
        <f t="shared" si="85"/>
        <v>7400</v>
      </c>
      <c r="AB305" s="75">
        <f t="shared" si="85"/>
        <v>7400</v>
      </c>
      <c r="AC305" s="75">
        <f t="shared" si="85"/>
        <v>7400</v>
      </c>
      <c r="AD305" s="75">
        <f t="shared" si="85"/>
        <v>7400</v>
      </c>
      <c r="AE305" s="76"/>
      <c r="AF305" s="76"/>
      <c r="AG305" s="75">
        <f t="shared" ref="AG305:AJ305" si="86">$P$308*$D$262/5</f>
        <v>7400</v>
      </c>
      <c r="AH305" s="75">
        <f t="shared" si="86"/>
        <v>7400</v>
      </c>
      <c r="AI305" s="75">
        <f t="shared" si="86"/>
        <v>7400</v>
      </c>
      <c r="AJ305" s="75">
        <f t="shared" si="86"/>
        <v>7400</v>
      </c>
      <c r="AK305" s="76"/>
      <c r="AL305" s="76"/>
      <c r="AM305" s="107"/>
      <c r="AN305" s="123"/>
      <c r="AO305" s="123"/>
      <c r="AP305" s="123"/>
      <c r="AQ305" s="108"/>
      <c r="AR305" s="123"/>
      <c r="AS305" s="123"/>
      <c r="AT305" s="108"/>
      <c r="AU305" s="108"/>
      <c r="AV305" s="121"/>
      <c r="AW305" s="108"/>
    </row>
    <row r="306" spans="1:49">
      <c r="A306" s="490"/>
      <c r="B306" s="500"/>
      <c r="C306" s="447"/>
      <c r="D306" s="520"/>
      <c r="E306" s="447"/>
      <c r="F306" s="455"/>
      <c r="G306" s="57"/>
      <c r="H306" s="46" t="s">
        <v>84</v>
      </c>
      <c r="I306" s="75"/>
      <c r="J306" s="76"/>
      <c r="K306" s="76"/>
      <c r="L306" s="75"/>
      <c r="M306" s="75"/>
      <c r="N306" s="75"/>
      <c r="O306" s="75"/>
      <c r="P306" s="75"/>
      <c r="Q306" s="96"/>
      <c r="R306" s="96"/>
      <c r="S306" s="96"/>
      <c r="T306" s="75"/>
      <c r="U306" s="75"/>
      <c r="V306" s="75"/>
      <c r="W306" s="75"/>
      <c r="X306" s="76"/>
      <c r="Y306" s="76"/>
      <c r="Z306" s="75"/>
      <c r="AA306" s="75"/>
      <c r="AB306" s="75"/>
      <c r="AC306" s="75"/>
      <c r="AD306" s="75"/>
      <c r="AE306" s="76"/>
      <c r="AF306" s="76"/>
      <c r="AG306" s="75"/>
      <c r="AH306" s="75"/>
      <c r="AI306" s="75"/>
      <c r="AJ306" s="75"/>
      <c r="AK306" s="76"/>
      <c r="AL306" s="76"/>
      <c r="AM306" s="107"/>
      <c r="AN306" s="123"/>
      <c r="AO306" s="123"/>
      <c r="AP306" s="123"/>
      <c r="AQ306" s="108"/>
      <c r="AR306" s="123"/>
      <c r="AS306" s="123"/>
      <c r="AT306" s="108"/>
      <c r="AU306" s="108"/>
      <c r="AV306" s="121"/>
      <c r="AW306" s="108"/>
    </row>
    <row r="307" spans="1:49">
      <c r="A307" s="490"/>
      <c r="B307" s="500"/>
      <c r="C307" s="447"/>
      <c r="D307" s="520"/>
      <c r="E307" s="447"/>
      <c r="F307" s="455"/>
      <c r="G307" s="57"/>
      <c r="H307" s="48" t="s">
        <v>15</v>
      </c>
      <c r="I307" s="75"/>
      <c r="J307" s="76"/>
      <c r="K307" s="76"/>
      <c r="L307" s="75"/>
      <c r="M307" s="75"/>
      <c r="N307" s="75"/>
      <c r="O307" s="75"/>
      <c r="P307" s="75"/>
      <c r="Q307" s="96"/>
      <c r="R307" s="96"/>
      <c r="S307" s="96"/>
      <c r="T307" s="75"/>
      <c r="U307" s="75"/>
      <c r="V307" s="75"/>
      <c r="W307" s="75"/>
      <c r="X307" s="76"/>
      <c r="Y307" s="76"/>
      <c r="Z307" s="75"/>
      <c r="AA307" s="75"/>
      <c r="AB307" s="75"/>
      <c r="AC307" s="75"/>
      <c r="AD307" s="75"/>
      <c r="AE307" s="76"/>
      <c r="AF307" s="76"/>
      <c r="AG307" s="75"/>
      <c r="AH307" s="75"/>
      <c r="AI307" s="75"/>
      <c r="AJ307" s="75"/>
      <c r="AK307" s="76"/>
      <c r="AL307" s="76"/>
      <c r="AM307" s="107"/>
      <c r="AN307" s="123"/>
      <c r="AO307" s="123"/>
      <c r="AP307" s="123"/>
      <c r="AQ307" s="108"/>
      <c r="AR307" s="123"/>
      <c r="AS307" s="123"/>
      <c r="AT307" s="108"/>
      <c r="AU307" s="108"/>
      <c r="AV307" s="121"/>
      <c r="AW307" s="108"/>
    </row>
    <row r="308" spans="1:49">
      <c r="A308" s="490"/>
      <c r="B308" s="500"/>
      <c r="C308" s="447"/>
      <c r="D308" s="520"/>
      <c r="E308" s="447"/>
      <c r="F308" s="455"/>
      <c r="G308" s="57"/>
      <c r="H308" s="46" t="s">
        <v>32</v>
      </c>
      <c r="I308" s="75"/>
      <c r="J308" s="76"/>
      <c r="K308" s="76"/>
      <c r="L308" s="75"/>
      <c r="M308" s="75"/>
      <c r="N308" s="75"/>
      <c r="P308" s="75">
        <f>$C$262*5</f>
        <v>25000</v>
      </c>
      <c r="Q308" s="96"/>
      <c r="R308" s="96"/>
      <c r="S308" s="96"/>
      <c r="T308" s="75"/>
      <c r="U308" s="75"/>
      <c r="V308" s="75"/>
      <c r="W308" s="75"/>
      <c r="X308" s="76"/>
      <c r="Y308" s="76"/>
      <c r="Z308" s="75">
        <f>$C$262*5</f>
        <v>25000</v>
      </c>
      <c r="AA308" s="75"/>
      <c r="AB308" s="75"/>
      <c r="AC308" s="75"/>
      <c r="AD308" s="75"/>
      <c r="AE308" s="76"/>
      <c r="AF308" s="76"/>
      <c r="AG308" s="75">
        <f>$C$262*5</f>
        <v>25000</v>
      </c>
      <c r="AH308" s="75"/>
      <c r="AI308" s="75"/>
      <c r="AJ308" s="75"/>
      <c r="AK308" s="76"/>
      <c r="AL308" s="76"/>
      <c r="AM308" s="107"/>
      <c r="AN308" s="123"/>
      <c r="AO308" s="123"/>
      <c r="AP308" s="123"/>
      <c r="AQ308" s="108"/>
      <c r="AR308" s="123"/>
      <c r="AS308" s="123"/>
      <c r="AT308" s="108"/>
      <c r="AU308" s="108"/>
      <c r="AV308" s="121"/>
      <c r="AW308" s="108"/>
    </row>
    <row r="309" spans="1:49">
      <c r="A309" s="490"/>
      <c r="B309" s="500"/>
      <c r="C309" s="447"/>
      <c r="D309" s="520"/>
      <c r="E309" s="447"/>
      <c r="F309" s="455"/>
      <c r="G309" s="57"/>
      <c r="H309" s="46" t="s">
        <v>33</v>
      </c>
      <c r="I309" s="75"/>
      <c r="J309" s="76"/>
      <c r="K309" s="76"/>
      <c r="L309" s="75"/>
      <c r="M309" s="75"/>
      <c r="N309" s="75"/>
      <c r="O309" s="75"/>
      <c r="P309" s="75"/>
      <c r="Q309" s="96"/>
      <c r="R309" s="96"/>
      <c r="S309" s="96"/>
      <c r="T309" s="75"/>
      <c r="U309" s="75"/>
      <c r="V309" s="75"/>
      <c r="W309" s="75"/>
      <c r="X309" s="76"/>
      <c r="Y309" s="76"/>
      <c r="Z309" s="75"/>
      <c r="AA309" s="75"/>
      <c r="AB309" s="75"/>
      <c r="AC309" s="75"/>
      <c r="AD309" s="75"/>
      <c r="AE309" s="76"/>
      <c r="AF309" s="76"/>
      <c r="AG309" s="75"/>
      <c r="AH309" s="75"/>
      <c r="AI309" s="75"/>
      <c r="AJ309" s="75"/>
      <c r="AK309" s="76"/>
      <c r="AL309" s="76"/>
      <c r="AM309" s="107"/>
      <c r="AN309" s="123"/>
      <c r="AO309" s="123"/>
      <c r="AP309" s="123"/>
      <c r="AQ309" s="108"/>
      <c r="AR309" s="123"/>
      <c r="AS309" s="123"/>
      <c r="AT309" s="108"/>
      <c r="AU309" s="108"/>
      <c r="AV309" s="121"/>
      <c r="AW309" s="108"/>
    </row>
    <row r="310" spans="1:49">
      <c r="A310" s="495"/>
      <c r="B310" s="507"/>
      <c r="C310" s="448"/>
      <c r="D310" s="521"/>
      <c r="E310" s="448"/>
      <c r="F310" s="455"/>
      <c r="G310" s="52"/>
      <c r="H310" s="53" t="s">
        <v>15</v>
      </c>
      <c r="I310" s="75"/>
      <c r="J310" s="76"/>
      <c r="K310" s="76"/>
      <c r="L310" s="75"/>
      <c r="M310" s="75"/>
      <c r="N310" s="75"/>
      <c r="O310" s="75"/>
      <c r="P310" s="75"/>
      <c r="Q310" s="96"/>
      <c r="R310" s="96"/>
      <c r="S310" s="96"/>
      <c r="T310" s="75"/>
      <c r="U310" s="75"/>
      <c r="V310" s="75"/>
      <c r="W310" s="75"/>
      <c r="X310" s="76"/>
      <c r="Y310" s="76"/>
      <c r="Z310" s="75"/>
      <c r="AA310" s="75"/>
      <c r="AB310" s="75"/>
      <c r="AC310" s="75"/>
      <c r="AD310" s="75"/>
      <c r="AE310" s="76"/>
      <c r="AF310" s="76"/>
      <c r="AG310" s="75"/>
      <c r="AH310" s="75"/>
      <c r="AI310" s="75"/>
      <c r="AJ310" s="75"/>
      <c r="AK310" s="76"/>
      <c r="AL310" s="76"/>
      <c r="AM310" s="107"/>
      <c r="AN310" s="123"/>
      <c r="AO310" s="123"/>
      <c r="AP310" s="123"/>
      <c r="AQ310" s="108"/>
      <c r="AR310" s="123"/>
      <c r="AS310" s="123"/>
      <c r="AT310" s="108"/>
      <c r="AU310" s="108"/>
      <c r="AV310" s="121"/>
      <c r="AW310" s="108"/>
    </row>
    <row r="311" spans="1:49">
      <c r="A311" s="156"/>
      <c r="B311" s="156"/>
      <c r="C311" s="157"/>
      <c r="D311" s="158"/>
      <c r="E311" s="157"/>
      <c r="F311" s="159"/>
      <c r="G311" s="160"/>
      <c r="H311" s="161"/>
      <c r="I311" s="162"/>
      <c r="J311" s="163"/>
      <c r="K311" s="163"/>
      <c r="L311" s="162"/>
      <c r="M311" s="162"/>
      <c r="N311" s="162"/>
      <c r="O311" s="162"/>
      <c r="P311" s="162"/>
      <c r="Q311" s="165"/>
      <c r="R311" s="165"/>
      <c r="S311" s="165"/>
      <c r="T311" s="162"/>
      <c r="U311" s="162"/>
      <c r="V311" s="162"/>
      <c r="W311" s="162"/>
      <c r="X311" s="163"/>
      <c r="Y311" s="163"/>
      <c r="Z311" s="162"/>
      <c r="AA311" s="162"/>
      <c r="AB311" s="162"/>
      <c r="AC311" s="162"/>
      <c r="AD311" s="162"/>
      <c r="AE311" s="163"/>
      <c r="AF311" s="163"/>
      <c r="AG311" s="162"/>
      <c r="AH311" s="162"/>
      <c r="AI311" s="162"/>
      <c r="AJ311" s="162"/>
      <c r="AK311" s="163"/>
      <c r="AL311" s="163"/>
      <c r="AM311" s="168"/>
      <c r="AN311" s="123"/>
      <c r="AO311" s="123"/>
      <c r="AP311" s="123"/>
      <c r="AQ311" s="108"/>
      <c r="AR311" s="123"/>
      <c r="AS311" s="123"/>
      <c r="AT311" s="108"/>
      <c r="AU311" s="108"/>
      <c r="AV311" s="121"/>
      <c r="AW311" s="108"/>
    </row>
    <row r="312" spans="1:49">
      <c r="A312" s="156"/>
      <c r="B312" s="156"/>
      <c r="C312" s="157"/>
      <c r="D312" s="158"/>
      <c r="E312" s="157"/>
      <c r="F312" s="159"/>
      <c r="G312" s="160"/>
      <c r="H312" s="161"/>
      <c r="I312" s="162"/>
      <c r="J312" s="163"/>
      <c r="K312" s="163"/>
      <c r="L312" s="162"/>
      <c r="M312" s="162"/>
      <c r="N312" s="162"/>
      <c r="O312" s="162"/>
      <c r="P312" s="162"/>
      <c r="Q312" s="165"/>
      <c r="R312" s="165"/>
      <c r="S312" s="165"/>
      <c r="T312" s="162"/>
      <c r="U312" s="162"/>
      <c r="V312" s="162"/>
      <c r="W312" s="162"/>
      <c r="X312" s="163"/>
      <c r="Y312" s="163"/>
      <c r="Z312" s="162"/>
      <c r="AA312" s="162"/>
      <c r="AB312" s="162"/>
      <c r="AC312" s="162"/>
      <c r="AD312" s="162"/>
      <c r="AE312" s="163"/>
      <c r="AF312" s="163"/>
      <c r="AG312" s="162"/>
      <c r="AH312" s="162"/>
      <c r="AI312" s="162"/>
      <c r="AJ312" s="162"/>
      <c r="AK312" s="163"/>
      <c r="AL312" s="163"/>
      <c r="AM312" s="168"/>
      <c r="AN312" s="123"/>
      <c r="AO312" s="123"/>
      <c r="AP312" s="123"/>
      <c r="AQ312" s="108"/>
      <c r="AR312" s="123"/>
      <c r="AS312" s="123"/>
      <c r="AT312" s="108"/>
      <c r="AU312" s="108"/>
      <c r="AV312" s="121"/>
      <c r="AW312" s="108"/>
    </row>
    <row r="313" spans="1:49">
      <c r="A313" s="156"/>
      <c r="B313" s="156"/>
      <c r="C313" s="157"/>
      <c r="D313" s="158"/>
      <c r="E313" s="157"/>
      <c r="F313" s="159"/>
      <c r="G313" s="160"/>
      <c r="H313" s="161"/>
      <c r="I313" s="162"/>
      <c r="J313" s="163"/>
      <c r="K313" s="163"/>
      <c r="L313" s="162"/>
      <c r="M313" s="162"/>
      <c r="N313" s="162"/>
      <c r="O313" s="162"/>
      <c r="P313" s="162"/>
      <c r="Q313" s="165"/>
      <c r="R313" s="165"/>
      <c r="S313" s="165"/>
      <c r="T313" s="162"/>
      <c r="U313" s="162"/>
      <c r="V313" s="162"/>
      <c r="W313" s="162"/>
      <c r="X313" s="163"/>
      <c r="Y313" s="163"/>
      <c r="Z313" s="162"/>
      <c r="AA313" s="162"/>
      <c r="AB313" s="162"/>
      <c r="AC313" s="162"/>
      <c r="AD313" s="162"/>
      <c r="AE313" s="163"/>
      <c r="AF313" s="163"/>
      <c r="AG313" s="162"/>
      <c r="AH313" s="162"/>
      <c r="AI313" s="162"/>
      <c r="AJ313" s="162"/>
      <c r="AK313" s="163"/>
      <c r="AL313" s="163"/>
      <c r="AM313" s="168"/>
      <c r="AN313" s="123"/>
      <c r="AO313" s="123"/>
      <c r="AP313" s="123"/>
      <c r="AQ313" s="108"/>
      <c r="AR313" s="123"/>
      <c r="AS313" s="123"/>
      <c r="AT313" s="108"/>
      <c r="AU313" s="108"/>
      <c r="AV313" s="121"/>
      <c r="AW313" s="108"/>
    </row>
    <row r="314" spans="1:49">
      <c r="A314" s="156"/>
      <c r="B314" s="156"/>
      <c r="C314" s="157"/>
      <c r="D314" s="158"/>
      <c r="E314" s="157"/>
      <c r="F314" s="159"/>
      <c r="G314" s="160"/>
      <c r="H314" s="161"/>
      <c r="I314" s="162"/>
      <c r="J314" s="163"/>
      <c r="K314" s="163"/>
      <c r="L314" s="162"/>
      <c r="M314" s="162"/>
      <c r="N314" s="162"/>
      <c r="O314" s="162"/>
      <c r="P314" s="162"/>
      <c r="Q314" s="165"/>
      <c r="R314" s="165"/>
      <c r="S314" s="165"/>
      <c r="T314" s="162"/>
      <c r="U314" s="162"/>
      <c r="V314" s="162"/>
      <c r="W314" s="162"/>
      <c r="X314" s="163"/>
      <c r="Y314" s="163"/>
      <c r="Z314" s="162"/>
      <c r="AA314" s="162"/>
      <c r="AB314" s="162"/>
      <c r="AC314" s="162"/>
      <c r="AD314" s="162"/>
      <c r="AE314" s="163"/>
      <c r="AF314" s="163"/>
      <c r="AG314" s="162"/>
      <c r="AH314" s="162"/>
      <c r="AI314" s="162"/>
      <c r="AJ314" s="162"/>
      <c r="AK314" s="163"/>
      <c r="AL314" s="163"/>
      <c r="AM314" s="168"/>
      <c r="AN314" s="123"/>
      <c r="AO314" s="123"/>
      <c r="AP314" s="123"/>
      <c r="AQ314" s="108"/>
      <c r="AR314" s="123"/>
      <c r="AS314" s="123"/>
      <c r="AT314" s="108"/>
      <c r="AU314" s="108"/>
      <c r="AV314" s="121"/>
      <c r="AW314" s="108"/>
    </row>
    <row r="315" spans="1:49">
      <c r="A315" s="156"/>
      <c r="B315" s="156"/>
      <c r="C315" s="157"/>
      <c r="D315" s="158"/>
      <c r="E315" s="157"/>
      <c r="F315" s="159"/>
      <c r="G315" s="160"/>
      <c r="H315" s="161"/>
      <c r="I315" s="162"/>
      <c r="J315" s="163"/>
      <c r="K315" s="163"/>
      <c r="L315" s="162"/>
      <c r="M315" s="162"/>
      <c r="N315" s="162"/>
      <c r="O315" s="162"/>
      <c r="P315" s="162"/>
      <c r="Q315" s="165"/>
      <c r="R315" s="165"/>
      <c r="S315" s="165"/>
      <c r="T315" s="162"/>
      <c r="U315" s="162"/>
      <c r="V315" s="162"/>
      <c r="W315" s="162"/>
      <c r="X315" s="163"/>
      <c r="Y315" s="163"/>
      <c r="Z315" s="162"/>
      <c r="AA315" s="162"/>
      <c r="AB315" s="162"/>
      <c r="AC315" s="162"/>
      <c r="AD315" s="162"/>
      <c r="AE315" s="163"/>
      <c r="AF315" s="163"/>
      <c r="AG315" s="162"/>
      <c r="AH315" s="162"/>
      <c r="AI315" s="162"/>
      <c r="AJ315" s="162"/>
      <c r="AK315" s="163"/>
      <c r="AL315" s="163"/>
      <c r="AM315" s="168"/>
      <c r="AN315" s="123"/>
      <c r="AO315" s="123"/>
      <c r="AP315" s="123"/>
      <c r="AQ315" s="108"/>
      <c r="AR315" s="123"/>
      <c r="AS315" s="123"/>
      <c r="AT315" s="108"/>
      <c r="AU315" s="108"/>
      <c r="AV315" s="121"/>
      <c r="AW315" s="108"/>
    </row>
    <row r="316" spans="1:49">
      <c r="A316" s="156"/>
      <c r="B316" s="156"/>
      <c r="C316" s="157"/>
      <c r="D316" s="158"/>
      <c r="E316" s="157"/>
      <c r="F316" s="159"/>
      <c r="G316" s="160"/>
      <c r="H316" s="161"/>
      <c r="I316" s="162"/>
      <c r="J316" s="163"/>
      <c r="K316" s="163"/>
      <c r="L316" s="162"/>
      <c r="M316" s="162"/>
      <c r="N316" s="162"/>
      <c r="O316" s="162"/>
      <c r="P316" s="162"/>
      <c r="Q316" s="165"/>
      <c r="R316" s="165"/>
      <c r="S316" s="165"/>
      <c r="T316" s="162"/>
      <c r="U316" s="162"/>
      <c r="V316" s="162"/>
      <c r="W316" s="162"/>
      <c r="X316" s="163"/>
      <c r="Y316" s="163"/>
      <c r="Z316" s="162"/>
      <c r="AA316" s="162"/>
      <c r="AB316" s="162"/>
      <c r="AC316" s="162"/>
      <c r="AD316" s="162"/>
      <c r="AE316" s="163"/>
      <c r="AF316" s="163"/>
      <c r="AG316" s="162"/>
      <c r="AH316" s="162"/>
      <c r="AI316" s="162"/>
      <c r="AJ316" s="162"/>
      <c r="AK316" s="163"/>
      <c r="AL316" s="163"/>
      <c r="AM316" s="168"/>
      <c r="AN316" s="123"/>
      <c r="AO316" s="123"/>
      <c r="AP316" s="123"/>
      <c r="AQ316" s="108"/>
      <c r="AR316" s="123"/>
      <c r="AS316" s="123"/>
      <c r="AT316" s="108"/>
      <c r="AU316" s="108"/>
      <c r="AV316" s="121"/>
      <c r="AW316" s="108"/>
    </row>
    <row r="317" spans="1:49">
      <c r="A317" s="156"/>
      <c r="B317" s="156"/>
      <c r="C317" s="157"/>
      <c r="D317" s="158"/>
      <c r="E317" s="157"/>
      <c r="F317" s="159"/>
      <c r="G317" s="160"/>
      <c r="H317" s="161"/>
      <c r="I317" s="162"/>
      <c r="J317" s="163"/>
      <c r="K317" s="163"/>
      <c r="L317" s="162"/>
      <c r="M317" s="162"/>
      <c r="N317" s="162"/>
      <c r="O317" s="162"/>
      <c r="P317" s="162"/>
      <c r="Q317" s="165"/>
      <c r="R317" s="165"/>
      <c r="S317" s="165"/>
      <c r="T317" s="162"/>
      <c r="U317" s="162"/>
      <c r="V317" s="162"/>
      <c r="W317" s="162"/>
      <c r="X317" s="163"/>
      <c r="Y317" s="163"/>
      <c r="Z317" s="162"/>
      <c r="AA317" s="162"/>
      <c r="AB317" s="162"/>
      <c r="AC317" s="162"/>
      <c r="AD317" s="162"/>
      <c r="AE317" s="163"/>
      <c r="AF317" s="163"/>
      <c r="AG317" s="162"/>
      <c r="AH317" s="162"/>
      <c r="AI317" s="162"/>
      <c r="AJ317" s="162"/>
      <c r="AK317" s="163"/>
      <c r="AL317" s="163"/>
      <c r="AM317" s="168"/>
      <c r="AN317" s="123"/>
      <c r="AO317" s="123"/>
      <c r="AP317" s="123"/>
      <c r="AQ317" s="108"/>
      <c r="AR317" s="123"/>
      <c r="AS317" s="123"/>
      <c r="AT317" s="108"/>
      <c r="AU317" s="108"/>
      <c r="AV317" s="121"/>
      <c r="AW317" s="108"/>
    </row>
    <row r="318" spans="1:49">
      <c r="A318" s="20"/>
      <c r="B318" s="20"/>
      <c r="C318" s="21"/>
      <c r="D318" s="21"/>
      <c r="E318" s="21"/>
      <c r="F318" s="21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169"/>
      <c r="AN318" s="170"/>
      <c r="AO318" s="171" t="s">
        <v>150</v>
      </c>
      <c r="AP318" s="170"/>
      <c r="AQ318" s="170"/>
      <c r="AR318" s="170"/>
      <c r="AS318" s="170"/>
      <c r="AT318" s="170"/>
      <c r="AU318" s="22"/>
      <c r="AV318" s="22"/>
      <c r="AW318" s="22"/>
    </row>
    <row r="319" spans="1:49">
      <c r="A319" s="20"/>
      <c r="B319" s="20"/>
      <c r="C319" s="21"/>
      <c r="D319" s="21"/>
      <c r="E319" s="21"/>
      <c r="F319" s="21"/>
      <c r="H319" s="33" t="s">
        <v>151</v>
      </c>
      <c r="J319" s="2"/>
      <c r="K319" s="2"/>
      <c r="L319" s="36"/>
      <c r="P319" s="36"/>
      <c r="V319" s="36"/>
      <c r="X319" s="2"/>
      <c r="Y319" s="2"/>
      <c r="Z319" s="36"/>
      <c r="AE319" s="2"/>
      <c r="AF319" s="2"/>
      <c r="AG319" s="36"/>
      <c r="AK319" s="2"/>
      <c r="AN319" s="22">
        <f>SUM(AN3:AN231)</f>
        <v>0</v>
      </c>
      <c r="AO319" s="22">
        <f>AN319*26*1.2</f>
        <v>0</v>
      </c>
      <c r="AP319" s="22"/>
      <c r="AQ319" s="22"/>
      <c r="AR319" s="22"/>
      <c r="AS319" s="22"/>
      <c r="AT319" s="22"/>
      <c r="AU319" s="22"/>
      <c r="AV319" s="22"/>
      <c r="AW319" s="22"/>
    </row>
    <row r="320" spans="1:49">
      <c r="H320" s="33">
        <v>0.08</v>
      </c>
      <c r="I320" s="164">
        <f>IFERROR(SUMIF($G$1:$G$261,$H320,I$1:I$261),0)</f>
        <v>368.7</v>
      </c>
      <c r="J320" s="164">
        <f t="shared" ref="J320:K320" si="87">IFERROR(SUMIF($G$1:$G$261,$H320,J$1:J$261),0)</f>
        <v>0</v>
      </c>
      <c r="K320" s="164">
        <f t="shared" si="87"/>
        <v>0</v>
      </c>
      <c r="L320" s="36"/>
      <c r="M320" s="164">
        <f>IFERROR(SUMIF($G$1:$G$261,$H320,M1:M261),0)</f>
        <v>368.7</v>
      </c>
      <c r="N320" s="164">
        <f>IFERROR(SUMIF($G$1:$G$261,$H320,N1:N261),0)</f>
        <v>368.7</v>
      </c>
      <c r="O320" s="164">
        <f>IFERROR(SUMIF($G$1:$G$261,$H320,O1:O261),0)</f>
        <v>368.7</v>
      </c>
      <c r="P320" s="36"/>
      <c r="T320" s="164">
        <f>IFERROR(SUMIF($G$1:$G$261,$H320,T1:T261),0)</f>
        <v>368.7</v>
      </c>
      <c r="U320" s="164">
        <f>IFERROR(SUMIF($G$1:$G$261,$H320,U1:U261),0)</f>
        <v>368.7</v>
      </c>
      <c r="V320" s="36"/>
      <c r="W320" s="164">
        <f>IFERROR(SUMIF($G$1:$G$261,$H320,W1:W261),0)</f>
        <v>368.7</v>
      </c>
      <c r="X320" s="164">
        <f>IFERROR(SUMIF($G$1:$G$261,$H320,X1:X261),0)</f>
        <v>0</v>
      </c>
      <c r="Y320" s="164">
        <f>IFERROR(SUMIF($G$1:$G$261,$H320,Y1:Y261),0)</f>
        <v>0</v>
      </c>
      <c r="Z320" s="36"/>
      <c r="AA320" s="164">
        <f t="shared" ref="AA320:AF320" si="88">IFERROR(SUMIF($G$1:$G$261,$H320,AA1:AA261),0)</f>
        <v>368.7</v>
      </c>
      <c r="AB320" s="164">
        <f t="shared" si="88"/>
        <v>368.7</v>
      </c>
      <c r="AC320" s="164">
        <f t="shared" si="88"/>
        <v>368.7</v>
      </c>
      <c r="AD320" s="164">
        <f t="shared" si="88"/>
        <v>368.7</v>
      </c>
      <c r="AE320" s="164">
        <f t="shared" si="88"/>
        <v>0</v>
      </c>
      <c r="AF320" s="164">
        <f t="shared" si="88"/>
        <v>0</v>
      </c>
      <c r="AG320" s="36"/>
      <c r="AH320" s="164">
        <f>IFERROR(SUMIF($G$1:$G$261,$H320,AH1:AH261),0)</f>
        <v>368.7</v>
      </c>
      <c r="AI320" s="164">
        <f>IFERROR(SUMIF($G$1:$G$261,$H320,AI1:AI261),0)</f>
        <v>368.7</v>
      </c>
      <c r="AJ320" s="164">
        <f>IFERROR(SUMIF($G$1:$G$261,$H320,AJ1:AJ261),0)</f>
        <v>368.7</v>
      </c>
      <c r="AK320" s="164">
        <f>IFERROR(SUMIF($G$1:$G$261,$H320,AK1:AK261),0)</f>
        <v>0</v>
      </c>
    </row>
    <row r="321" spans="1:49">
      <c r="H321" s="33">
        <v>0.16</v>
      </c>
      <c r="I321" s="164">
        <f>IFERROR(SUMIF($G$1:$G$261,$H321,I$1:I$261),0)/22</f>
        <v>10.972727272727299</v>
      </c>
      <c r="J321" s="164">
        <f>IFERROR(SUMIF($G$1:$G$261,$H321,J$1:J$261),0)</f>
        <v>0</v>
      </c>
      <c r="K321" s="164">
        <f>IFERROR(SUMIF($G$1:$G$261,$H321,K$1:K$261),0)</f>
        <v>0</v>
      </c>
      <c r="L321" s="36"/>
      <c r="M321" s="164">
        <f>IFERROR(SUMIF($G$1:$G$261,$H321,M$1:M$261),0)</f>
        <v>55</v>
      </c>
      <c r="N321" s="164">
        <f t="shared" ref="N321:O321" si="89">IFERROR(SUMIF($G$1:$G$261,$H321,N$1:N$261),0)</f>
        <v>55</v>
      </c>
      <c r="O321" s="164">
        <f t="shared" si="89"/>
        <v>55</v>
      </c>
      <c r="P321" s="36"/>
      <c r="T321" s="164">
        <f t="shared" ref="T321:AI327" si="90">IFERROR(SUMIF($G$1:$G$261,$H321,T$1:T$261),0)</f>
        <v>55</v>
      </c>
      <c r="U321" s="164">
        <f t="shared" si="90"/>
        <v>55</v>
      </c>
      <c r="V321" s="36"/>
      <c r="W321" s="164">
        <f t="shared" si="90"/>
        <v>55</v>
      </c>
      <c r="X321" s="164">
        <f t="shared" si="90"/>
        <v>0</v>
      </c>
      <c r="Y321" s="164">
        <f t="shared" si="90"/>
        <v>0</v>
      </c>
      <c r="Z321" s="36"/>
      <c r="AA321" s="164">
        <f t="shared" si="90"/>
        <v>55</v>
      </c>
      <c r="AB321" s="164">
        <f t="shared" si="90"/>
        <v>55</v>
      </c>
      <c r="AC321" s="164">
        <f t="shared" si="90"/>
        <v>55</v>
      </c>
      <c r="AD321" s="164">
        <f t="shared" si="90"/>
        <v>55</v>
      </c>
      <c r="AE321" s="164">
        <f t="shared" si="90"/>
        <v>0</v>
      </c>
      <c r="AF321" s="164">
        <f t="shared" si="90"/>
        <v>0</v>
      </c>
      <c r="AG321" s="36"/>
      <c r="AH321" s="164">
        <f t="shared" si="90"/>
        <v>55</v>
      </c>
      <c r="AI321" s="164">
        <f t="shared" si="90"/>
        <v>55</v>
      </c>
      <c r="AJ321" s="164">
        <f t="shared" ref="AH321:AK327" si="91">IFERROR(SUMIF($G$1:$G$261,$H321,AJ$1:AJ$261),0)</f>
        <v>55</v>
      </c>
      <c r="AK321" s="164">
        <f t="shared" si="91"/>
        <v>0</v>
      </c>
      <c r="AN321" s="22"/>
    </row>
    <row r="322" spans="1:49">
      <c r="H322" s="33">
        <v>0.12</v>
      </c>
      <c r="I322" s="164">
        <f>IFERROR(SUMIF($G$1:$G$261,$H322,I$1:I$261),0)/22</f>
        <v>14.4636363636364</v>
      </c>
      <c r="J322" s="164">
        <f t="shared" ref="J322:O327" si="92">IFERROR(SUMIF($G$1:$G$261,$H322,J$1:J$261),0)</f>
        <v>0</v>
      </c>
      <c r="K322" s="164">
        <f t="shared" si="92"/>
        <v>0</v>
      </c>
      <c r="L322" s="36"/>
      <c r="M322" s="164">
        <f t="shared" si="92"/>
        <v>0</v>
      </c>
      <c r="N322" s="164">
        <f t="shared" si="92"/>
        <v>0</v>
      </c>
      <c r="O322" s="164">
        <f t="shared" si="92"/>
        <v>0</v>
      </c>
      <c r="P322" s="36"/>
      <c r="T322" s="164">
        <f t="shared" si="90"/>
        <v>0</v>
      </c>
      <c r="U322" s="164">
        <f t="shared" si="90"/>
        <v>0</v>
      </c>
      <c r="V322" s="36"/>
      <c r="W322" s="164">
        <f t="shared" si="90"/>
        <v>0</v>
      </c>
      <c r="X322" s="164">
        <f t="shared" si="90"/>
        <v>0</v>
      </c>
      <c r="Y322" s="164">
        <f t="shared" si="90"/>
        <v>0</v>
      </c>
      <c r="Z322" s="36"/>
      <c r="AA322" s="164">
        <f t="shared" si="90"/>
        <v>0</v>
      </c>
      <c r="AB322" s="164">
        <f t="shared" si="90"/>
        <v>0</v>
      </c>
      <c r="AC322" s="164">
        <f t="shared" si="90"/>
        <v>0</v>
      </c>
      <c r="AD322" s="164">
        <f t="shared" si="90"/>
        <v>0</v>
      </c>
      <c r="AE322" s="164">
        <f t="shared" si="90"/>
        <v>0</v>
      </c>
      <c r="AF322" s="164">
        <f t="shared" si="90"/>
        <v>0</v>
      </c>
      <c r="AG322" s="36"/>
      <c r="AH322" s="164">
        <f t="shared" si="91"/>
        <v>0</v>
      </c>
      <c r="AI322" s="164">
        <f t="shared" si="91"/>
        <v>0</v>
      </c>
      <c r="AJ322" s="164">
        <f t="shared" si="91"/>
        <v>0</v>
      </c>
      <c r="AK322" s="164">
        <f t="shared" si="91"/>
        <v>0</v>
      </c>
      <c r="AP322" s="31" t="s">
        <v>152</v>
      </c>
    </row>
    <row r="323" spans="1:49">
      <c r="H323" s="33">
        <v>0.127</v>
      </c>
      <c r="I323" s="164">
        <f>IFERROR(SUMIF($G$1:$G$261,$H323,I$1:I$261),0)/22</f>
        <v>15.590909090909101</v>
      </c>
      <c r="J323" s="164">
        <f t="shared" si="92"/>
        <v>0</v>
      </c>
      <c r="K323" s="164">
        <f t="shared" si="92"/>
        <v>0</v>
      </c>
      <c r="L323" s="36"/>
      <c r="M323" s="164">
        <f t="shared" si="92"/>
        <v>0</v>
      </c>
      <c r="N323" s="164">
        <f t="shared" si="92"/>
        <v>0</v>
      </c>
      <c r="O323" s="164">
        <f t="shared" si="92"/>
        <v>0</v>
      </c>
      <c r="P323" s="36"/>
      <c r="T323" s="164">
        <f t="shared" si="90"/>
        <v>0</v>
      </c>
      <c r="U323" s="164">
        <f t="shared" si="90"/>
        <v>0</v>
      </c>
      <c r="V323" s="36"/>
      <c r="W323" s="164">
        <f t="shared" si="90"/>
        <v>0</v>
      </c>
      <c r="X323" s="164">
        <f t="shared" si="90"/>
        <v>0</v>
      </c>
      <c r="Y323" s="164">
        <f t="shared" si="90"/>
        <v>0</v>
      </c>
      <c r="Z323" s="36"/>
      <c r="AA323" s="164">
        <f t="shared" si="90"/>
        <v>0</v>
      </c>
      <c r="AB323" s="164">
        <f t="shared" si="90"/>
        <v>0</v>
      </c>
      <c r="AC323" s="164">
        <f t="shared" si="90"/>
        <v>0</v>
      </c>
      <c r="AD323" s="164">
        <f t="shared" si="90"/>
        <v>0</v>
      </c>
      <c r="AE323" s="164">
        <f t="shared" si="90"/>
        <v>0</v>
      </c>
      <c r="AF323" s="164">
        <f t="shared" si="90"/>
        <v>0</v>
      </c>
      <c r="AG323" s="36"/>
      <c r="AH323" s="164">
        <f t="shared" si="91"/>
        <v>0</v>
      </c>
      <c r="AI323" s="164">
        <f t="shared" si="91"/>
        <v>0</v>
      </c>
      <c r="AJ323" s="164">
        <f t="shared" si="91"/>
        <v>0</v>
      </c>
      <c r="AK323" s="164">
        <f t="shared" si="91"/>
        <v>0</v>
      </c>
      <c r="AP323" s="31"/>
    </row>
    <row r="324" spans="1:49">
      <c r="H324" s="33">
        <v>0.2</v>
      </c>
      <c r="I324" s="164">
        <f>IFERROR(SUMIF($G$1:$G$261,$H324,I$1:I$261),0)/22</f>
        <v>12.7272727272727</v>
      </c>
      <c r="J324" s="164">
        <f t="shared" si="92"/>
        <v>0</v>
      </c>
      <c r="K324" s="164">
        <f t="shared" si="92"/>
        <v>0</v>
      </c>
      <c r="L324" s="36"/>
      <c r="M324" s="164">
        <f t="shared" si="92"/>
        <v>0</v>
      </c>
      <c r="N324" s="164">
        <f t="shared" si="92"/>
        <v>0</v>
      </c>
      <c r="O324" s="164">
        <f t="shared" si="92"/>
        <v>0</v>
      </c>
      <c r="P324" s="36"/>
      <c r="T324" s="164">
        <f t="shared" si="90"/>
        <v>0</v>
      </c>
      <c r="U324" s="164">
        <f t="shared" si="90"/>
        <v>0</v>
      </c>
      <c r="V324" s="36"/>
      <c r="W324" s="164">
        <f t="shared" si="90"/>
        <v>0</v>
      </c>
      <c r="X324" s="164">
        <f t="shared" si="90"/>
        <v>0</v>
      </c>
      <c r="Y324" s="164">
        <f t="shared" si="90"/>
        <v>0</v>
      </c>
      <c r="Z324" s="36"/>
      <c r="AA324" s="164">
        <f t="shared" si="90"/>
        <v>0</v>
      </c>
      <c r="AB324" s="164">
        <f t="shared" si="90"/>
        <v>0</v>
      </c>
      <c r="AC324" s="164">
        <f t="shared" si="90"/>
        <v>0</v>
      </c>
      <c r="AD324" s="164">
        <f t="shared" si="90"/>
        <v>0</v>
      </c>
      <c r="AE324" s="164">
        <f t="shared" si="90"/>
        <v>0</v>
      </c>
      <c r="AF324" s="164">
        <f t="shared" si="90"/>
        <v>0</v>
      </c>
      <c r="AG324" s="36"/>
      <c r="AH324" s="164">
        <f t="shared" si="91"/>
        <v>0</v>
      </c>
      <c r="AI324" s="164">
        <f t="shared" si="91"/>
        <v>0</v>
      </c>
      <c r="AJ324" s="164">
        <f t="shared" si="91"/>
        <v>0</v>
      </c>
      <c r="AK324" s="164">
        <f t="shared" si="91"/>
        <v>0</v>
      </c>
      <c r="AP324" s="31"/>
    </row>
    <row r="325" spans="1:49">
      <c r="H325" s="33" t="s">
        <v>91</v>
      </c>
      <c r="I325" s="164">
        <v>24</v>
      </c>
      <c r="J325" s="164">
        <f t="shared" si="92"/>
        <v>0</v>
      </c>
      <c r="K325" s="164">
        <f t="shared" si="92"/>
        <v>0</v>
      </c>
      <c r="L325" s="36"/>
      <c r="M325" s="164">
        <f t="shared" si="92"/>
        <v>0</v>
      </c>
      <c r="N325" s="164">
        <f t="shared" si="92"/>
        <v>0</v>
      </c>
      <c r="O325" s="164">
        <f t="shared" si="92"/>
        <v>0</v>
      </c>
      <c r="P325" s="36"/>
      <c r="T325" s="164">
        <f t="shared" si="90"/>
        <v>0</v>
      </c>
      <c r="U325" s="164">
        <f t="shared" si="90"/>
        <v>0</v>
      </c>
      <c r="V325" s="36"/>
      <c r="W325" s="164">
        <f t="shared" si="90"/>
        <v>0</v>
      </c>
      <c r="X325" s="164">
        <f t="shared" si="90"/>
        <v>0</v>
      </c>
      <c r="Y325" s="164">
        <f t="shared" si="90"/>
        <v>0</v>
      </c>
      <c r="Z325" s="36"/>
      <c r="AA325" s="164">
        <f t="shared" si="90"/>
        <v>0</v>
      </c>
      <c r="AB325" s="164">
        <f t="shared" si="90"/>
        <v>0</v>
      </c>
      <c r="AC325" s="164">
        <f t="shared" si="90"/>
        <v>0</v>
      </c>
      <c r="AD325" s="164">
        <f t="shared" si="90"/>
        <v>0</v>
      </c>
      <c r="AE325" s="164">
        <f t="shared" si="90"/>
        <v>0</v>
      </c>
      <c r="AF325" s="164">
        <f t="shared" si="90"/>
        <v>0</v>
      </c>
      <c r="AG325" s="36"/>
      <c r="AH325" s="164">
        <f t="shared" si="91"/>
        <v>0</v>
      </c>
      <c r="AI325" s="164">
        <f t="shared" si="91"/>
        <v>0</v>
      </c>
      <c r="AJ325" s="164">
        <f t="shared" si="91"/>
        <v>0</v>
      </c>
      <c r="AK325" s="164">
        <f t="shared" si="91"/>
        <v>0</v>
      </c>
      <c r="AP325" s="31"/>
    </row>
    <row r="326" spans="1:49">
      <c r="H326" s="33" t="s">
        <v>93</v>
      </c>
      <c r="I326" s="164">
        <v>11</v>
      </c>
      <c r="J326" s="164">
        <f t="shared" si="92"/>
        <v>0</v>
      </c>
      <c r="K326" s="164">
        <f t="shared" si="92"/>
        <v>0</v>
      </c>
      <c r="L326" s="36"/>
      <c r="M326" s="164">
        <f t="shared" si="92"/>
        <v>0</v>
      </c>
      <c r="N326" s="164">
        <f t="shared" si="92"/>
        <v>0</v>
      </c>
      <c r="O326" s="164">
        <f t="shared" si="92"/>
        <v>0</v>
      </c>
      <c r="P326" s="36"/>
      <c r="T326" s="164">
        <f t="shared" si="90"/>
        <v>0</v>
      </c>
      <c r="U326" s="164">
        <f t="shared" si="90"/>
        <v>0</v>
      </c>
      <c r="V326" s="36"/>
      <c r="W326" s="164">
        <f t="shared" si="90"/>
        <v>0</v>
      </c>
      <c r="X326" s="164">
        <f t="shared" si="90"/>
        <v>0</v>
      </c>
      <c r="Y326" s="164">
        <f t="shared" si="90"/>
        <v>0</v>
      </c>
      <c r="Z326" s="36"/>
      <c r="AA326" s="164">
        <f t="shared" si="90"/>
        <v>0</v>
      </c>
      <c r="AB326" s="164">
        <f t="shared" si="90"/>
        <v>0</v>
      </c>
      <c r="AC326" s="164">
        <f t="shared" si="90"/>
        <v>0</v>
      </c>
      <c r="AD326" s="164">
        <f t="shared" si="90"/>
        <v>0</v>
      </c>
      <c r="AE326" s="164">
        <f t="shared" si="90"/>
        <v>0</v>
      </c>
      <c r="AF326" s="164">
        <f t="shared" si="90"/>
        <v>0</v>
      </c>
      <c r="AG326" s="36"/>
      <c r="AH326" s="164">
        <f t="shared" si="91"/>
        <v>0</v>
      </c>
      <c r="AI326" s="164">
        <f t="shared" si="91"/>
        <v>0</v>
      </c>
      <c r="AJ326" s="164">
        <f t="shared" si="91"/>
        <v>0</v>
      </c>
      <c r="AK326" s="164">
        <f t="shared" si="91"/>
        <v>0</v>
      </c>
      <c r="AP326" s="31"/>
    </row>
    <row r="327" spans="1:49">
      <c r="H327" s="33" t="s">
        <v>62</v>
      </c>
      <c r="I327" s="164">
        <f>IFERROR(SUMIF($G$1:$G$261,$H327,I$1:I$261),0)</f>
        <v>60.71</v>
      </c>
      <c r="J327" s="164">
        <f t="shared" si="92"/>
        <v>0</v>
      </c>
      <c r="K327" s="164">
        <f t="shared" si="92"/>
        <v>0</v>
      </c>
      <c r="L327" s="36"/>
      <c r="M327" s="164">
        <f t="shared" si="92"/>
        <v>60.71</v>
      </c>
      <c r="N327" s="164">
        <f t="shared" si="92"/>
        <v>60.71</v>
      </c>
      <c r="O327" s="164">
        <f t="shared" si="92"/>
        <v>60.71</v>
      </c>
      <c r="P327" s="36"/>
      <c r="T327" s="164">
        <f t="shared" si="90"/>
        <v>60.71</v>
      </c>
      <c r="U327" s="164">
        <f t="shared" si="90"/>
        <v>60.71</v>
      </c>
      <c r="V327" s="36"/>
      <c r="W327" s="164">
        <f t="shared" si="90"/>
        <v>60.71</v>
      </c>
      <c r="X327" s="164">
        <f t="shared" si="90"/>
        <v>0</v>
      </c>
      <c r="Y327" s="164">
        <f t="shared" si="90"/>
        <v>0</v>
      </c>
      <c r="Z327" s="36"/>
      <c r="AA327" s="164">
        <f t="shared" si="90"/>
        <v>60.71</v>
      </c>
      <c r="AB327" s="164">
        <f t="shared" si="90"/>
        <v>60.71</v>
      </c>
      <c r="AC327" s="164">
        <f t="shared" si="90"/>
        <v>60.71</v>
      </c>
      <c r="AD327" s="164">
        <f t="shared" si="90"/>
        <v>60.71</v>
      </c>
      <c r="AE327" s="164">
        <f t="shared" si="90"/>
        <v>0</v>
      </c>
      <c r="AF327" s="164">
        <f t="shared" si="90"/>
        <v>0</v>
      </c>
      <c r="AG327" s="36"/>
      <c r="AH327" s="164">
        <f t="shared" si="91"/>
        <v>60.71</v>
      </c>
      <c r="AI327" s="164">
        <f t="shared" si="91"/>
        <v>60.71</v>
      </c>
      <c r="AJ327" s="164">
        <f t="shared" si="91"/>
        <v>60.71</v>
      </c>
      <c r="AK327" s="164">
        <f t="shared" si="91"/>
        <v>0</v>
      </c>
      <c r="AP327" s="31"/>
    </row>
    <row r="328" spans="1:49">
      <c r="H328" s="33"/>
      <c r="I328" s="164"/>
      <c r="J328" s="164"/>
      <c r="K328" s="164"/>
      <c r="L328" s="36"/>
      <c r="M328" s="164"/>
      <c r="N328" s="164"/>
      <c r="O328" s="164"/>
      <c r="P328" s="36"/>
      <c r="T328" s="164"/>
      <c r="U328" s="164"/>
      <c r="V328" s="36"/>
      <c r="W328" s="164"/>
      <c r="X328" s="164"/>
      <c r="Y328" s="164"/>
      <c r="Z328" s="36"/>
      <c r="AA328" s="164"/>
      <c r="AB328" s="164"/>
      <c r="AC328" s="164"/>
      <c r="AD328" s="164"/>
      <c r="AE328" s="164"/>
      <c r="AF328" s="164"/>
      <c r="AG328" s="36"/>
      <c r="AH328" s="164"/>
      <c r="AI328" s="164"/>
      <c r="AJ328" s="164"/>
      <c r="AK328" s="164"/>
      <c r="AP328" s="31"/>
    </row>
    <row r="329" spans="1:49">
      <c r="H329" s="22" t="s">
        <v>9</v>
      </c>
      <c r="I329" s="22">
        <f>SUM(I320:I327)</f>
        <v>518.16454545454496</v>
      </c>
      <c r="J329" s="2"/>
      <c r="K329" s="2"/>
      <c r="L329" s="36"/>
      <c r="P329" s="36"/>
      <c r="V329" s="36"/>
      <c r="X329" s="2"/>
      <c r="Y329" s="2"/>
      <c r="Z329" s="36"/>
      <c r="AE329" s="2"/>
      <c r="AF329" s="2"/>
      <c r="AG329" s="36"/>
      <c r="AK329" s="2"/>
      <c r="AP329" s="31"/>
    </row>
    <row r="330" spans="1:49">
      <c r="A330" s="64"/>
      <c r="B330" s="172"/>
      <c r="C330" s="170"/>
      <c r="D330" s="170"/>
      <c r="E330" s="170"/>
      <c r="F330" s="170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  <c r="AB330" s="173"/>
      <c r="AC330" s="173"/>
      <c r="AD330" s="173"/>
      <c r="AE330" s="173"/>
      <c r="AF330" s="173"/>
      <c r="AG330" s="176"/>
      <c r="AH330" s="173"/>
      <c r="AI330" s="173"/>
      <c r="AJ330" s="173"/>
      <c r="AK330" s="173"/>
      <c r="AL330" s="173"/>
      <c r="AM330" s="169"/>
      <c r="AN330" s="528" t="s">
        <v>153</v>
      </c>
      <c r="AO330" s="528"/>
      <c r="AP330" s="170">
        <f>SUM(AW3:AW261)</f>
        <v>0</v>
      </c>
      <c r="AQ330" s="169"/>
      <c r="AR330" s="169"/>
      <c r="AS330" s="169"/>
      <c r="AT330" s="169"/>
    </row>
    <row r="331" spans="1:49">
      <c r="A331" s="64"/>
      <c r="B331" s="64"/>
      <c r="C331" s="169"/>
      <c r="D331" s="169"/>
      <c r="E331" s="169"/>
      <c r="F331" s="169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169"/>
      <c r="AN331" s="169"/>
      <c r="AO331" s="169"/>
      <c r="AP331" s="169"/>
      <c r="AQ331" s="169"/>
      <c r="AR331" s="169"/>
      <c r="AS331" s="169"/>
      <c r="AT331" s="169"/>
    </row>
    <row r="332" spans="1:49">
      <c r="A332" s="64"/>
      <c r="B332" s="170"/>
      <c r="C332" s="529"/>
      <c r="D332" s="529"/>
      <c r="E332" s="529"/>
      <c r="F332" s="529"/>
      <c r="G332" s="529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170"/>
      <c r="AG332" s="174"/>
      <c r="AH332" s="170"/>
      <c r="AI332" s="170"/>
      <c r="AJ332" s="170"/>
      <c r="AK332" s="170"/>
      <c r="AL332" s="170"/>
      <c r="AM332" s="169"/>
      <c r="AN332" s="169"/>
      <c r="AO332" s="169"/>
      <c r="AP332" s="169"/>
      <c r="AQ332" s="169"/>
      <c r="AR332" s="169"/>
      <c r="AS332" s="169"/>
      <c r="AT332" s="169"/>
    </row>
    <row r="333" spans="1:49">
      <c r="A333" s="64"/>
      <c r="B333" s="64"/>
      <c r="C333" s="174"/>
      <c r="D333" s="174"/>
      <c r="E333" s="174"/>
      <c r="F333" s="17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2"/>
      <c r="AV333" s="2"/>
      <c r="AW333" s="2"/>
    </row>
    <row r="334" spans="1:49">
      <c r="A334" s="64"/>
      <c r="B334" s="64"/>
      <c r="C334" s="174"/>
      <c r="D334" s="174"/>
      <c r="E334" s="174"/>
      <c r="F334" s="17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2"/>
      <c r="AV334" s="2"/>
      <c r="AW334" s="2"/>
    </row>
    <row r="335" spans="1:49">
      <c r="A335" s="64"/>
      <c r="B335" s="64"/>
      <c r="C335" s="174"/>
      <c r="D335" s="174"/>
      <c r="E335" s="174"/>
      <c r="F335" s="17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2"/>
      <c r="AV335" s="2"/>
      <c r="AW335" s="2"/>
    </row>
    <row r="336" spans="1:49">
      <c r="A336" s="64"/>
      <c r="B336" s="64"/>
      <c r="C336" s="174"/>
      <c r="D336" s="174"/>
      <c r="E336" s="174"/>
      <c r="F336" s="17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2"/>
      <c r="AV336" s="2"/>
      <c r="AW336" s="2"/>
    </row>
    <row r="337" spans="1:49">
      <c r="A337" s="64"/>
      <c r="B337" s="64"/>
      <c r="C337" s="174"/>
      <c r="D337" s="174"/>
      <c r="E337" s="174"/>
      <c r="F337" s="17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2"/>
      <c r="AV337" s="2"/>
      <c r="AW337" s="2"/>
    </row>
    <row r="338" spans="1:49">
      <c r="A338" s="64"/>
      <c r="B338" s="64"/>
      <c r="C338" s="174"/>
      <c r="D338" s="174"/>
      <c r="E338" s="174"/>
      <c r="F338" s="17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2"/>
      <c r="AV338" s="2"/>
      <c r="AW338" s="2"/>
    </row>
    <row r="339" spans="1:49">
      <c r="A339" s="64"/>
      <c r="B339" s="64"/>
      <c r="C339" s="174"/>
      <c r="D339" s="174"/>
      <c r="E339" s="174"/>
      <c r="F339" s="17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2"/>
      <c r="AV339" s="2"/>
      <c r="AW339" s="2"/>
    </row>
    <row r="340" spans="1:49">
      <c r="A340" s="64"/>
      <c r="B340" s="64"/>
      <c r="C340" s="174"/>
      <c r="D340" s="174"/>
      <c r="E340" s="174"/>
      <c r="F340" s="17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2"/>
      <c r="AV340" s="2"/>
      <c r="AW340" s="2"/>
    </row>
    <row r="341" spans="1:49">
      <c r="A341" s="64"/>
      <c r="B341" s="64"/>
      <c r="C341" s="174"/>
      <c r="D341" s="174"/>
      <c r="E341" s="174"/>
      <c r="F341" s="17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2"/>
      <c r="AV341" s="2"/>
      <c r="AW341" s="2"/>
    </row>
    <row r="342" spans="1:49">
      <c r="A342" s="64"/>
      <c r="B342" s="64"/>
      <c r="C342" s="174"/>
      <c r="D342" s="174"/>
      <c r="E342" s="174"/>
      <c r="F342" s="17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2"/>
      <c r="AV342" s="2"/>
      <c r="AW342" s="2"/>
    </row>
    <row r="343" spans="1:49">
      <c r="A343" s="64"/>
      <c r="B343" s="64"/>
      <c r="C343" s="174"/>
      <c r="D343" s="174"/>
      <c r="E343" s="174"/>
      <c r="F343" s="17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2"/>
      <c r="AV343" s="2"/>
      <c r="AW343" s="2"/>
    </row>
    <row r="344" spans="1:49">
      <c r="A344" s="64"/>
      <c r="B344" s="172"/>
      <c r="C344" s="170"/>
      <c r="D344" s="170"/>
      <c r="E344" s="170"/>
      <c r="F344" s="170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  <c r="AA344" s="175"/>
      <c r="AB344" s="175"/>
      <c r="AC344" s="175"/>
      <c r="AD344" s="175"/>
      <c r="AE344" s="175"/>
      <c r="AF344" s="175"/>
      <c r="AG344" s="64"/>
      <c r="AH344" s="175"/>
      <c r="AI344" s="175"/>
      <c r="AJ344" s="175"/>
      <c r="AK344" s="175"/>
      <c r="AL344" s="175"/>
      <c r="AM344" s="64"/>
      <c r="AN344" s="64"/>
      <c r="AO344" s="64"/>
      <c r="AP344" s="64"/>
      <c r="AQ344" s="64"/>
      <c r="AR344" s="64"/>
      <c r="AS344" s="64"/>
      <c r="AT344" s="64"/>
      <c r="AU344" s="2"/>
      <c r="AV344" s="2"/>
      <c r="AW344" s="2"/>
    </row>
    <row r="345" spans="1:49">
      <c r="A345" s="64"/>
      <c r="B345" s="64"/>
      <c r="C345" s="169"/>
      <c r="D345" s="169"/>
      <c r="E345" s="169"/>
      <c r="F345" s="169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169"/>
      <c r="AN345" s="169"/>
      <c r="AO345" s="169"/>
      <c r="AP345" s="169"/>
      <c r="AQ345" s="169"/>
      <c r="AR345" s="169"/>
      <c r="AS345" s="169"/>
      <c r="AT345" s="169"/>
    </row>
    <row r="346" spans="1:49">
      <c r="B346" s="22"/>
      <c r="C346" s="22"/>
      <c r="D346" s="22"/>
      <c r="E346" s="22"/>
      <c r="F346" s="22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2"/>
      <c r="AV346" s="2"/>
      <c r="AW346" s="2"/>
    </row>
    <row r="347" spans="1:49">
      <c r="C347" s="25"/>
      <c r="D347" s="25"/>
      <c r="E347" s="25"/>
      <c r="F347" s="25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2"/>
      <c r="AV347" s="2"/>
      <c r="AW347" s="2"/>
    </row>
    <row r="348" spans="1:49">
      <c r="C348" s="25"/>
      <c r="D348" s="25"/>
      <c r="E348" s="25"/>
      <c r="F348" s="25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2"/>
      <c r="AV348" s="2"/>
      <c r="AW348" s="2"/>
    </row>
    <row r="349" spans="1:49">
      <c r="B349" s="24"/>
      <c r="C349" s="22"/>
      <c r="D349" s="22"/>
      <c r="E349" s="22"/>
      <c r="F349" s="22"/>
      <c r="G349" s="33"/>
      <c r="H349" s="33"/>
      <c r="I349" s="33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64"/>
      <c r="AH349" s="175"/>
      <c r="AI349" s="175"/>
      <c r="AJ349" s="175"/>
      <c r="AK349" s="175"/>
      <c r="AL349" s="175"/>
      <c r="AM349" s="64"/>
      <c r="AN349" s="64"/>
      <c r="AO349" s="64"/>
      <c r="AP349" s="64"/>
      <c r="AQ349" s="64"/>
      <c r="AR349" s="64"/>
      <c r="AS349" s="64"/>
      <c r="AT349" s="64"/>
      <c r="AU349" s="2"/>
      <c r="AV349" s="2"/>
      <c r="AW349" s="2"/>
    </row>
    <row r="350" spans="1:49"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169"/>
      <c r="AN350" s="169"/>
      <c r="AO350" s="169"/>
      <c r="AP350" s="169"/>
      <c r="AQ350" s="169"/>
      <c r="AR350" s="169"/>
      <c r="AS350" s="169"/>
      <c r="AT350" s="169"/>
    </row>
    <row r="351" spans="1:49"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169"/>
      <c r="AN351" s="169"/>
      <c r="AO351" s="169"/>
      <c r="AP351" s="169"/>
      <c r="AQ351" s="169"/>
      <c r="AR351" s="169"/>
      <c r="AS351" s="169"/>
      <c r="AT351" s="169"/>
    </row>
    <row r="352" spans="1:49"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169"/>
      <c r="AN352" s="169"/>
      <c r="AO352" s="169"/>
      <c r="AP352" s="169"/>
      <c r="AQ352" s="169"/>
      <c r="AR352" s="169"/>
      <c r="AS352" s="169"/>
      <c r="AT352" s="169"/>
    </row>
    <row r="353" spans="10:46"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169"/>
      <c r="AN353" s="169"/>
      <c r="AO353" s="169"/>
      <c r="AP353" s="169"/>
      <c r="AQ353" s="169"/>
      <c r="AR353" s="169"/>
      <c r="AS353" s="169"/>
      <c r="AT353" s="169"/>
    </row>
    <row r="354" spans="10:46"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169"/>
      <c r="AN354" s="169"/>
      <c r="AO354" s="169"/>
      <c r="AP354" s="169"/>
      <c r="AQ354" s="169"/>
      <c r="AR354" s="169"/>
      <c r="AS354" s="169"/>
      <c r="AT354" s="169"/>
    </row>
    <row r="355" spans="10:46"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169"/>
      <c r="AN355" s="169"/>
      <c r="AO355" s="169"/>
      <c r="AP355" s="169"/>
      <c r="AQ355" s="169"/>
      <c r="AR355" s="169"/>
      <c r="AS355" s="169"/>
      <c r="AT355" s="169"/>
    </row>
    <row r="356" spans="10:46"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169"/>
      <c r="AN356" s="169"/>
      <c r="AO356" s="169"/>
      <c r="AP356" s="169"/>
      <c r="AQ356" s="169"/>
      <c r="AR356" s="169"/>
      <c r="AS356" s="169"/>
      <c r="AT356" s="169"/>
    </row>
    <row r="357" spans="10:46"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169"/>
      <c r="AN357" s="169"/>
      <c r="AO357" s="169"/>
      <c r="AP357" s="169"/>
      <c r="AQ357" s="169"/>
      <c r="AR357" s="169"/>
      <c r="AS357" s="169"/>
      <c r="AT357" s="169"/>
    </row>
    <row r="358" spans="10:46"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169"/>
      <c r="AN358" s="169"/>
      <c r="AO358" s="169"/>
      <c r="AP358" s="169"/>
      <c r="AQ358" s="169"/>
      <c r="AR358" s="169"/>
      <c r="AS358" s="169"/>
      <c r="AT358" s="169"/>
    </row>
    <row r="359" spans="10:46"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169"/>
      <c r="AN359" s="169"/>
      <c r="AO359" s="169"/>
      <c r="AP359" s="169"/>
      <c r="AQ359" s="169"/>
      <c r="AR359" s="169"/>
      <c r="AS359" s="169"/>
      <c r="AT359" s="169"/>
    </row>
    <row r="360" spans="10:46"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169"/>
      <c r="AN360" s="169"/>
      <c r="AO360" s="169"/>
      <c r="AP360" s="169"/>
      <c r="AQ360" s="169"/>
      <c r="AR360" s="169"/>
      <c r="AS360" s="169"/>
      <c r="AT360" s="169"/>
    </row>
    <row r="361" spans="10:46"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169"/>
      <c r="AN361" s="169"/>
      <c r="AO361" s="169"/>
      <c r="AP361" s="169"/>
      <c r="AQ361" s="169"/>
      <c r="AR361" s="169"/>
      <c r="AS361" s="169"/>
      <c r="AT361" s="169"/>
    </row>
    <row r="362" spans="10:46"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169"/>
      <c r="AN362" s="169"/>
      <c r="AO362" s="169"/>
      <c r="AP362" s="169"/>
      <c r="AQ362" s="169"/>
      <c r="AR362" s="169"/>
      <c r="AS362" s="169"/>
      <c r="AT362" s="169"/>
    </row>
    <row r="363" spans="10:46"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169"/>
      <c r="AN363" s="169"/>
      <c r="AO363" s="169"/>
      <c r="AP363" s="169"/>
      <c r="AQ363" s="169"/>
      <c r="AR363" s="169"/>
      <c r="AS363" s="169"/>
      <c r="AT363" s="169"/>
    </row>
    <row r="364" spans="10:46"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169"/>
      <c r="AN364" s="169"/>
      <c r="AO364" s="169"/>
      <c r="AP364" s="169"/>
      <c r="AQ364" s="169"/>
      <c r="AR364" s="169"/>
      <c r="AS364" s="169"/>
      <c r="AT364" s="169"/>
    </row>
    <row r="365" spans="10:46"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169"/>
      <c r="AN365" s="169"/>
      <c r="AO365" s="169"/>
      <c r="AP365" s="169"/>
      <c r="AQ365" s="169"/>
      <c r="AR365" s="169"/>
      <c r="AS365" s="169"/>
      <c r="AT365" s="169"/>
    </row>
    <row r="366" spans="10:46"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169"/>
      <c r="AN366" s="169"/>
      <c r="AO366" s="169"/>
      <c r="AP366" s="169"/>
      <c r="AQ366" s="169"/>
      <c r="AR366" s="169"/>
      <c r="AS366" s="169"/>
      <c r="AT366" s="169"/>
    </row>
    <row r="367" spans="10:46"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169"/>
      <c r="AN367" s="169"/>
      <c r="AO367" s="169"/>
      <c r="AP367" s="169"/>
      <c r="AQ367" s="169"/>
      <c r="AR367" s="169"/>
      <c r="AS367" s="169"/>
      <c r="AT367" s="169"/>
    </row>
    <row r="368" spans="10:46"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169"/>
      <c r="AN368" s="169"/>
      <c r="AO368" s="169"/>
      <c r="AP368" s="169"/>
      <c r="AQ368" s="169"/>
      <c r="AR368" s="169"/>
      <c r="AS368" s="169"/>
      <c r="AT368" s="169"/>
    </row>
    <row r="369" spans="10:46"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169"/>
      <c r="AN369" s="169"/>
      <c r="AO369" s="169"/>
      <c r="AP369" s="169"/>
      <c r="AQ369" s="169"/>
      <c r="AR369" s="169"/>
      <c r="AS369" s="169"/>
      <c r="AT369" s="169"/>
    </row>
    <row r="370" spans="10:46"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169"/>
      <c r="AN370" s="169"/>
      <c r="AO370" s="169"/>
      <c r="AP370" s="169"/>
      <c r="AQ370" s="169"/>
      <c r="AR370" s="169"/>
      <c r="AS370" s="169"/>
      <c r="AT370" s="169"/>
    </row>
    <row r="371" spans="10:46"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169"/>
      <c r="AN371" s="169"/>
      <c r="AO371" s="169"/>
      <c r="AP371" s="169"/>
      <c r="AQ371" s="169"/>
      <c r="AR371" s="169"/>
      <c r="AS371" s="169"/>
      <c r="AT371" s="169"/>
    </row>
    <row r="372" spans="10:46"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169"/>
      <c r="AN372" s="169"/>
      <c r="AO372" s="169"/>
      <c r="AP372" s="169"/>
      <c r="AQ372" s="169"/>
      <c r="AR372" s="169"/>
      <c r="AS372" s="169"/>
      <c r="AT372" s="169"/>
    </row>
    <row r="373" spans="10:46"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169"/>
      <c r="AN373" s="169"/>
      <c r="AO373" s="169"/>
      <c r="AP373" s="169"/>
      <c r="AQ373" s="169"/>
      <c r="AR373" s="169"/>
      <c r="AS373" s="169"/>
      <c r="AT373" s="169"/>
    </row>
    <row r="374" spans="10:46"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169"/>
      <c r="AN374" s="169"/>
      <c r="AO374" s="169"/>
      <c r="AP374" s="169"/>
      <c r="AQ374" s="169"/>
      <c r="AR374" s="169"/>
      <c r="AS374" s="169"/>
      <c r="AT374" s="169"/>
    </row>
    <row r="375" spans="10:46"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169"/>
      <c r="AN375" s="169"/>
      <c r="AO375" s="169"/>
      <c r="AP375" s="169"/>
      <c r="AQ375" s="169"/>
      <c r="AR375" s="169"/>
      <c r="AS375" s="169"/>
      <c r="AT375" s="169"/>
    </row>
    <row r="376" spans="10:46"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169"/>
      <c r="AN376" s="169"/>
      <c r="AO376" s="169"/>
      <c r="AP376" s="169"/>
      <c r="AQ376" s="169"/>
      <c r="AR376" s="169"/>
      <c r="AS376" s="169"/>
      <c r="AT376" s="169"/>
    </row>
    <row r="377" spans="10:46"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169"/>
      <c r="AN377" s="169"/>
      <c r="AO377" s="169"/>
      <c r="AP377" s="169"/>
      <c r="AQ377" s="169"/>
      <c r="AR377" s="169"/>
      <c r="AS377" s="169"/>
      <c r="AT377" s="169"/>
    </row>
    <row r="378" spans="10:46"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169"/>
      <c r="AN378" s="169"/>
      <c r="AO378" s="169"/>
      <c r="AP378" s="169"/>
      <c r="AQ378" s="169"/>
      <c r="AR378" s="169"/>
      <c r="AS378" s="169"/>
      <c r="AT378" s="169"/>
    </row>
    <row r="379" spans="10:46"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169"/>
      <c r="AN379" s="169"/>
      <c r="AO379" s="169"/>
      <c r="AP379" s="169"/>
      <c r="AQ379" s="169"/>
      <c r="AR379" s="169"/>
      <c r="AS379" s="169"/>
      <c r="AT379" s="169"/>
    </row>
    <row r="380" spans="10:46"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169"/>
      <c r="AN380" s="169"/>
      <c r="AO380" s="169"/>
      <c r="AP380" s="169"/>
      <c r="AQ380" s="169"/>
      <c r="AR380" s="169"/>
      <c r="AS380" s="169"/>
      <c r="AT380" s="169"/>
    </row>
    <row r="381" spans="10:46"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169"/>
      <c r="AN381" s="169"/>
      <c r="AO381" s="169"/>
      <c r="AP381" s="169"/>
      <c r="AQ381" s="169"/>
      <c r="AR381" s="169"/>
      <c r="AS381" s="169"/>
      <c r="AT381" s="169"/>
    </row>
    <row r="382" spans="10:46"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169"/>
      <c r="AN382" s="169"/>
      <c r="AO382" s="169"/>
      <c r="AP382" s="169"/>
      <c r="AQ382" s="169"/>
      <c r="AR382" s="169"/>
      <c r="AS382" s="169"/>
      <c r="AT382" s="169"/>
    </row>
    <row r="383" spans="10:46"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169"/>
      <c r="AN383" s="169"/>
      <c r="AO383" s="169"/>
      <c r="AP383" s="169"/>
      <c r="AQ383" s="169"/>
      <c r="AR383" s="169"/>
      <c r="AS383" s="169"/>
      <c r="AT383" s="169"/>
    </row>
    <row r="384" spans="10:46"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169"/>
      <c r="AN384" s="169"/>
      <c r="AO384" s="169"/>
      <c r="AP384" s="169"/>
      <c r="AQ384" s="169"/>
      <c r="AR384" s="169"/>
      <c r="AS384" s="169"/>
      <c r="AT384" s="169"/>
    </row>
    <row r="385" spans="10:46"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169"/>
      <c r="AN385" s="169"/>
      <c r="AO385" s="169"/>
      <c r="AP385" s="169"/>
      <c r="AQ385" s="169"/>
      <c r="AR385" s="169"/>
      <c r="AS385" s="169"/>
      <c r="AT385" s="169"/>
    </row>
    <row r="386" spans="10:46"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169"/>
      <c r="AN386" s="169"/>
      <c r="AO386" s="169"/>
      <c r="AP386" s="169"/>
      <c r="AQ386" s="169"/>
      <c r="AR386" s="169"/>
      <c r="AS386" s="169"/>
      <c r="AT386" s="169"/>
    </row>
    <row r="387" spans="10:46"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169"/>
      <c r="AN387" s="169"/>
      <c r="AO387" s="169"/>
      <c r="AP387" s="169"/>
      <c r="AQ387" s="169"/>
      <c r="AR387" s="169"/>
      <c r="AS387" s="169"/>
      <c r="AT387" s="169"/>
    </row>
    <row r="388" spans="10:46"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169"/>
      <c r="AN388" s="169"/>
      <c r="AO388" s="169"/>
      <c r="AP388" s="169"/>
      <c r="AQ388" s="169"/>
      <c r="AR388" s="169"/>
      <c r="AS388" s="169"/>
      <c r="AT388" s="169"/>
    </row>
    <row r="389" spans="10:46"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169"/>
      <c r="AN389" s="169"/>
      <c r="AO389" s="169"/>
      <c r="AP389" s="169"/>
      <c r="AQ389" s="169"/>
      <c r="AR389" s="169"/>
      <c r="AS389" s="169"/>
      <c r="AT389" s="169"/>
    </row>
    <row r="390" spans="10:46"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169"/>
      <c r="AN390" s="169"/>
      <c r="AO390" s="169"/>
      <c r="AP390" s="169"/>
      <c r="AQ390" s="169"/>
      <c r="AR390" s="169"/>
      <c r="AS390" s="169"/>
      <c r="AT390" s="169"/>
    </row>
    <row r="391" spans="10:46"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169"/>
      <c r="AN391" s="169"/>
      <c r="AO391" s="169"/>
      <c r="AP391" s="169"/>
      <c r="AQ391" s="169"/>
      <c r="AR391" s="169"/>
      <c r="AS391" s="169"/>
      <c r="AT391" s="169"/>
    </row>
    <row r="392" spans="10:46"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169"/>
      <c r="AN392" s="169"/>
      <c r="AO392" s="169"/>
      <c r="AP392" s="169"/>
      <c r="AQ392" s="169"/>
      <c r="AR392" s="169"/>
      <c r="AS392" s="169"/>
      <c r="AT392" s="169"/>
    </row>
    <row r="393" spans="10:46"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169"/>
      <c r="AN393" s="169"/>
      <c r="AO393" s="169"/>
      <c r="AP393" s="169"/>
      <c r="AQ393" s="169"/>
      <c r="AR393" s="169"/>
      <c r="AS393" s="169"/>
      <c r="AT393" s="169"/>
    </row>
    <row r="394" spans="10:46"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169"/>
      <c r="AN394" s="169"/>
      <c r="AO394" s="169"/>
      <c r="AP394" s="169"/>
      <c r="AQ394" s="169"/>
      <c r="AR394" s="169"/>
      <c r="AS394" s="169"/>
      <c r="AT394" s="169"/>
    </row>
    <row r="395" spans="10:46"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169"/>
      <c r="AN395" s="169"/>
      <c r="AO395" s="169"/>
      <c r="AP395" s="169"/>
      <c r="AQ395" s="169"/>
      <c r="AR395" s="169"/>
      <c r="AS395" s="169"/>
      <c r="AT395" s="169"/>
    </row>
    <row r="396" spans="10:46"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169"/>
      <c r="AN396" s="169"/>
      <c r="AO396" s="169"/>
      <c r="AP396" s="169"/>
      <c r="AQ396" s="169"/>
      <c r="AR396" s="169"/>
      <c r="AS396" s="169"/>
      <c r="AT396" s="169"/>
    </row>
    <row r="397" spans="10:46"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169"/>
      <c r="AN397" s="169"/>
      <c r="AO397" s="169"/>
      <c r="AP397" s="169"/>
      <c r="AQ397" s="169"/>
      <c r="AR397" s="169"/>
      <c r="AS397" s="169"/>
      <c r="AT397" s="169"/>
    </row>
    <row r="398" spans="10:46"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169"/>
      <c r="AN398" s="169"/>
      <c r="AO398" s="169"/>
      <c r="AP398" s="169"/>
      <c r="AQ398" s="169"/>
      <c r="AR398" s="169"/>
      <c r="AS398" s="169"/>
      <c r="AT398" s="169"/>
    </row>
    <row r="399" spans="10:46"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169"/>
      <c r="AN399" s="169"/>
      <c r="AO399" s="169"/>
      <c r="AP399" s="169"/>
      <c r="AQ399" s="169"/>
      <c r="AR399" s="169"/>
      <c r="AS399" s="169"/>
      <c r="AT399" s="169"/>
    </row>
    <row r="400" spans="10:46"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169"/>
      <c r="AN400" s="169"/>
      <c r="AO400" s="169"/>
      <c r="AP400" s="169"/>
      <c r="AQ400" s="169"/>
      <c r="AR400" s="169"/>
      <c r="AS400" s="169"/>
      <c r="AT400" s="169"/>
    </row>
    <row r="401" spans="10:46"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169"/>
      <c r="AN401" s="169"/>
      <c r="AO401" s="169"/>
      <c r="AP401" s="169"/>
      <c r="AQ401" s="169"/>
      <c r="AR401" s="169"/>
      <c r="AS401" s="169"/>
      <c r="AT401" s="169"/>
    </row>
    <row r="402" spans="10:46"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169"/>
      <c r="AN402" s="169"/>
      <c r="AO402" s="169"/>
      <c r="AP402" s="169"/>
      <c r="AQ402" s="169"/>
      <c r="AR402" s="169"/>
      <c r="AS402" s="169"/>
      <c r="AT402" s="169"/>
    </row>
    <row r="403" spans="10:46"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169"/>
      <c r="AN403" s="169"/>
      <c r="AO403" s="169"/>
      <c r="AP403" s="169"/>
      <c r="AQ403" s="169"/>
      <c r="AR403" s="169"/>
      <c r="AS403" s="169"/>
      <c r="AT403" s="169"/>
    </row>
    <row r="404" spans="10:46"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169"/>
      <c r="AN404" s="169"/>
      <c r="AO404" s="169"/>
      <c r="AP404" s="169"/>
      <c r="AQ404" s="169"/>
      <c r="AR404" s="169"/>
      <c r="AS404" s="169"/>
      <c r="AT404" s="169"/>
    </row>
    <row r="405" spans="10:46"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169"/>
      <c r="AN405" s="169"/>
      <c r="AO405" s="169"/>
      <c r="AP405" s="169"/>
      <c r="AQ405" s="169"/>
      <c r="AR405" s="169"/>
      <c r="AS405" s="169"/>
      <c r="AT405" s="169"/>
    </row>
    <row r="406" spans="10:46"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169"/>
      <c r="AN406" s="169"/>
      <c r="AO406" s="169"/>
      <c r="AP406" s="169"/>
      <c r="AQ406" s="169"/>
      <c r="AR406" s="169"/>
      <c r="AS406" s="169"/>
      <c r="AT406" s="169"/>
    </row>
    <row r="407" spans="10:46"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169"/>
      <c r="AN407" s="169"/>
      <c r="AO407" s="169"/>
      <c r="AP407" s="169"/>
      <c r="AQ407" s="169"/>
      <c r="AR407" s="169"/>
      <c r="AS407" s="169"/>
      <c r="AT407" s="169"/>
    </row>
    <row r="408" spans="10:46"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169"/>
      <c r="AN408" s="169"/>
      <c r="AO408" s="169"/>
      <c r="AP408" s="169"/>
      <c r="AQ408" s="169"/>
      <c r="AR408" s="169"/>
      <c r="AS408" s="169"/>
      <c r="AT408" s="169"/>
    </row>
    <row r="409" spans="10:46"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169"/>
      <c r="AN409" s="169"/>
      <c r="AO409" s="169"/>
      <c r="AP409" s="169"/>
      <c r="AQ409" s="169"/>
      <c r="AR409" s="169"/>
      <c r="AS409" s="169"/>
      <c r="AT409" s="169"/>
    </row>
    <row r="410" spans="10:46"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169"/>
      <c r="AN410" s="169"/>
      <c r="AO410" s="169"/>
      <c r="AP410" s="169"/>
      <c r="AQ410" s="169"/>
      <c r="AR410" s="169"/>
      <c r="AS410" s="169"/>
      <c r="AT410" s="169"/>
    </row>
    <row r="411" spans="10:46"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169"/>
      <c r="AN411" s="169"/>
      <c r="AO411" s="169"/>
      <c r="AP411" s="169"/>
      <c r="AQ411" s="169"/>
      <c r="AR411" s="169"/>
      <c r="AS411" s="169"/>
      <c r="AT411" s="169"/>
    </row>
    <row r="412" spans="10:46"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169"/>
      <c r="AN412" s="169"/>
      <c r="AO412" s="169"/>
      <c r="AP412" s="169"/>
      <c r="AQ412" s="169"/>
      <c r="AR412" s="169"/>
      <c r="AS412" s="169"/>
      <c r="AT412" s="169"/>
    </row>
    <row r="413" spans="10:46"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169"/>
      <c r="AN413" s="169"/>
      <c r="AO413" s="169"/>
      <c r="AP413" s="169"/>
      <c r="AQ413" s="169"/>
      <c r="AR413" s="169"/>
      <c r="AS413" s="169"/>
      <c r="AT413" s="169"/>
    </row>
    <row r="414" spans="10:46"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169"/>
      <c r="AN414" s="169"/>
      <c r="AO414" s="169"/>
      <c r="AP414" s="169"/>
      <c r="AQ414" s="169"/>
      <c r="AR414" s="169"/>
      <c r="AS414" s="169"/>
      <c r="AT414" s="169"/>
    </row>
    <row r="415" spans="10:46"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169"/>
      <c r="AN415" s="169"/>
      <c r="AO415" s="169"/>
      <c r="AP415" s="169"/>
      <c r="AQ415" s="169"/>
      <c r="AR415" s="169"/>
      <c r="AS415" s="169"/>
      <c r="AT415" s="169"/>
    </row>
    <row r="416" spans="10:46"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169"/>
      <c r="AN416" s="169"/>
      <c r="AO416" s="169"/>
      <c r="AP416" s="169"/>
      <c r="AQ416" s="169"/>
      <c r="AR416" s="169"/>
      <c r="AS416" s="169"/>
      <c r="AT416" s="169"/>
    </row>
    <row r="417" spans="10:46"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169"/>
      <c r="AN417" s="169"/>
      <c r="AO417" s="169"/>
      <c r="AP417" s="169"/>
      <c r="AQ417" s="169"/>
      <c r="AR417" s="169"/>
      <c r="AS417" s="169"/>
      <c r="AT417" s="169"/>
    </row>
    <row r="418" spans="10:46"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169"/>
      <c r="AN418" s="169"/>
      <c r="AO418" s="169"/>
      <c r="AP418" s="169"/>
      <c r="AQ418" s="169"/>
      <c r="AR418" s="169"/>
      <c r="AS418" s="169"/>
      <c r="AT418" s="169"/>
    </row>
    <row r="419" spans="10:46"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169"/>
      <c r="AN419" s="169"/>
      <c r="AO419" s="169"/>
      <c r="AP419" s="169"/>
      <c r="AQ419" s="169"/>
      <c r="AR419" s="169"/>
      <c r="AS419" s="169"/>
      <c r="AT419" s="169"/>
    </row>
    <row r="420" spans="10:46"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169"/>
      <c r="AN420" s="169"/>
      <c r="AO420" s="169"/>
      <c r="AP420" s="169"/>
      <c r="AQ420" s="169"/>
      <c r="AR420" s="169"/>
      <c r="AS420" s="169"/>
      <c r="AT420" s="169"/>
    </row>
    <row r="421" spans="10:46"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169"/>
      <c r="AN421" s="169"/>
      <c r="AO421" s="169"/>
      <c r="AP421" s="169"/>
      <c r="AQ421" s="169"/>
      <c r="AR421" s="169"/>
      <c r="AS421" s="169"/>
      <c r="AT421" s="169"/>
    </row>
    <row r="422" spans="10:46"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169"/>
      <c r="AN422" s="169"/>
      <c r="AO422" s="169"/>
      <c r="AP422" s="169"/>
      <c r="AQ422" s="169"/>
      <c r="AR422" s="169"/>
      <c r="AS422" s="169"/>
      <c r="AT422" s="169"/>
    </row>
    <row r="423" spans="10:46"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169"/>
      <c r="AN423" s="169"/>
      <c r="AO423" s="169"/>
      <c r="AP423" s="169"/>
      <c r="AQ423" s="169"/>
      <c r="AR423" s="169"/>
      <c r="AS423" s="169"/>
      <c r="AT423" s="169"/>
    </row>
    <row r="424" spans="10:46"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169"/>
      <c r="AN424" s="169"/>
      <c r="AO424" s="169"/>
      <c r="AP424" s="169"/>
      <c r="AQ424" s="169"/>
      <c r="AR424" s="169"/>
      <c r="AS424" s="169"/>
      <c r="AT424" s="169"/>
    </row>
    <row r="425" spans="10:46"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169"/>
      <c r="AN425" s="169"/>
      <c r="AO425" s="169"/>
      <c r="AP425" s="169"/>
      <c r="AQ425" s="169"/>
      <c r="AR425" s="169"/>
      <c r="AS425" s="169"/>
      <c r="AT425" s="169"/>
    </row>
    <row r="426" spans="10:46"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169"/>
      <c r="AN426" s="169"/>
      <c r="AO426" s="169"/>
      <c r="AP426" s="169"/>
      <c r="AQ426" s="169"/>
      <c r="AR426" s="169"/>
      <c r="AS426" s="169"/>
      <c r="AT426" s="169"/>
    </row>
    <row r="427" spans="10:46"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169"/>
      <c r="AN427" s="169"/>
      <c r="AO427" s="169"/>
      <c r="AP427" s="169"/>
      <c r="AQ427" s="169"/>
      <c r="AR427" s="169"/>
      <c r="AS427" s="169"/>
      <c r="AT427" s="169"/>
    </row>
    <row r="428" spans="10:46"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169"/>
      <c r="AN428" s="169"/>
      <c r="AO428" s="169"/>
      <c r="AP428" s="169"/>
      <c r="AQ428" s="169"/>
      <c r="AR428" s="169"/>
      <c r="AS428" s="169"/>
      <c r="AT428" s="169"/>
    </row>
    <row r="429" spans="10:46"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169"/>
      <c r="AN429" s="169"/>
      <c r="AO429" s="169"/>
      <c r="AP429" s="169"/>
      <c r="AQ429" s="169"/>
      <c r="AR429" s="169"/>
      <c r="AS429" s="169"/>
      <c r="AT429" s="169"/>
    </row>
    <row r="430" spans="10:46"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169"/>
      <c r="AN430" s="169"/>
      <c r="AO430" s="169"/>
      <c r="AP430" s="169"/>
      <c r="AQ430" s="169"/>
      <c r="AR430" s="169"/>
      <c r="AS430" s="169"/>
      <c r="AT430" s="169"/>
    </row>
    <row r="431" spans="10:46"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169"/>
      <c r="AN431" s="169"/>
      <c r="AO431" s="169"/>
      <c r="AP431" s="169"/>
      <c r="AQ431" s="169"/>
      <c r="AR431" s="169"/>
      <c r="AS431" s="169"/>
      <c r="AT431" s="169"/>
    </row>
    <row r="432" spans="10:46"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169"/>
      <c r="AN432" s="169"/>
      <c r="AO432" s="169"/>
      <c r="AP432" s="169"/>
      <c r="AQ432" s="169"/>
      <c r="AR432" s="169"/>
      <c r="AS432" s="169"/>
      <c r="AT432" s="169"/>
    </row>
    <row r="433" spans="10:46"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169"/>
      <c r="AN433" s="169"/>
      <c r="AO433" s="169"/>
      <c r="AP433" s="169"/>
      <c r="AQ433" s="169"/>
      <c r="AR433" s="169"/>
      <c r="AS433" s="169"/>
      <c r="AT433" s="169"/>
    </row>
    <row r="434" spans="10:46"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169"/>
      <c r="AN434" s="169"/>
      <c r="AO434" s="169"/>
      <c r="AP434" s="169"/>
      <c r="AQ434" s="169"/>
      <c r="AR434" s="169"/>
      <c r="AS434" s="169"/>
      <c r="AT434" s="169"/>
    </row>
    <row r="435" spans="10:46"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169"/>
      <c r="AN435" s="169"/>
      <c r="AO435" s="169"/>
      <c r="AP435" s="169"/>
      <c r="AQ435" s="169"/>
      <c r="AR435" s="169"/>
      <c r="AS435" s="169"/>
      <c r="AT435" s="169"/>
    </row>
    <row r="436" spans="10:46"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169"/>
      <c r="AN436" s="169"/>
      <c r="AO436" s="169"/>
      <c r="AP436" s="169"/>
      <c r="AQ436" s="169"/>
      <c r="AR436" s="169"/>
      <c r="AS436" s="169"/>
      <c r="AT436" s="169"/>
    </row>
    <row r="437" spans="10:46"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169"/>
      <c r="AN437" s="169"/>
      <c r="AO437" s="169"/>
      <c r="AP437" s="169"/>
      <c r="AQ437" s="169"/>
      <c r="AR437" s="169"/>
      <c r="AS437" s="169"/>
      <c r="AT437" s="169"/>
    </row>
    <row r="438" spans="10:46"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169"/>
      <c r="AN438" s="169"/>
      <c r="AO438" s="169"/>
      <c r="AP438" s="169"/>
      <c r="AQ438" s="169"/>
      <c r="AR438" s="169"/>
      <c r="AS438" s="169"/>
      <c r="AT438" s="169"/>
    </row>
    <row r="439" spans="10:46"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169"/>
      <c r="AN439" s="169"/>
      <c r="AO439" s="169"/>
      <c r="AP439" s="169"/>
      <c r="AQ439" s="169"/>
      <c r="AR439" s="169"/>
      <c r="AS439" s="169"/>
      <c r="AT439" s="169"/>
    </row>
    <row r="440" spans="10:46"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169"/>
      <c r="AN440" s="169"/>
      <c r="AO440" s="169"/>
      <c r="AP440" s="169"/>
      <c r="AQ440" s="169"/>
      <c r="AR440" s="169"/>
      <c r="AS440" s="169"/>
      <c r="AT440" s="169"/>
    </row>
    <row r="441" spans="10:46"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169"/>
      <c r="AN441" s="169"/>
      <c r="AO441" s="169"/>
      <c r="AP441" s="169"/>
      <c r="AQ441" s="169"/>
      <c r="AR441" s="169"/>
      <c r="AS441" s="169"/>
      <c r="AT441" s="169"/>
    </row>
    <row r="442" spans="10:46"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169"/>
      <c r="AN442" s="169"/>
      <c r="AO442" s="169"/>
      <c r="AP442" s="169"/>
      <c r="AQ442" s="169"/>
      <c r="AR442" s="169"/>
      <c r="AS442" s="169"/>
      <c r="AT442" s="169"/>
    </row>
    <row r="443" spans="10:46"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169"/>
      <c r="AN443" s="169"/>
      <c r="AO443" s="169"/>
      <c r="AP443" s="169"/>
      <c r="AQ443" s="169"/>
      <c r="AR443" s="169"/>
      <c r="AS443" s="169"/>
      <c r="AT443" s="169"/>
    </row>
    <row r="444" spans="10:46"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169"/>
      <c r="AN444" s="169"/>
      <c r="AO444" s="169"/>
      <c r="AP444" s="169"/>
      <c r="AQ444" s="169"/>
      <c r="AR444" s="169"/>
      <c r="AS444" s="169"/>
      <c r="AT444" s="169"/>
    </row>
    <row r="445" spans="10:46"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169"/>
      <c r="AN445" s="169"/>
      <c r="AO445" s="169"/>
      <c r="AP445" s="169"/>
      <c r="AQ445" s="169"/>
      <c r="AR445" s="169"/>
      <c r="AS445" s="169"/>
      <c r="AT445" s="169"/>
    </row>
    <row r="446" spans="10:46"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169"/>
      <c r="AN446" s="169"/>
      <c r="AO446" s="169"/>
      <c r="AP446" s="169"/>
      <c r="AQ446" s="169"/>
      <c r="AR446" s="169"/>
      <c r="AS446" s="169"/>
      <c r="AT446" s="169"/>
    </row>
    <row r="447" spans="10:46"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169"/>
      <c r="AN447" s="169"/>
      <c r="AO447" s="169"/>
      <c r="AP447" s="169"/>
      <c r="AQ447" s="169"/>
      <c r="AR447" s="169"/>
      <c r="AS447" s="169"/>
      <c r="AT447" s="169"/>
    </row>
    <row r="448" spans="10:46"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169"/>
      <c r="AN448" s="169"/>
      <c r="AO448" s="169"/>
      <c r="AP448" s="169"/>
      <c r="AQ448" s="169"/>
      <c r="AR448" s="169"/>
      <c r="AS448" s="169"/>
      <c r="AT448" s="169"/>
    </row>
    <row r="449" spans="10:46"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169"/>
      <c r="AN449" s="169"/>
      <c r="AO449" s="169"/>
      <c r="AP449" s="169"/>
      <c r="AQ449" s="169"/>
      <c r="AR449" s="169"/>
      <c r="AS449" s="169"/>
      <c r="AT449" s="169"/>
    </row>
    <row r="450" spans="10:46"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169"/>
      <c r="AN450" s="169"/>
      <c r="AO450" s="169"/>
      <c r="AP450" s="169"/>
      <c r="AQ450" s="169"/>
      <c r="AR450" s="169"/>
      <c r="AS450" s="169"/>
      <c r="AT450" s="169"/>
    </row>
    <row r="451" spans="10:46"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169"/>
      <c r="AN451" s="169"/>
      <c r="AO451" s="169"/>
      <c r="AP451" s="169"/>
      <c r="AQ451" s="169"/>
      <c r="AR451" s="169"/>
      <c r="AS451" s="169"/>
      <c r="AT451" s="169"/>
    </row>
    <row r="452" spans="10:46"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169"/>
      <c r="AN452" s="169"/>
      <c r="AO452" s="169"/>
      <c r="AP452" s="169"/>
      <c r="AQ452" s="169"/>
      <c r="AR452" s="169"/>
      <c r="AS452" s="169"/>
      <c r="AT452" s="169"/>
    </row>
    <row r="453" spans="10:46"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169"/>
      <c r="AN453" s="169"/>
      <c r="AO453" s="169"/>
      <c r="AP453" s="169"/>
      <c r="AQ453" s="169"/>
      <c r="AR453" s="169"/>
      <c r="AS453" s="169"/>
      <c r="AT453" s="169"/>
    </row>
    <row r="454" spans="10:46"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169"/>
      <c r="AN454" s="169"/>
      <c r="AO454" s="169"/>
      <c r="AP454" s="169"/>
      <c r="AQ454" s="169"/>
      <c r="AR454" s="169"/>
      <c r="AS454" s="169"/>
      <c r="AT454" s="169"/>
    </row>
    <row r="455" spans="10:46"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169"/>
      <c r="AN455" s="169"/>
      <c r="AO455" s="169"/>
      <c r="AP455" s="169"/>
      <c r="AQ455" s="169"/>
      <c r="AR455" s="169"/>
      <c r="AS455" s="169"/>
      <c r="AT455" s="169"/>
    </row>
    <row r="456" spans="10:46"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169"/>
      <c r="AN456" s="169"/>
      <c r="AO456" s="169"/>
      <c r="AP456" s="169"/>
      <c r="AQ456" s="169"/>
      <c r="AR456" s="169"/>
      <c r="AS456" s="169"/>
      <c r="AT456" s="169"/>
    </row>
    <row r="457" spans="10:46"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169"/>
      <c r="AN457" s="169"/>
      <c r="AO457" s="169"/>
      <c r="AP457" s="169"/>
      <c r="AQ457" s="169"/>
      <c r="AR457" s="169"/>
      <c r="AS457" s="169"/>
      <c r="AT457" s="169"/>
    </row>
    <row r="458" spans="10:46"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169"/>
      <c r="AN458" s="169"/>
      <c r="AO458" s="169"/>
      <c r="AP458" s="169"/>
      <c r="AQ458" s="169"/>
      <c r="AR458" s="169"/>
      <c r="AS458" s="169"/>
      <c r="AT458" s="169"/>
    </row>
    <row r="459" spans="10:46"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169"/>
      <c r="AN459" s="169"/>
      <c r="AO459" s="169"/>
      <c r="AP459" s="169"/>
      <c r="AQ459" s="169"/>
      <c r="AR459" s="169"/>
      <c r="AS459" s="169"/>
      <c r="AT459" s="169"/>
    </row>
    <row r="460" spans="10:46"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169"/>
      <c r="AN460" s="169"/>
      <c r="AO460" s="169"/>
      <c r="AP460" s="169"/>
      <c r="AQ460" s="169"/>
      <c r="AR460" s="169"/>
      <c r="AS460" s="169"/>
      <c r="AT460" s="169"/>
    </row>
    <row r="461" spans="10:46"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169"/>
      <c r="AN461" s="169"/>
      <c r="AO461" s="169"/>
      <c r="AP461" s="169"/>
      <c r="AQ461" s="169"/>
      <c r="AR461" s="169"/>
      <c r="AS461" s="169"/>
      <c r="AT461" s="169"/>
    </row>
    <row r="462" spans="10:46"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169"/>
      <c r="AN462" s="169"/>
      <c r="AO462" s="169"/>
      <c r="AP462" s="169"/>
      <c r="AQ462" s="169"/>
      <c r="AR462" s="169"/>
      <c r="AS462" s="169"/>
      <c r="AT462" s="169"/>
    </row>
    <row r="463" spans="10:46"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169"/>
      <c r="AN463" s="169"/>
      <c r="AO463" s="169"/>
      <c r="AP463" s="169"/>
      <c r="AQ463" s="169"/>
      <c r="AR463" s="169"/>
      <c r="AS463" s="169"/>
      <c r="AT463" s="169"/>
    </row>
    <row r="464" spans="10:46"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169"/>
      <c r="AN464" s="169"/>
      <c r="AO464" s="169"/>
      <c r="AP464" s="169"/>
      <c r="AQ464" s="169"/>
      <c r="AR464" s="169"/>
      <c r="AS464" s="169"/>
      <c r="AT464" s="169"/>
    </row>
    <row r="465" spans="10:46"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169"/>
      <c r="AN465" s="169"/>
      <c r="AO465" s="169"/>
      <c r="AP465" s="169"/>
      <c r="AQ465" s="169"/>
      <c r="AR465" s="169"/>
      <c r="AS465" s="169"/>
      <c r="AT465" s="169"/>
    </row>
    <row r="466" spans="10:46"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169"/>
      <c r="AN466" s="169"/>
      <c r="AO466" s="169"/>
      <c r="AP466" s="169"/>
      <c r="AQ466" s="169"/>
      <c r="AR466" s="169"/>
      <c r="AS466" s="169"/>
      <c r="AT466" s="169"/>
    </row>
    <row r="467" spans="10:46"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169"/>
      <c r="AN467" s="169"/>
      <c r="AO467" s="169"/>
      <c r="AP467" s="169"/>
      <c r="AQ467" s="169"/>
      <c r="AR467" s="169"/>
      <c r="AS467" s="169"/>
      <c r="AT467" s="169"/>
    </row>
    <row r="468" spans="10:46"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169"/>
      <c r="AN468" s="169"/>
      <c r="AO468" s="169"/>
      <c r="AP468" s="169"/>
      <c r="AQ468" s="169"/>
      <c r="AR468" s="169"/>
      <c r="AS468" s="169"/>
      <c r="AT468" s="169"/>
    </row>
    <row r="469" spans="10:46"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169"/>
      <c r="AN469" s="169"/>
      <c r="AO469" s="169"/>
      <c r="AP469" s="169"/>
      <c r="AQ469" s="169"/>
      <c r="AR469" s="169"/>
      <c r="AS469" s="169"/>
      <c r="AT469" s="169"/>
    </row>
    <row r="470" spans="10:46"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169"/>
      <c r="AN470" s="169"/>
      <c r="AO470" s="169"/>
      <c r="AP470" s="169"/>
      <c r="AQ470" s="169"/>
      <c r="AR470" s="169"/>
      <c r="AS470" s="169"/>
      <c r="AT470" s="169"/>
    </row>
    <row r="471" spans="10:46"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169"/>
      <c r="AN471" s="169"/>
      <c r="AO471" s="169"/>
      <c r="AP471" s="169"/>
      <c r="AQ471" s="169"/>
      <c r="AR471" s="169"/>
      <c r="AS471" s="169"/>
      <c r="AT471" s="169"/>
    </row>
    <row r="472" spans="10:46"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169"/>
      <c r="AN472" s="169"/>
      <c r="AO472" s="169"/>
      <c r="AP472" s="169"/>
      <c r="AQ472" s="169"/>
      <c r="AR472" s="169"/>
      <c r="AS472" s="169"/>
      <c r="AT472" s="169"/>
    </row>
    <row r="473" spans="10:46"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169"/>
      <c r="AN473" s="169"/>
      <c r="AO473" s="169"/>
      <c r="AP473" s="169"/>
      <c r="AQ473" s="169"/>
      <c r="AR473" s="169"/>
      <c r="AS473" s="169"/>
      <c r="AT473" s="169"/>
    </row>
    <row r="474" spans="10:46"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169"/>
      <c r="AN474" s="169"/>
      <c r="AO474" s="169"/>
      <c r="AP474" s="169"/>
      <c r="AQ474" s="169"/>
      <c r="AR474" s="169"/>
      <c r="AS474" s="169"/>
      <c r="AT474" s="169"/>
    </row>
    <row r="475" spans="10:46"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169"/>
      <c r="AN475" s="169"/>
      <c r="AO475" s="169"/>
      <c r="AP475" s="169"/>
      <c r="AQ475" s="169"/>
      <c r="AR475" s="169"/>
      <c r="AS475" s="169"/>
      <c r="AT475" s="169"/>
    </row>
    <row r="476" spans="10:46"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169"/>
      <c r="AN476" s="169"/>
      <c r="AO476" s="169"/>
      <c r="AP476" s="169"/>
      <c r="AQ476" s="169"/>
      <c r="AR476" s="169"/>
      <c r="AS476" s="169"/>
      <c r="AT476" s="169"/>
    </row>
    <row r="477" spans="10:46"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169"/>
      <c r="AN477" s="169"/>
      <c r="AO477" s="169"/>
      <c r="AP477" s="169"/>
      <c r="AQ477" s="169"/>
      <c r="AR477" s="169"/>
      <c r="AS477" s="169"/>
      <c r="AT477" s="169"/>
    </row>
    <row r="478" spans="10:46"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169"/>
      <c r="AN478" s="169"/>
      <c r="AO478" s="169"/>
      <c r="AP478" s="169"/>
      <c r="AQ478" s="169"/>
      <c r="AR478" s="169"/>
      <c r="AS478" s="169"/>
      <c r="AT478" s="169"/>
    </row>
    <row r="479" spans="10:46"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169"/>
      <c r="AN479" s="169"/>
      <c r="AO479" s="169"/>
      <c r="AP479" s="169"/>
      <c r="AQ479" s="169"/>
      <c r="AR479" s="169"/>
      <c r="AS479" s="169"/>
      <c r="AT479" s="169"/>
    </row>
    <row r="480" spans="10:46"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169"/>
      <c r="AN480" s="169"/>
      <c r="AO480" s="169"/>
      <c r="AP480" s="169"/>
      <c r="AQ480" s="169"/>
      <c r="AR480" s="169"/>
      <c r="AS480" s="169"/>
      <c r="AT480" s="169"/>
    </row>
    <row r="481" spans="10:46"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169"/>
      <c r="AN481" s="169"/>
      <c r="AO481" s="169"/>
      <c r="AP481" s="169"/>
      <c r="AQ481" s="169"/>
      <c r="AR481" s="169"/>
      <c r="AS481" s="169"/>
      <c r="AT481" s="169"/>
    </row>
    <row r="482" spans="10:46"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169"/>
      <c r="AN482" s="169"/>
      <c r="AO482" s="169"/>
      <c r="AP482" s="169"/>
      <c r="AQ482" s="169"/>
      <c r="AR482" s="169"/>
      <c r="AS482" s="169"/>
      <c r="AT482" s="169"/>
    </row>
    <row r="483" spans="10:46"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169"/>
      <c r="AN483" s="169"/>
      <c r="AO483" s="169"/>
      <c r="AP483" s="169"/>
      <c r="AQ483" s="169"/>
      <c r="AR483" s="169"/>
      <c r="AS483" s="169"/>
      <c r="AT483" s="169"/>
    </row>
    <row r="484" spans="10:46"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169"/>
      <c r="AN484" s="169"/>
      <c r="AO484" s="169"/>
      <c r="AP484" s="169"/>
      <c r="AQ484" s="169"/>
      <c r="AR484" s="169"/>
      <c r="AS484" s="169"/>
      <c r="AT484" s="169"/>
    </row>
    <row r="485" spans="10:46"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169"/>
      <c r="AN485" s="169"/>
      <c r="AO485" s="169"/>
      <c r="AP485" s="169"/>
      <c r="AQ485" s="169"/>
      <c r="AR485" s="169"/>
      <c r="AS485" s="169"/>
      <c r="AT485" s="169"/>
    </row>
    <row r="486" spans="10:46"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169"/>
      <c r="AN486" s="169"/>
      <c r="AO486" s="169"/>
      <c r="AP486" s="169"/>
      <c r="AQ486" s="169"/>
      <c r="AR486" s="169"/>
      <c r="AS486" s="169"/>
      <c r="AT486" s="169"/>
    </row>
    <row r="487" spans="10:46"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169"/>
      <c r="AN487" s="169"/>
      <c r="AO487" s="169"/>
      <c r="AP487" s="169"/>
      <c r="AQ487" s="169"/>
      <c r="AR487" s="169"/>
      <c r="AS487" s="169"/>
      <c r="AT487" s="169"/>
    </row>
    <row r="488" spans="10:46"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169"/>
      <c r="AN488" s="169"/>
      <c r="AO488" s="169"/>
      <c r="AP488" s="169"/>
      <c r="AQ488" s="169"/>
      <c r="AR488" s="169"/>
      <c r="AS488" s="169"/>
      <c r="AT488" s="169"/>
    </row>
    <row r="489" spans="10:46"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169"/>
      <c r="AN489" s="169"/>
      <c r="AO489" s="169"/>
      <c r="AP489" s="169"/>
      <c r="AQ489" s="169"/>
      <c r="AR489" s="169"/>
      <c r="AS489" s="169"/>
      <c r="AT489" s="169"/>
    </row>
    <row r="490" spans="10:46"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169"/>
      <c r="AN490" s="169"/>
      <c r="AO490" s="169"/>
      <c r="AP490" s="169"/>
      <c r="AQ490" s="169"/>
      <c r="AR490" s="169"/>
      <c r="AS490" s="169"/>
      <c r="AT490" s="169"/>
    </row>
    <row r="491" spans="10:46"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169"/>
      <c r="AN491" s="169"/>
      <c r="AO491" s="169"/>
      <c r="AP491" s="169"/>
      <c r="AQ491" s="169"/>
      <c r="AR491" s="169"/>
      <c r="AS491" s="169"/>
      <c r="AT491" s="169"/>
    </row>
    <row r="492" spans="10:46"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169"/>
      <c r="AN492" s="169"/>
      <c r="AO492" s="169"/>
      <c r="AP492" s="169"/>
      <c r="AQ492" s="169"/>
      <c r="AR492" s="169"/>
      <c r="AS492" s="169"/>
      <c r="AT492" s="169"/>
    </row>
    <row r="493" spans="10:46"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169"/>
      <c r="AN493" s="169"/>
      <c r="AO493" s="169"/>
      <c r="AP493" s="169"/>
      <c r="AQ493" s="169"/>
      <c r="AR493" s="169"/>
      <c r="AS493" s="169"/>
      <c r="AT493" s="169"/>
    </row>
    <row r="494" spans="10:46"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169"/>
      <c r="AN494" s="169"/>
      <c r="AO494" s="169"/>
      <c r="AP494" s="169"/>
      <c r="AQ494" s="169"/>
      <c r="AR494" s="169"/>
      <c r="AS494" s="169"/>
      <c r="AT494" s="169"/>
    </row>
    <row r="495" spans="10:46"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169"/>
      <c r="AN495" s="169"/>
      <c r="AO495" s="169"/>
      <c r="AP495" s="169"/>
      <c r="AQ495" s="169"/>
      <c r="AR495" s="169"/>
      <c r="AS495" s="169"/>
      <c r="AT495" s="169"/>
    </row>
    <row r="496" spans="10:46"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169"/>
      <c r="AN496" s="169"/>
      <c r="AO496" s="169"/>
      <c r="AP496" s="169"/>
      <c r="AQ496" s="169"/>
      <c r="AR496" s="169"/>
      <c r="AS496" s="169"/>
      <c r="AT496" s="169"/>
    </row>
    <row r="497" spans="10:46"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169"/>
      <c r="AN497" s="169"/>
      <c r="AO497" s="169"/>
      <c r="AP497" s="169"/>
      <c r="AQ497" s="169"/>
      <c r="AR497" s="169"/>
      <c r="AS497" s="169"/>
      <c r="AT497" s="169"/>
    </row>
    <row r="498" spans="10:46"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169"/>
      <c r="AN498" s="169"/>
      <c r="AO498" s="169"/>
      <c r="AP498" s="169"/>
      <c r="AQ498" s="169"/>
      <c r="AR498" s="169"/>
      <c r="AS498" s="169"/>
      <c r="AT498" s="169"/>
    </row>
    <row r="499" spans="10:46"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169"/>
      <c r="AN499" s="169"/>
      <c r="AO499" s="169"/>
      <c r="AP499" s="169"/>
      <c r="AQ499" s="169"/>
      <c r="AR499" s="169"/>
      <c r="AS499" s="169"/>
      <c r="AT499" s="169"/>
    </row>
    <row r="500" spans="10:46"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169"/>
      <c r="AN500" s="169"/>
      <c r="AO500" s="169"/>
      <c r="AP500" s="169"/>
      <c r="AQ500" s="169"/>
      <c r="AR500" s="169"/>
      <c r="AS500" s="169"/>
      <c r="AT500" s="169"/>
    </row>
    <row r="501" spans="10:46"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169"/>
      <c r="AN501" s="169"/>
      <c r="AO501" s="169"/>
      <c r="AP501" s="169"/>
      <c r="AQ501" s="169"/>
      <c r="AR501" s="169"/>
      <c r="AS501" s="169"/>
      <c r="AT501" s="169"/>
    </row>
    <row r="502" spans="10:46"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169"/>
      <c r="AN502" s="169"/>
      <c r="AO502" s="169"/>
      <c r="AP502" s="169"/>
      <c r="AQ502" s="169"/>
      <c r="AR502" s="169"/>
      <c r="AS502" s="169"/>
      <c r="AT502" s="169"/>
    </row>
    <row r="503" spans="10:46"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169"/>
      <c r="AN503" s="169"/>
      <c r="AO503" s="169"/>
      <c r="AP503" s="169"/>
      <c r="AQ503" s="169"/>
      <c r="AR503" s="169"/>
      <c r="AS503" s="169"/>
      <c r="AT503" s="169"/>
    </row>
    <row r="504" spans="10:46"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169"/>
      <c r="AN504" s="169"/>
      <c r="AO504" s="169"/>
      <c r="AP504" s="169"/>
      <c r="AQ504" s="169"/>
      <c r="AR504" s="169"/>
      <c r="AS504" s="169"/>
      <c r="AT504" s="169"/>
    </row>
    <row r="505" spans="10:46"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169"/>
      <c r="AN505" s="169"/>
      <c r="AO505" s="169"/>
      <c r="AP505" s="169"/>
      <c r="AQ505" s="169"/>
      <c r="AR505" s="169"/>
      <c r="AS505" s="169"/>
      <c r="AT505" s="169"/>
    </row>
    <row r="506" spans="10:46"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169"/>
      <c r="AN506" s="169"/>
      <c r="AO506" s="169"/>
      <c r="AP506" s="169"/>
      <c r="AQ506" s="169"/>
      <c r="AR506" s="169"/>
      <c r="AS506" s="169"/>
      <c r="AT506" s="169"/>
    </row>
    <row r="507" spans="10:46"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169"/>
      <c r="AN507" s="169"/>
      <c r="AO507" s="169"/>
      <c r="AP507" s="169"/>
      <c r="AQ507" s="169"/>
      <c r="AR507" s="169"/>
      <c r="AS507" s="169"/>
      <c r="AT507" s="169"/>
    </row>
    <row r="508" spans="10:46"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169"/>
      <c r="AN508" s="169"/>
      <c r="AO508" s="169"/>
      <c r="AP508" s="169"/>
      <c r="AQ508" s="169"/>
      <c r="AR508" s="169"/>
      <c r="AS508" s="169"/>
      <c r="AT508" s="169"/>
    </row>
    <row r="509" spans="10:46"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169"/>
      <c r="AN509" s="169"/>
      <c r="AO509" s="169"/>
      <c r="AP509" s="169"/>
      <c r="AQ509" s="169"/>
      <c r="AR509" s="169"/>
      <c r="AS509" s="169"/>
      <c r="AT509" s="169"/>
    </row>
    <row r="510" spans="10:46"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169"/>
      <c r="AN510" s="169"/>
      <c r="AO510" s="169"/>
      <c r="AP510" s="169"/>
      <c r="AQ510" s="169"/>
      <c r="AR510" s="169"/>
      <c r="AS510" s="169"/>
      <c r="AT510" s="169"/>
    </row>
    <row r="511" spans="10:46"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169"/>
      <c r="AN511" s="169"/>
      <c r="AO511" s="169"/>
      <c r="AP511" s="169"/>
      <c r="AQ511" s="169"/>
      <c r="AR511" s="169"/>
      <c r="AS511" s="169"/>
      <c r="AT511" s="169"/>
    </row>
    <row r="512" spans="10:46"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169"/>
      <c r="AN512" s="169"/>
      <c r="AO512" s="169"/>
      <c r="AP512" s="169"/>
      <c r="AQ512" s="169"/>
      <c r="AR512" s="169"/>
      <c r="AS512" s="169"/>
      <c r="AT512" s="169"/>
    </row>
    <row r="513" spans="10:46"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169"/>
      <c r="AN513" s="169"/>
      <c r="AO513" s="169"/>
      <c r="AP513" s="169"/>
      <c r="AQ513" s="169"/>
      <c r="AR513" s="169"/>
      <c r="AS513" s="169"/>
      <c r="AT513" s="169"/>
    </row>
    <row r="514" spans="10:46"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169"/>
      <c r="AN514" s="169"/>
      <c r="AO514" s="169"/>
      <c r="AP514" s="169"/>
      <c r="AQ514" s="169"/>
      <c r="AR514" s="169"/>
      <c r="AS514" s="169"/>
      <c r="AT514" s="169"/>
    </row>
    <row r="515" spans="10:46"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169"/>
      <c r="AN515" s="169"/>
      <c r="AO515" s="169"/>
      <c r="AP515" s="169"/>
      <c r="AQ515" s="169"/>
      <c r="AR515" s="169"/>
      <c r="AS515" s="169"/>
      <c r="AT515" s="169"/>
    </row>
    <row r="516" spans="10:46"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169"/>
      <c r="AN516" s="169"/>
      <c r="AO516" s="169"/>
      <c r="AP516" s="169"/>
      <c r="AQ516" s="169"/>
      <c r="AR516" s="169"/>
      <c r="AS516" s="169"/>
      <c r="AT516" s="169"/>
    </row>
    <row r="517" spans="10:46"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169"/>
      <c r="AN517" s="169"/>
      <c r="AO517" s="169"/>
      <c r="AP517" s="169"/>
      <c r="AQ517" s="169"/>
      <c r="AR517" s="169"/>
      <c r="AS517" s="169"/>
      <c r="AT517" s="169"/>
    </row>
    <row r="518" spans="10:46"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169"/>
      <c r="AN518" s="169"/>
      <c r="AO518" s="169"/>
      <c r="AP518" s="169"/>
      <c r="AQ518" s="169"/>
      <c r="AR518" s="169"/>
      <c r="AS518" s="169"/>
      <c r="AT518" s="169"/>
    </row>
    <row r="519" spans="10:46"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169"/>
      <c r="AN519" s="169"/>
      <c r="AO519" s="169"/>
      <c r="AP519" s="169"/>
      <c r="AQ519" s="169"/>
      <c r="AR519" s="169"/>
      <c r="AS519" s="169"/>
      <c r="AT519" s="169"/>
    </row>
    <row r="520" spans="10:46"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169"/>
      <c r="AN520" s="169"/>
      <c r="AO520" s="169"/>
      <c r="AP520" s="169"/>
      <c r="AQ520" s="169"/>
      <c r="AR520" s="169"/>
      <c r="AS520" s="169"/>
      <c r="AT520" s="169"/>
    </row>
    <row r="521" spans="10:46"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169"/>
      <c r="AN521" s="169"/>
      <c r="AO521" s="169"/>
      <c r="AP521" s="169"/>
      <c r="AQ521" s="169"/>
      <c r="AR521" s="169"/>
      <c r="AS521" s="169"/>
      <c r="AT521" s="169"/>
    </row>
    <row r="522" spans="10:46"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169"/>
      <c r="AN522" s="169"/>
      <c r="AO522" s="169"/>
      <c r="AP522" s="169"/>
      <c r="AQ522" s="169"/>
      <c r="AR522" s="169"/>
      <c r="AS522" s="169"/>
      <c r="AT522" s="169"/>
    </row>
    <row r="523" spans="10:46"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169"/>
      <c r="AN523" s="169"/>
      <c r="AO523" s="169"/>
      <c r="AP523" s="169"/>
      <c r="AQ523" s="169"/>
      <c r="AR523" s="169"/>
      <c r="AS523" s="169"/>
      <c r="AT523" s="169"/>
    </row>
    <row r="524" spans="10:46"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169"/>
      <c r="AN524" s="169"/>
      <c r="AO524" s="169"/>
      <c r="AP524" s="169"/>
      <c r="AQ524" s="169"/>
      <c r="AR524" s="169"/>
      <c r="AS524" s="169"/>
      <c r="AT524" s="169"/>
    </row>
    <row r="525" spans="10:46"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169"/>
      <c r="AN525" s="169"/>
      <c r="AO525" s="169"/>
      <c r="AP525" s="169"/>
      <c r="AQ525" s="169"/>
      <c r="AR525" s="169"/>
      <c r="AS525" s="169"/>
      <c r="AT525" s="169"/>
    </row>
    <row r="526" spans="10:46"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169"/>
      <c r="AN526" s="169"/>
      <c r="AO526" s="169"/>
      <c r="AP526" s="169"/>
      <c r="AQ526" s="169"/>
      <c r="AR526" s="169"/>
      <c r="AS526" s="169"/>
      <c r="AT526" s="169"/>
    </row>
    <row r="527" spans="10:46"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169"/>
      <c r="AN527" s="169"/>
      <c r="AO527" s="169"/>
      <c r="AP527" s="169"/>
      <c r="AQ527" s="169"/>
      <c r="AR527" s="169"/>
      <c r="AS527" s="169"/>
      <c r="AT527" s="169"/>
    </row>
    <row r="528" spans="10:46"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169"/>
      <c r="AN528" s="169"/>
      <c r="AO528" s="169"/>
      <c r="AP528" s="169"/>
      <c r="AQ528" s="169"/>
      <c r="AR528" s="169"/>
      <c r="AS528" s="169"/>
      <c r="AT528" s="169"/>
    </row>
    <row r="529" spans="10:46"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169"/>
      <c r="AN529" s="169"/>
      <c r="AO529" s="169"/>
      <c r="AP529" s="169"/>
      <c r="AQ529" s="169"/>
      <c r="AR529" s="169"/>
      <c r="AS529" s="169"/>
      <c r="AT529" s="169"/>
    </row>
    <row r="530" spans="10:46"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169"/>
      <c r="AN530" s="169"/>
      <c r="AO530" s="169"/>
      <c r="AP530" s="169"/>
      <c r="AQ530" s="169"/>
      <c r="AR530" s="169"/>
      <c r="AS530" s="169"/>
      <c r="AT530" s="169"/>
    </row>
    <row r="531" spans="10:46"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169"/>
      <c r="AN531" s="169"/>
      <c r="AO531" s="169"/>
      <c r="AP531" s="169"/>
      <c r="AQ531" s="169"/>
      <c r="AR531" s="169"/>
      <c r="AS531" s="169"/>
      <c r="AT531" s="169"/>
    </row>
    <row r="532" spans="10:46"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169"/>
      <c r="AN532" s="169"/>
      <c r="AO532" s="169"/>
      <c r="AP532" s="169"/>
      <c r="AQ532" s="169"/>
      <c r="AR532" s="169"/>
      <c r="AS532" s="169"/>
      <c r="AT532" s="169"/>
    </row>
    <row r="533" spans="10:46"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169"/>
      <c r="AN533" s="169"/>
      <c r="AO533" s="169"/>
      <c r="AP533" s="169"/>
      <c r="AQ533" s="169"/>
      <c r="AR533" s="169"/>
      <c r="AS533" s="169"/>
      <c r="AT533" s="169"/>
    </row>
    <row r="534" spans="10:46"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169"/>
      <c r="AN534" s="169"/>
      <c r="AO534" s="169"/>
      <c r="AP534" s="169"/>
      <c r="AQ534" s="169"/>
      <c r="AR534" s="169"/>
      <c r="AS534" s="169"/>
      <c r="AT534" s="169"/>
    </row>
    <row r="535" spans="10:46"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169"/>
      <c r="AN535" s="169"/>
      <c r="AO535" s="169"/>
      <c r="AP535" s="169"/>
      <c r="AQ535" s="169"/>
      <c r="AR535" s="169"/>
      <c r="AS535" s="169"/>
      <c r="AT535" s="169"/>
    </row>
    <row r="536" spans="10:46"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169"/>
      <c r="AN536" s="169"/>
      <c r="AO536" s="169"/>
      <c r="AP536" s="169"/>
      <c r="AQ536" s="169"/>
      <c r="AR536" s="169"/>
      <c r="AS536" s="169"/>
      <c r="AT536" s="169"/>
    </row>
    <row r="537" spans="10:46"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169"/>
      <c r="AN537" s="169"/>
      <c r="AO537" s="169"/>
      <c r="AP537" s="169"/>
      <c r="AQ537" s="169"/>
      <c r="AR537" s="169"/>
      <c r="AS537" s="169"/>
      <c r="AT537" s="169"/>
    </row>
    <row r="538" spans="10:46"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169"/>
      <c r="AN538" s="169"/>
      <c r="AO538" s="169"/>
      <c r="AP538" s="169"/>
      <c r="AQ538" s="169"/>
      <c r="AR538" s="169"/>
      <c r="AS538" s="169"/>
      <c r="AT538" s="169"/>
    </row>
    <row r="539" spans="10:46"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169"/>
      <c r="AN539" s="169"/>
      <c r="AO539" s="169"/>
      <c r="AP539" s="169"/>
      <c r="AQ539" s="169"/>
      <c r="AR539" s="169"/>
      <c r="AS539" s="169"/>
      <c r="AT539" s="169"/>
    </row>
    <row r="540" spans="10:46"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169"/>
      <c r="AN540" s="169"/>
      <c r="AO540" s="169"/>
      <c r="AP540" s="169"/>
      <c r="AQ540" s="169"/>
      <c r="AR540" s="169"/>
      <c r="AS540" s="169"/>
      <c r="AT540" s="169"/>
    </row>
    <row r="541" spans="10:46"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169"/>
      <c r="AN541" s="169"/>
      <c r="AO541" s="169"/>
      <c r="AP541" s="169"/>
      <c r="AQ541" s="169"/>
      <c r="AR541" s="169"/>
      <c r="AS541" s="169"/>
      <c r="AT541" s="169"/>
    </row>
    <row r="542" spans="10:46"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169"/>
      <c r="AN542" s="169"/>
      <c r="AO542" s="169"/>
      <c r="AP542" s="169"/>
      <c r="AQ542" s="169"/>
      <c r="AR542" s="169"/>
      <c r="AS542" s="169"/>
      <c r="AT542" s="169"/>
    </row>
    <row r="543" spans="10:46"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169"/>
      <c r="AN543" s="169"/>
      <c r="AO543" s="169"/>
      <c r="AP543" s="169"/>
      <c r="AQ543" s="169"/>
      <c r="AR543" s="169"/>
      <c r="AS543" s="169"/>
      <c r="AT543" s="169"/>
    </row>
    <row r="544" spans="10:46"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169"/>
      <c r="AN544" s="169"/>
      <c r="AO544" s="169"/>
      <c r="AP544" s="169"/>
      <c r="AQ544" s="169"/>
      <c r="AR544" s="169"/>
      <c r="AS544" s="169"/>
      <c r="AT544" s="169"/>
    </row>
    <row r="545" spans="10:46"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169"/>
      <c r="AN545" s="169"/>
      <c r="AO545" s="169"/>
      <c r="AP545" s="169"/>
      <c r="AQ545" s="169"/>
      <c r="AR545" s="169"/>
      <c r="AS545" s="169"/>
      <c r="AT545" s="169"/>
    </row>
    <row r="546" spans="10:46"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169"/>
      <c r="AN546" s="169"/>
      <c r="AO546" s="169"/>
      <c r="AP546" s="169"/>
      <c r="AQ546" s="169"/>
      <c r="AR546" s="169"/>
      <c r="AS546" s="169"/>
      <c r="AT546" s="169"/>
    </row>
    <row r="547" spans="10:46"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169"/>
      <c r="AN547" s="169"/>
      <c r="AO547" s="169"/>
      <c r="AP547" s="169"/>
      <c r="AQ547" s="169"/>
      <c r="AR547" s="169"/>
      <c r="AS547" s="169"/>
      <c r="AT547" s="169"/>
    </row>
    <row r="548" spans="10:46"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169"/>
      <c r="AN548" s="169"/>
      <c r="AO548" s="169"/>
      <c r="AP548" s="169"/>
      <c r="AQ548" s="169"/>
      <c r="AR548" s="169"/>
      <c r="AS548" s="169"/>
      <c r="AT548" s="169"/>
    </row>
    <row r="549" spans="10:46"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169"/>
      <c r="AN549" s="169"/>
      <c r="AO549" s="169"/>
      <c r="AP549" s="169"/>
      <c r="AQ549" s="169"/>
      <c r="AR549" s="169"/>
      <c r="AS549" s="169"/>
      <c r="AT549" s="169"/>
    </row>
    <row r="550" spans="10:46"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169"/>
      <c r="AN550" s="169"/>
      <c r="AO550" s="169"/>
      <c r="AP550" s="169"/>
      <c r="AQ550" s="169"/>
      <c r="AR550" s="169"/>
      <c r="AS550" s="169"/>
      <c r="AT550" s="169"/>
    </row>
    <row r="551" spans="10:46"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169"/>
      <c r="AN551" s="169"/>
      <c r="AO551" s="169"/>
      <c r="AP551" s="169"/>
      <c r="AQ551" s="169"/>
      <c r="AR551" s="169"/>
      <c r="AS551" s="169"/>
      <c r="AT551" s="169"/>
    </row>
    <row r="552" spans="10:46"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169"/>
      <c r="AN552" s="169"/>
      <c r="AO552" s="169"/>
      <c r="AP552" s="169"/>
      <c r="AQ552" s="169"/>
      <c r="AR552" s="169"/>
      <c r="AS552" s="169"/>
      <c r="AT552" s="169"/>
    </row>
    <row r="553" spans="10:46"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169"/>
      <c r="AN553" s="169"/>
      <c r="AO553" s="169"/>
      <c r="AP553" s="169"/>
      <c r="AQ553" s="169"/>
      <c r="AR553" s="169"/>
      <c r="AS553" s="169"/>
      <c r="AT553" s="169"/>
    </row>
    <row r="554" spans="10:46"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169"/>
      <c r="AN554" s="169"/>
      <c r="AO554" s="169"/>
      <c r="AP554" s="169"/>
      <c r="AQ554" s="169"/>
      <c r="AR554" s="169"/>
      <c r="AS554" s="169"/>
      <c r="AT554" s="169"/>
    </row>
    <row r="555" spans="10:46"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169"/>
      <c r="AN555" s="169"/>
      <c r="AO555" s="169"/>
      <c r="AP555" s="169"/>
      <c r="AQ555" s="169"/>
      <c r="AR555" s="169"/>
      <c r="AS555" s="169"/>
      <c r="AT555" s="169"/>
    </row>
    <row r="556" spans="10:46"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169"/>
      <c r="AN556" s="169"/>
      <c r="AO556" s="169"/>
      <c r="AP556" s="169"/>
      <c r="AQ556" s="169"/>
      <c r="AR556" s="169"/>
      <c r="AS556" s="169"/>
      <c r="AT556" s="169"/>
    </row>
    <row r="557" spans="10:46"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169"/>
      <c r="AN557" s="169"/>
      <c r="AO557" s="169"/>
      <c r="AP557" s="169"/>
      <c r="AQ557" s="169"/>
      <c r="AR557" s="169"/>
      <c r="AS557" s="169"/>
      <c r="AT557" s="169"/>
    </row>
    <row r="558" spans="10:46"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169"/>
      <c r="AN558" s="169"/>
      <c r="AO558" s="169"/>
      <c r="AP558" s="169"/>
      <c r="AQ558" s="169"/>
      <c r="AR558" s="169"/>
      <c r="AS558" s="169"/>
      <c r="AT558" s="169"/>
    </row>
    <row r="559" spans="10:46"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169"/>
      <c r="AN559" s="169"/>
      <c r="AO559" s="169"/>
      <c r="AP559" s="169"/>
      <c r="AQ559" s="169"/>
      <c r="AR559" s="169"/>
      <c r="AS559" s="169"/>
      <c r="AT559" s="169"/>
    </row>
    <row r="560" spans="10:46"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169"/>
      <c r="AN560" s="169"/>
      <c r="AO560" s="169"/>
      <c r="AP560" s="169"/>
      <c r="AQ560" s="169"/>
      <c r="AR560" s="169"/>
      <c r="AS560" s="169"/>
      <c r="AT560" s="169"/>
    </row>
    <row r="561" spans="10:46"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169"/>
      <c r="AN561" s="169"/>
      <c r="AO561" s="169"/>
      <c r="AP561" s="169"/>
      <c r="AQ561" s="169"/>
      <c r="AR561" s="169"/>
      <c r="AS561" s="169"/>
      <c r="AT561" s="169"/>
    </row>
    <row r="562" spans="10:46"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169"/>
      <c r="AN562" s="169"/>
      <c r="AO562" s="169"/>
      <c r="AP562" s="169"/>
      <c r="AQ562" s="169"/>
      <c r="AR562" s="169"/>
      <c r="AS562" s="169"/>
      <c r="AT562" s="169"/>
    </row>
    <row r="563" spans="10:46"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169"/>
      <c r="AN563" s="169"/>
      <c r="AO563" s="169"/>
      <c r="AP563" s="169"/>
      <c r="AQ563" s="169"/>
      <c r="AR563" s="169"/>
      <c r="AS563" s="169"/>
      <c r="AT563" s="169"/>
    </row>
    <row r="564" spans="10:46"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169"/>
      <c r="AN564" s="169"/>
      <c r="AO564" s="169"/>
      <c r="AP564" s="169"/>
      <c r="AQ564" s="169"/>
      <c r="AR564" s="169"/>
      <c r="AS564" s="169"/>
      <c r="AT564" s="169"/>
    </row>
    <row r="565" spans="10:46"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169"/>
      <c r="AN565" s="169"/>
      <c r="AO565" s="169"/>
      <c r="AP565" s="169"/>
      <c r="AQ565" s="169"/>
      <c r="AR565" s="169"/>
      <c r="AS565" s="169"/>
      <c r="AT565" s="169"/>
    </row>
    <row r="566" spans="10:46"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169"/>
      <c r="AN566" s="169"/>
      <c r="AO566" s="169"/>
      <c r="AP566" s="169"/>
      <c r="AQ566" s="169"/>
      <c r="AR566" s="169"/>
      <c r="AS566" s="169"/>
      <c r="AT566" s="169"/>
    </row>
    <row r="567" spans="10:46"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169"/>
      <c r="AN567" s="169"/>
      <c r="AO567" s="169"/>
      <c r="AP567" s="169"/>
      <c r="AQ567" s="169"/>
      <c r="AR567" s="169"/>
      <c r="AS567" s="169"/>
      <c r="AT567" s="169"/>
    </row>
    <row r="568" spans="10:46"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169"/>
      <c r="AN568" s="169"/>
      <c r="AO568" s="169"/>
      <c r="AP568" s="169"/>
      <c r="AQ568" s="169"/>
      <c r="AR568" s="169"/>
      <c r="AS568" s="169"/>
      <c r="AT568" s="169"/>
    </row>
    <row r="569" spans="10:46"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169"/>
      <c r="AN569" s="169"/>
      <c r="AO569" s="169"/>
      <c r="AP569" s="169"/>
      <c r="AQ569" s="169"/>
      <c r="AR569" s="169"/>
      <c r="AS569" s="169"/>
      <c r="AT569" s="169"/>
    </row>
    <row r="570" spans="10:46"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169"/>
      <c r="AN570" s="169"/>
      <c r="AO570" s="169"/>
      <c r="AP570" s="169"/>
      <c r="AQ570" s="169"/>
      <c r="AR570" s="169"/>
      <c r="AS570" s="169"/>
      <c r="AT570" s="169"/>
    </row>
    <row r="571" spans="10:46"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169"/>
      <c r="AN571" s="169"/>
      <c r="AO571" s="169"/>
      <c r="AP571" s="169"/>
      <c r="AQ571" s="169"/>
      <c r="AR571" s="169"/>
      <c r="AS571" s="169"/>
      <c r="AT571" s="169"/>
    </row>
    <row r="572" spans="10:46"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169"/>
      <c r="AN572" s="169"/>
      <c r="AO572" s="169"/>
      <c r="AP572" s="169"/>
      <c r="AQ572" s="169"/>
      <c r="AR572" s="169"/>
      <c r="AS572" s="169"/>
      <c r="AT572" s="169"/>
    </row>
    <row r="573" spans="10:46"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169"/>
      <c r="AN573" s="169"/>
      <c r="AO573" s="169"/>
      <c r="AP573" s="169"/>
      <c r="AQ573" s="169"/>
      <c r="AR573" s="169"/>
      <c r="AS573" s="169"/>
      <c r="AT573" s="169"/>
    </row>
    <row r="574" spans="10:46"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169"/>
      <c r="AN574" s="169"/>
      <c r="AO574" s="169"/>
      <c r="AP574" s="169"/>
      <c r="AQ574" s="169"/>
      <c r="AR574" s="169"/>
      <c r="AS574" s="169"/>
      <c r="AT574" s="169"/>
    </row>
    <row r="575" spans="10:46"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169"/>
      <c r="AN575" s="169"/>
      <c r="AO575" s="169"/>
      <c r="AP575" s="169"/>
      <c r="AQ575" s="169"/>
      <c r="AR575" s="169"/>
      <c r="AS575" s="169"/>
      <c r="AT575" s="169"/>
    </row>
    <row r="576" spans="10:46"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169"/>
      <c r="AN576" s="169"/>
      <c r="AO576" s="169"/>
      <c r="AP576" s="169"/>
      <c r="AQ576" s="169"/>
      <c r="AR576" s="169"/>
      <c r="AS576" s="169"/>
      <c r="AT576" s="169"/>
    </row>
    <row r="577" spans="10:46"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169"/>
      <c r="AN577" s="169"/>
      <c r="AO577" s="169"/>
      <c r="AP577" s="169"/>
      <c r="AQ577" s="169"/>
      <c r="AR577" s="169"/>
      <c r="AS577" s="169"/>
      <c r="AT577" s="169"/>
    </row>
    <row r="578" spans="10:46"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169"/>
      <c r="AN578" s="169"/>
      <c r="AO578" s="169"/>
      <c r="AP578" s="169"/>
      <c r="AQ578" s="169"/>
      <c r="AR578" s="169"/>
      <c r="AS578" s="169"/>
      <c r="AT578" s="169"/>
    </row>
    <row r="579" spans="10:46"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169"/>
      <c r="AN579" s="169"/>
      <c r="AO579" s="169"/>
      <c r="AP579" s="169"/>
      <c r="AQ579" s="169"/>
      <c r="AR579" s="169"/>
      <c r="AS579" s="169"/>
      <c r="AT579" s="169"/>
    </row>
    <row r="580" spans="10:46"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169"/>
      <c r="AN580" s="169"/>
      <c r="AO580" s="169"/>
      <c r="AP580" s="169"/>
      <c r="AQ580" s="169"/>
      <c r="AR580" s="169"/>
      <c r="AS580" s="169"/>
      <c r="AT580" s="169"/>
    </row>
    <row r="581" spans="10:46"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169"/>
      <c r="AN581" s="169"/>
      <c r="AO581" s="169"/>
      <c r="AP581" s="169"/>
      <c r="AQ581" s="169"/>
      <c r="AR581" s="169"/>
      <c r="AS581" s="169"/>
      <c r="AT581" s="169"/>
    </row>
    <row r="582" spans="10:46"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169"/>
      <c r="AN582" s="169"/>
      <c r="AO582" s="169"/>
      <c r="AP582" s="169"/>
      <c r="AQ582" s="169"/>
      <c r="AR582" s="169"/>
      <c r="AS582" s="169"/>
      <c r="AT582" s="169"/>
    </row>
    <row r="583" spans="10:46"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169"/>
      <c r="AN583" s="169"/>
      <c r="AO583" s="169"/>
      <c r="AP583" s="169"/>
      <c r="AQ583" s="169"/>
      <c r="AR583" s="169"/>
      <c r="AS583" s="169"/>
      <c r="AT583" s="169"/>
    </row>
    <row r="584" spans="10:46"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169"/>
      <c r="AN584" s="169"/>
      <c r="AO584" s="169"/>
      <c r="AP584" s="169"/>
      <c r="AQ584" s="169"/>
      <c r="AR584" s="169"/>
      <c r="AS584" s="169"/>
      <c r="AT584" s="169"/>
    </row>
    <row r="585" spans="10:46"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169"/>
      <c r="AN585" s="169"/>
      <c r="AO585" s="169"/>
      <c r="AP585" s="169"/>
      <c r="AQ585" s="169"/>
      <c r="AR585" s="169"/>
      <c r="AS585" s="169"/>
      <c r="AT585" s="169"/>
    </row>
    <row r="586" spans="10:46"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169"/>
      <c r="AN586" s="169"/>
      <c r="AO586" s="169"/>
      <c r="AP586" s="169"/>
      <c r="AQ586" s="169"/>
      <c r="AR586" s="169"/>
      <c r="AS586" s="169"/>
      <c r="AT586" s="169"/>
    </row>
    <row r="587" spans="10:46"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169"/>
      <c r="AN587" s="169"/>
      <c r="AO587" s="169"/>
      <c r="AP587" s="169"/>
      <c r="AQ587" s="169"/>
      <c r="AR587" s="169"/>
      <c r="AS587" s="169"/>
      <c r="AT587" s="169"/>
    </row>
    <row r="588" spans="10:46"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169"/>
      <c r="AN588" s="169"/>
      <c r="AO588" s="169"/>
      <c r="AP588" s="169"/>
      <c r="AQ588" s="169"/>
      <c r="AR588" s="169"/>
      <c r="AS588" s="169"/>
      <c r="AT588" s="169"/>
    </row>
    <row r="589" spans="10:46"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169"/>
      <c r="AN589" s="169"/>
      <c r="AO589" s="169"/>
      <c r="AP589" s="169"/>
      <c r="AQ589" s="169"/>
      <c r="AR589" s="169"/>
      <c r="AS589" s="169"/>
      <c r="AT589" s="169"/>
    </row>
    <row r="590" spans="10:46"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169"/>
      <c r="AN590" s="169"/>
      <c r="AO590" s="169"/>
      <c r="AP590" s="169"/>
      <c r="AQ590" s="169"/>
      <c r="AR590" s="169"/>
      <c r="AS590" s="169"/>
      <c r="AT590" s="169"/>
    </row>
    <row r="591" spans="10:46"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169"/>
      <c r="AN591" s="169"/>
      <c r="AO591" s="169"/>
      <c r="AP591" s="169"/>
      <c r="AQ591" s="169"/>
      <c r="AR591" s="169"/>
      <c r="AS591" s="169"/>
      <c r="AT591" s="169"/>
    </row>
    <row r="592" spans="10:46"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169"/>
      <c r="AN592" s="169"/>
      <c r="AO592" s="169"/>
      <c r="AP592" s="169"/>
      <c r="AQ592" s="169"/>
      <c r="AR592" s="169"/>
      <c r="AS592" s="169"/>
      <c r="AT592" s="169"/>
    </row>
    <row r="593" spans="10:46"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169"/>
      <c r="AN593" s="169"/>
      <c r="AO593" s="169"/>
      <c r="AP593" s="169"/>
      <c r="AQ593" s="169"/>
      <c r="AR593" s="169"/>
      <c r="AS593" s="169"/>
      <c r="AT593" s="169"/>
    </row>
    <row r="594" spans="10:46"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169"/>
      <c r="AN594" s="169"/>
      <c r="AO594" s="169"/>
      <c r="AP594" s="169"/>
      <c r="AQ594" s="169"/>
      <c r="AR594" s="169"/>
      <c r="AS594" s="169"/>
      <c r="AT594" s="169"/>
    </row>
    <row r="595" spans="10:46"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169"/>
      <c r="AN595" s="169"/>
      <c r="AO595" s="169"/>
      <c r="AP595" s="169"/>
      <c r="AQ595" s="169"/>
      <c r="AR595" s="169"/>
      <c r="AS595" s="169"/>
      <c r="AT595" s="169"/>
    </row>
    <row r="596" spans="10:46"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169"/>
      <c r="AN596" s="169"/>
      <c r="AO596" s="169"/>
      <c r="AP596" s="169"/>
      <c r="AQ596" s="169"/>
      <c r="AR596" s="169"/>
      <c r="AS596" s="169"/>
      <c r="AT596" s="169"/>
    </row>
    <row r="597" spans="10:46"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169"/>
      <c r="AN597" s="169"/>
      <c r="AO597" s="169"/>
      <c r="AP597" s="169"/>
      <c r="AQ597" s="169"/>
      <c r="AR597" s="169"/>
      <c r="AS597" s="169"/>
      <c r="AT597" s="169"/>
    </row>
    <row r="598" spans="10:46"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169"/>
      <c r="AN598" s="169"/>
      <c r="AO598" s="169"/>
      <c r="AP598" s="169"/>
      <c r="AQ598" s="169"/>
      <c r="AR598" s="169"/>
      <c r="AS598" s="169"/>
      <c r="AT598" s="169"/>
    </row>
    <row r="599" spans="10:46"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169"/>
      <c r="AN599" s="169"/>
      <c r="AO599" s="169"/>
      <c r="AP599" s="169"/>
      <c r="AQ599" s="169"/>
      <c r="AR599" s="169"/>
      <c r="AS599" s="169"/>
      <c r="AT599" s="169"/>
    </row>
    <row r="600" spans="10:46"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169"/>
      <c r="AN600" s="169"/>
      <c r="AO600" s="169"/>
      <c r="AP600" s="169"/>
      <c r="AQ600" s="169"/>
      <c r="AR600" s="169"/>
      <c r="AS600" s="169"/>
      <c r="AT600" s="169"/>
    </row>
    <row r="601" spans="10:46"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169"/>
      <c r="AN601" s="169"/>
      <c r="AO601" s="169"/>
      <c r="AP601" s="169"/>
      <c r="AQ601" s="169"/>
      <c r="AR601" s="169"/>
      <c r="AS601" s="169"/>
      <c r="AT601" s="169"/>
    </row>
    <row r="602" spans="10:46"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169"/>
      <c r="AN602" s="169"/>
      <c r="AO602" s="169"/>
      <c r="AP602" s="169"/>
      <c r="AQ602" s="169"/>
      <c r="AR602" s="169"/>
      <c r="AS602" s="169"/>
      <c r="AT602" s="169"/>
    </row>
    <row r="603" spans="10:46"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169"/>
      <c r="AN603" s="169"/>
      <c r="AO603" s="169"/>
      <c r="AP603" s="169"/>
      <c r="AQ603" s="169"/>
      <c r="AR603" s="169"/>
      <c r="AS603" s="169"/>
      <c r="AT603" s="169"/>
    </row>
    <row r="604" spans="10:46"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169"/>
      <c r="AN604" s="169"/>
      <c r="AO604" s="169"/>
      <c r="AP604" s="169"/>
      <c r="AQ604" s="169"/>
      <c r="AR604" s="169"/>
      <c r="AS604" s="169"/>
      <c r="AT604" s="169"/>
    </row>
    <row r="605" spans="10:46"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169"/>
      <c r="AN605" s="169"/>
      <c r="AO605" s="169"/>
      <c r="AP605" s="169"/>
      <c r="AQ605" s="169"/>
      <c r="AR605" s="169"/>
      <c r="AS605" s="169"/>
      <c r="AT605" s="169"/>
    </row>
    <row r="606" spans="10:46"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169"/>
      <c r="AN606" s="169"/>
      <c r="AO606" s="169"/>
      <c r="AP606" s="169"/>
      <c r="AQ606" s="169"/>
      <c r="AR606" s="169"/>
      <c r="AS606" s="169"/>
      <c r="AT606" s="169"/>
    </row>
    <row r="607" spans="10:46"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169"/>
      <c r="AN607" s="169"/>
      <c r="AO607" s="169"/>
      <c r="AP607" s="169"/>
      <c r="AQ607" s="169"/>
      <c r="AR607" s="169"/>
      <c r="AS607" s="169"/>
      <c r="AT607" s="169"/>
    </row>
    <row r="608" spans="10:46"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169"/>
      <c r="AN608" s="169"/>
      <c r="AO608" s="169"/>
      <c r="AP608" s="169"/>
      <c r="AQ608" s="169"/>
      <c r="AR608" s="169"/>
      <c r="AS608" s="169"/>
      <c r="AT608" s="169"/>
    </row>
    <row r="609" spans="10:46"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169"/>
      <c r="AN609" s="169"/>
      <c r="AO609" s="169"/>
      <c r="AP609" s="169"/>
      <c r="AQ609" s="169"/>
      <c r="AR609" s="169"/>
      <c r="AS609" s="169"/>
      <c r="AT609" s="169"/>
    </row>
    <row r="610" spans="10:46"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169"/>
      <c r="AN610" s="169"/>
      <c r="AO610" s="169"/>
      <c r="AP610" s="169"/>
      <c r="AQ610" s="169"/>
      <c r="AR610" s="169"/>
      <c r="AS610" s="169"/>
      <c r="AT610" s="169"/>
    </row>
    <row r="611" spans="10:46"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169"/>
      <c r="AN611" s="169"/>
      <c r="AO611" s="169"/>
      <c r="AP611" s="169"/>
      <c r="AQ611" s="169"/>
      <c r="AR611" s="169"/>
      <c r="AS611" s="169"/>
      <c r="AT611" s="169"/>
    </row>
    <row r="612" spans="10:46"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169"/>
      <c r="AN612" s="169"/>
      <c r="AO612" s="169"/>
      <c r="AP612" s="169"/>
      <c r="AQ612" s="169"/>
      <c r="AR612" s="169"/>
      <c r="AS612" s="169"/>
      <c r="AT612" s="169"/>
    </row>
    <row r="613" spans="10:46"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169"/>
      <c r="AN613" s="169"/>
      <c r="AO613" s="169"/>
      <c r="AP613" s="169"/>
      <c r="AQ613" s="169"/>
      <c r="AR613" s="169"/>
      <c r="AS613" s="169"/>
      <c r="AT613" s="169"/>
    </row>
    <row r="614" spans="10:46"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169"/>
      <c r="AN614" s="169"/>
      <c r="AO614" s="169"/>
      <c r="AP614" s="169"/>
      <c r="AQ614" s="169"/>
      <c r="AR614" s="169"/>
      <c r="AS614" s="169"/>
      <c r="AT614" s="169"/>
    </row>
    <row r="615" spans="10:46"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169"/>
      <c r="AN615" s="169"/>
      <c r="AO615" s="169"/>
      <c r="AP615" s="169"/>
      <c r="AQ615" s="169"/>
      <c r="AR615" s="169"/>
      <c r="AS615" s="169"/>
      <c r="AT615" s="169"/>
    </row>
    <row r="616" spans="10:46"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169"/>
      <c r="AN616" s="169"/>
      <c r="AO616" s="169"/>
      <c r="AP616" s="169"/>
      <c r="AQ616" s="169"/>
      <c r="AR616" s="169"/>
      <c r="AS616" s="169"/>
      <c r="AT616" s="169"/>
    </row>
    <row r="617" spans="10:46"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169"/>
      <c r="AN617" s="169"/>
      <c r="AO617" s="169"/>
      <c r="AP617" s="169"/>
      <c r="AQ617" s="169"/>
      <c r="AR617" s="169"/>
      <c r="AS617" s="169"/>
      <c r="AT617" s="169"/>
    </row>
    <row r="618" spans="10:46"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169"/>
      <c r="AN618" s="169"/>
      <c r="AO618" s="169"/>
      <c r="AP618" s="169"/>
      <c r="AQ618" s="169"/>
      <c r="AR618" s="169"/>
      <c r="AS618" s="169"/>
      <c r="AT618" s="169"/>
    </row>
    <row r="619" spans="10:46"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169"/>
      <c r="AN619" s="169"/>
      <c r="AO619" s="169"/>
      <c r="AP619" s="169"/>
      <c r="AQ619" s="169"/>
      <c r="AR619" s="169"/>
      <c r="AS619" s="169"/>
      <c r="AT619" s="169"/>
    </row>
    <row r="620" spans="10:46"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169"/>
      <c r="AN620" s="169"/>
      <c r="AO620" s="169"/>
      <c r="AP620" s="169"/>
      <c r="AQ620" s="169"/>
      <c r="AR620" s="169"/>
      <c r="AS620" s="169"/>
      <c r="AT620" s="169"/>
    </row>
    <row r="621" spans="10:46"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169"/>
      <c r="AN621" s="169"/>
      <c r="AO621" s="169"/>
      <c r="AP621" s="169"/>
      <c r="AQ621" s="169"/>
      <c r="AR621" s="169"/>
      <c r="AS621" s="169"/>
      <c r="AT621" s="169"/>
    </row>
    <row r="622" spans="10:46"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169"/>
      <c r="AN622" s="169"/>
      <c r="AO622" s="169"/>
      <c r="AP622" s="169"/>
      <c r="AQ622" s="169"/>
      <c r="AR622" s="169"/>
      <c r="AS622" s="169"/>
      <c r="AT622" s="169"/>
    </row>
    <row r="623" spans="10:46"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169"/>
      <c r="AN623" s="169"/>
      <c r="AO623" s="169"/>
      <c r="AP623" s="169"/>
      <c r="AQ623" s="169"/>
      <c r="AR623" s="169"/>
      <c r="AS623" s="169"/>
      <c r="AT623" s="169"/>
    </row>
    <row r="624" spans="10:46"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169"/>
      <c r="AN624" s="169"/>
      <c r="AO624" s="169"/>
      <c r="AP624" s="169"/>
      <c r="AQ624" s="169"/>
      <c r="AR624" s="169"/>
      <c r="AS624" s="169"/>
      <c r="AT624" s="169"/>
    </row>
    <row r="625" spans="10:46"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169"/>
      <c r="AN625" s="169"/>
      <c r="AO625" s="169"/>
      <c r="AP625" s="169"/>
      <c r="AQ625" s="169"/>
      <c r="AR625" s="169"/>
      <c r="AS625" s="169"/>
      <c r="AT625" s="169"/>
    </row>
    <row r="626" spans="10:46"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169"/>
      <c r="AN626" s="169"/>
      <c r="AO626" s="169"/>
      <c r="AP626" s="169"/>
      <c r="AQ626" s="169"/>
      <c r="AR626" s="169"/>
      <c r="AS626" s="169"/>
      <c r="AT626" s="169"/>
    </row>
    <row r="627" spans="10:46"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169"/>
      <c r="AN627" s="169"/>
      <c r="AO627" s="169"/>
      <c r="AP627" s="169"/>
      <c r="AQ627" s="169"/>
      <c r="AR627" s="169"/>
      <c r="AS627" s="169"/>
      <c r="AT627" s="169"/>
    </row>
    <row r="628" spans="10:46"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169"/>
      <c r="AN628" s="169"/>
      <c r="AO628" s="169"/>
      <c r="AP628" s="169"/>
      <c r="AQ628" s="169"/>
      <c r="AR628" s="169"/>
      <c r="AS628" s="169"/>
      <c r="AT628" s="169"/>
    </row>
    <row r="629" spans="10:46"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169"/>
      <c r="AN629" s="169"/>
      <c r="AO629" s="169"/>
      <c r="AP629" s="169"/>
      <c r="AQ629" s="169"/>
      <c r="AR629" s="169"/>
      <c r="AS629" s="169"/>
      <c r="AT629" s="169"/>
    </row>
    <row r="630" spans="10:46"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169"/>
      <c r="AN630" s="169"/>
      <c r="AO630" s="169"/>
      <c r="AP630" s="169"/>
      <c r="AQ630" s="169"/>
      <c r="AR630" s="169"/>
      <c r="AS630" s="169"/>
      <c r="AT630" s="169"/>
    </row>
    <row r="631" spans="10:46"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169"/>
      <c r="AN631" s="169"/>
      <c r="AO631" s="169"/>
      <c r="AP631" s="169"/>
      <c r="AQ631" s="169"/>
      <c r="AR631" s="169"/>
      <c r="AS631" s="169"/>
      <c r="AT631" s="169"/>
    </row>
    <row r="632" spans="10:46"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169"/>
      <c r="AN632" s="169"/>
      <c r="AO632" s="169"/>
      <c r="AP632" s="169"/>
      <c r="AQ632" s="169"/>
      <c r="AR632" s="169"/>
      <c r="AS632" s="169"/>
      <c r="AT632" s="169"/>
    </row>
    <row r="633" spans="10:46"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169"/>
      <c r="AN633" s="169"/>
      <c r="AO633" s="169"/>
      <c r="AP633" s="169"/>
      <c r="AQ633" s="169"/>
      <c r="AR633" s="169"/>
      <c r="AS633" s="169"/>
      <c r="AT633" s="169"/>
    </row>
    <row r="634" spans="10:46"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169"/>
      <c r="AN634" s="169"/>
      <c r="AO634" s="169"/>
      <c r="AP634" s="169"/>
      <c r="AQ634" s="169"/>
      <c r="AR634" s="169"/>
      <c r="AS634" s="169"/>
      <c r="AT634" s="169"/>
    </row>
    <row r="635" spans="10:46"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169"/>
      <c r="AN635" s="169"/>
      <c r="AO635" s="169"/>
      <c r="AP635" s="169"/>
      <c r="AQ635" s="169"/>
      <c r="AR635" s="169"/>
      <c r="AS635" s="169"/>
      <c r="AT635" s="169"/>
    </row>
    <row r="636" spans="10:46"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169"/>
      <c r="AN636" s="169"/>
      <c r="AO636" s="169"/>
      <c r="AP636" s="169"/>
      <c r="AQ636" s="169"/>
      <c r="AR636" s="169"/>
      <c r="AS636" s="169"/>
      <c r="AT636" s="169"/>
    </row>
    <row r="637" spans="10:46"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169"/>
      <c r="AN637" s="169"/>
      <c r="AO637" s="169"/>
      <c r="AP637" s="169"/>
      <c r="AQ637" s="169"/>
      <c r="AR637" s="169"/>
      <c r="AS637" s="169"/>
      <c r="AT637" s="169"/>
    </row>
    <row r="638" spans="10:46"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169"/>
      <c r="AN638" s="169"/>
      <c r="AO638" s="169"/>
      <c r="AP638" s="169"/>
      <c r="AQ638" s="169"/>
      <c r="AR638" s="169"/>
      <c r="AS638" s="169"/>
      <c r="AT638" s="169"/>
    </row>
    <row r="639" spans="10:46"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169"/>
      <c r="AN639" s="169"/>
      <c r="AO639" s="169"/>
      <c r="AP639" s="169"/>
      <c r="AQ639" s="169"/>
      <c r="AR639" s="169"/>
      <c r="AS639" s="169"/>
      <c r="AT639" s="169"/>
    </row>
    <row r="640" spans="10:46"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169"/>
      <c r="AN640" s="169"/>
      <c r="AO640" s="169"/>
      <c r="AP640" s="169"/>
      <c r="AQ640" s="169"/>
      <c r="AR640" s="169"/>
      <c r="AS640" s="169"/>
      <c r="AT640" s="169"/>
    </row>
    <row r="641" spans="10:46"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169"/>
      <c r="AN641" s="169"/>
      <c r="AO641" s="169"/>
      <c r="AP641" s="169"/>
      <c r="AQ641" s="169"/>
      <c r="AR641" s="169"/>
      <c r="AS641" s="169"/>
      <c r="AT641" s="169"/>
    </row>
    <row r="642" spans="10:46"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169"/>
      <c r="AN642" s="169"/>
      <c r="AO642" s="169"/>
      <c r="AP642" s="169"/>
      <c r="AQ642" s="169"/>
      <c r="AR642" s="169"/>
      <c r="AS642" s="169"/>
      <c r="AT642" s="169"/>
    </row>
    <row r="643" spans="10:46"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169"/>
      <c r="AN643" s="169"/>
      <c r="AO643" s="169"/>
      <c r="AP643" s="169"/>
      <c r="AQ643" s="169"/>
      <c r="AR643" s="169"/>
      <c r="AS643" s="169"/>
      <c r="AT643" s="169"/>
    </row>
    <row r="644" spans="10:46"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169"/>
      <c r="AN644" s="169"/>
      <c r="AO644" s="169"/>
      <c r="AP644" s="169"/>
      <c r="AQ644" s="169"/>
      <c r="AR644" s="169"/>
      <c r="AS644" s="169"/>
      <c r="AT644" s="169"/>
    </row>
    <row r="645" spans="10:46"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169"/>
      <c r="AN645" s="169"/>
      <c r="AO645" s="169"/>
      <c r="AP645" s="169"/>
      <c r="AQ645" s="169"/>
      <c r="AR645" s="169"/>
      <c r="AS645" s="169"/>
      <c r="AT645" s="169"/>
    </row>
    <row r="646" spans="10:46"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169"/>
      <c r="AN646" s="169"/>
      <c r="AO646" s="169"/>
      <c r="AP646" s="169"/>
      <c r="AQ646" s="169"/>
      <c r="AR646" s="169"/>
      <c r="AS646" s="169"/>
      <c r="AT646" s="169"/>
    </row>
    <row r="647" spans="10:46"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169"/>
      <c r="AN647" s="169"/>
      <c r="AO647" s="169"/>
      <c r="AP647" s="169"/>
      <c r="AQ647" s="169"/>
      <c r="AR647" s="169"/>
      <c r="AS647" s="169"/>
      <c r="AT647" s="169"/>
    </row>
    <row r="648" spans="10:46"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169"/>
      <c r="AN648" s="169"/>
      <c r="AO648" s="169"/>
      <c r="AP648" s="169"/>
      <c r="AQ648" s="169"/>
      <c r="AR648" s="169"/>
      <c r="AS648" s="169"/>
      <c r="AT648" s="169"/>
    </row>
    <row r="649" spans="10:46"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169"/>
      <c r="AN649" s="169"/>
      <c r="AO649" s="169"/>
      <c r="AP649" s="169"/>
      <c r="AQ649" s="169"/>
      <c r="AR649" s="169"/>
      <c r="AS649" s="169"/>
      <c r="AT649" s="169"/>
    </row>
    <row r="650" spans="10:46"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169"/>
      <c r="AN650" s="169"/>
      <c r="AO650" s="169"/>
      <c r="AP650" s="169"/>
      <c r="AQ650" s="169"/>
      <c r="AR650" s="169"/>
      <c r="AS650" s="169"/>
      <c r="AT650" s="169"/>
    </row>
    <row r="651" spans="10:46"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169"/>
      <c r="AN651" s="169"/>
      <c r="AO651" s="169"/>
      <c r="AP651" s="169"/>
      <c r="AQ651" s="169"/>
      <c r="AR651" s="169"/>
      <c r="AS651" s="169"/>
      <c r="AT651" s="169"/>
    </row>
    <row r="652" spans="10:46"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169"/>
      <c r="AN652" s="169"/>
      <c r="AO652" s="169"/>
      <c r="AP652" s="169"/>
      <c r="AQ652" s="169"/>
      <c r="AR652" s="169"/>
      <c r="AS652" s="169"/>
      <c r="AT652" s="169"/>
    </row>
    <row r="653" spans="10:46"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169"/>
      <c r="AN653" s="169"/>
      <c r="AO653" s="169"/>
      <c r="AP653" s="169"/>
      <c r="AQ653" s="169"/>
      <c r="AR653" s="169"/>
      <c r="AS653" s="169"/>
      <c r="AT653" s="169"/>
    </row>
    <row r="654" spans="10:46"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169"/>
      <c r="AN654" s="169"/>
      <c r="AO654" s="169"/>
      <c r="AP654" s="169"/>
      <c r="AQ654" s="169"/>
      <c r="AR654" s="169"/>
      <c r="AS654" s="169"/>
      <c r="AT654" s="169"/>
    </row>
    <row r="655" spans="10:46"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169"/>
      <c r="AN655" s="169"/>
      <c r="AO655" s="169"/>
      <c r="AP655" s="169"/>
      <c r="AQ655" s="169"/>
      <c r="AR655" s="169"/>
      <c r="AS655" s="169"/>
      <c r="AT655" s="169"/>
    </row>
    <row r="656" spans="10:46"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169"/>
      <c r="AN656" s="169"/>
      <c r="AO656" s="169"/>
      <c r="AP656" s="169"/>
      <c r="AQ656" s="169"/>
      <c r="AR656" s="169"/>
      <c r="AS656" s="169"/>
      <c r="AT656" s="169"/>
    </row>
    <row r="657" spans="10:46"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169"/>
      <c r="AN657" s="169"/>
      <c r="AO657" s="169"/>
      <c r="AP657" s="169"/>
      <c r="AQ657" s="169"/>
      <c r="AR657" s="169"/>
      <c r="AS657" s="169"/>
      <c r="AT657" s="169"/>
    </row>
    <row r="658" spans="10:46"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169"/>
      <c r="AN658" s="169"/>
      <c r="AO658" s="169"/>
      <c r="AP658" s="169"/>
      <c r="AQ658" s="169"/>
      <c r="AR658" s="169"/>
      <c r="AS658" s="169"/>
      <c r="AT658" s="169"/>
    </row>
    <row r="659" spans="10:46"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169"/>
      <c r="AN659" s="169"/>
      <c r="AO659" s="169"/>
      <c r="AP659" s="169"/>
      <c r="AQ659" s="169"/>
      <c r="AR659" s="169"/>
      <c r="AS659" s="169"/>
      <c r="AT659" s="169"/>
    </row>
    <row r="660" spans="10:46"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169"/>
      <c r="AN660" s="169"/>
      <c r="AO660" s="169"/>
      <c r="AP660" s="169"/>
      <c r="AQ660" s="169"/>
      <c r="AR660" s="169"/>
      <c r="AS660" s="169"/>
      <c r="AT660" s="169"/>
    </row>
    <row r="661" spans="10:46"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169"/>
      <c r="AN661" s="169"/>
      <c r="AO661" s="169"/>
      <c r="AP661" s="169"/>
      <c r="AQ661" s="169"/>
      <c r="AR661" s="169"/>
      <c r="AS661" s="169"/>
      <c r="AT661" s="169"/>
    </row>
    <row r="662" spans="10:46"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169"/>
      <c r="AN662" s="169"/>
      <c r="AO662" s="169"/>
      <c r="AP662" s="169"/>
      <c r="AQ662" s="169"/>
      <c r="AR662" s="169"/>
      <c r="AS662" s="169"/>
      <c r="AT662" s="169"/>
    </row>
    <row r="663" spans="10:46"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169"/>
      <c r="AN663" s="169"/>
      <c r="AO663" s="169"/>
      <c r="AP663" s="169"/>
      <c r="AQ663" s="169"/>
      <c r="AR663" s="169"/>
      <c r="AS663" s="169"/>
      <c r="AT663" s="169"/>
    </row>
    <row r="664" spans="10:46"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169"/>
      <c r="AN664" s="169"/>
      <c r="AO664" s="169"/>
      <c r="AP664" s="169"/>
      <c r="AQ664" s="169"/>
      <c r="AR664" s="169"/>
      <c r="AS664" s="169"/>
      <c r="AT664" s="169"/>
    </row>
    <row r="665" spans="10:46"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169"/>
      <c r="AN665" s="169"/>
      <c r="AO665" s="169"/>
      <c r="AP665" s="169"/>
      <c r="AQ665" s="169"/>
      <c r="AR665" s="169"/>
      <c r="AS665" s="169"/>
      <c r="AT665" s="169"/>
    </row>
    <row r="666" spans="10:46"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169"/>
      <c r="AN666" s="169"/>
      <c r="AO666" s="169"/>
      <c r="AP666" s="169"/>
      <c r="AQ666" s="169"/>
      <c r="AR666" s="169"/>
      <c r="AS666" s="169"/>
      <c r="AT666" s="169"/>
    </row>
    <row r="667" spans="10:46"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169"/>
      <c r="AN667" s="169"/>
      <c r="AO667" s="169"/>
      <c r="AP667" s="169"/>
      <c r="AQ667" s="169"/>
      <c r="AR667" s="169"/>
      <c r="AS667" s="169"/>
      <c r="AT667" s="169"/>
    </row>
    <row r="668" spans="10:46"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169"/>
      <c r="AN668" s="169"/>
      <c r="AO668" s="169"/>
      <c r="AP668" s="169"/>
      <c r="AQ668" s="169"/>
      <c r="AR668" s="169"/>
      <c r="AS668" s="169"/>
      <c r="AT668" s="169"/>
    </row>
    <row r="669" spans="10:46"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169"/>
      <c r="AN669" s="169"/>
      <c r="AO669" s="169"/>
      <c r="AP669" s="169"/>
      <c r="AQ669" s="169"/>
      <c r="AR669" s="169"/>
      <c r="AS669" s="169"/>
      <c r="AT669" s="169"/>
    </row>
    <row r="670" spans="10:46"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169"/>
      <c r="AN670" s="169"/>
      <c r="AO670" s="169"/>
      <c r="AP670" s="169"/>
      <c r="AQ670" s="169"/>
      <c r="AR670" s="169"/>
      <c r="AS670" s="169"/>
      <c r="AT670" s="169"/>
    </row>
    <row r="671" spans="10:46"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169"/>
      <c r="AN671" s="169"/>
      <c r="AO671" s="169"/>
      <c r="AP671" s="169"/>
      <c r="AQ671" s="169"/>
      <c r="AR671" s="169"/>
      <c r="AS671" s="169"/>
      <c r="AT671" s="169"/>
    </row>
    <row r="672" spans="10:46"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169"/>
      <c r="AN672" s="169"/>
      <c r="AO672" s="169"/>
      <c r="AP672" s="169"/>
      <c r="AQ672" s="169"/>
      <c r="AR672" s="169"/>
      <c r="AS672" s="169"/>
      <c r="AT672" s="169"/>
    </row>
    <row r="673" spans="10:46"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169"/>
      <c r="AN673" s="169"/>
      <c r="AO673" s="169"/>
      <c r="AP673" s="169"/>
      <c r="AQ673" s="169"/>
      <c r="AR673" s="169"/>
      <c r="AS673" s="169"/>
      <c r="AT673" s="169"/>
    </row>
    <row r="674" spans="10:46"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169"/>
      <c r="AN674" s="169"/>
      <c r="AO674" s="169"/>
      <c r="AP674" s="169"/>
      <c r="AQ674" s="169"/>
      <c r="AR674" s="169"/>
      <c r="AS674" s="169"/>
      <c r="AT674" s="169"/>
    </row>
    <row r="675" spans="10:46"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169"/>
      <c r="AN675" s="169"/>
      <c r="AO675" s="169"/>
      <c r="AP675" s="169"/>
      <c r="AQ675" s="169"/>
      <c r="AR675" s="169"/>
      <c r="AS675" s="169"/>
      <c r="AT675" s="169"/>
    </row>
    <row r="676" spans="10:46"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169"/>
      <c r="AN676" s="169"/>
      <c r="AO676" s="169"/>
      <c r="AP676" s="169"/>
      <c r="AQ676" s="169"/>
      <c r="AR676" s="169"/>
      <c r="AS676" s="169"/>
      <c r="AT676" s="169"/>
    </row>
    <row r="677" spans="10:46"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169"/>
      <c r="AN677" s="169"/>
      <c r="AO677" s="169"/>
      <c r="AP677" s="169"/>
      <c r="AQ677" s="169"/>
      <c r="AR677" s="169"/>
      <c r="AS677" s="169"/>
      <c r="AT677" s="169"/>
    </row>
    <row r="678" spans="10:46"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169"/>
      <c r="AN678" s="169"/>
      <c r="AO678" s="169"/>
      <c r="AP678" s="169"/>
      <c r="AQ678" s="169"/>
      <c r="AR678" s="169"/>
      <c r="AS678" s="169"/>
      <c r="AT678" s="169"/>
    </row>
    <row r="679" spans="10:46"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169"/>
      <c r="AN679" s="169"/>
      <c r="AO679" s="169"/>
      <c r="AP679" s="169"/>
      <c r="AQ679" s="169"/>
      <c r="AR679" s="169"/>
      <c r="AS679" s="169"/>
      <c r="AT679" s="169"/>
    </row>
    <row r="680" spans="10:46"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169"/>
      <c r="AN680" s="169"/>
      <c r="AO680" s="169"/>
      <c r="AP680" s="169"/>
      <c r="AQ680" s="169"/>
      <c r="AR680" s="169"/>
      <c r="AS680" s="169"/>
      <c r="AT680" s="169"/>
    </row>
    <row r="681" spans="10:46"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169"/>
      <c r="AN681" s="169"/>
      <c r="AO681" s="169"/>
      <c r="AP681" s="169"/>
      <c r="AQ681" s="169"/>
      <c r="AR681" s="169"/>
      <c r="AS681" s="169"/>
      <c r="AT681" s="169"/>
    </row>
    <row r="682" spans="10:46"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169"/>
      <c r="AN682" s="169"/>
      <c r="AO682" s="169"/>
      <c r="AP682" s="169"/>
      <c r="AQ682" s="169"/>
      <c r="AR682" s="169"/>
      <c r="AS682" s="169"/>
      <c r="AT682" s="169"/>
    </row>
    <row r="683" spans="10:46"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169"/>
      <c r="AN683" s="169"/>
      <c r="AO683" s="169"/>
      <c r="AP683" s="169"/>
      <c r="AQ683" s="169"/>
      <c r="AR683" s="169"/>
      <c r="AS683" s="169"/>
      <c r="AT683" s="169"/>
    </row>
    <row r="684" spans="10:46"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169"/>
      <c r="AN684" s="169"/>
      <c r="AO684" s="169"/>
      <c r="AP684" s="169"/>
      <c r="AQ684" s="169"/>
      <c r="AR684" s="169"/>
      <c r="AS684" s="169"/>
      <c r="AT684" s="169"/>
    </row>
    <row r="685" spans="10:46"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169"/>
      <c r="AN685" s="169"/>
      <c r="AO685" s="169"/>
      <c r="AP685" s="169"/>
      <c r="AQ685" s="169"/>
      <c r="AR685" s="169"/>
      <c r="AS685" s="169"/>
      <c r="AT685" s="169"/>
    </row>
    <row r="686" spans="10:46"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169"/>
      <c r="AN686" s="169"/>
      <c r="AO686" s="169"/>
      <c r="AP686" s="169"/>
      <c r="AQ686" s="169"/>
      <c r="AR686" s="169"/>
      <c r="AS686" s="169"/>
      <c r="AT686" s="169"/>
    </row>
    <row r="687" spans="10:46"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169"/>
      <c r="AN687" s="169"/>
      <c r="AO687" s="169"/>
      <c r="AP687" s="169"/>
      <c r="AQ687" s="169"/>
      <c r="AR687" s="169"/>
      <c r="AS687" s="169"/>
      <c r="AT687" s="169"/>
    </row>
    <row r="688" spans="10:46"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169"/>
      <c r="AN688" s="169"/>
      <c r="AO688" s="169"/>
      <c r="AP688" s="169"/>
      <c r="AQ688" s="169"/>
      <c r="AR688" s="169"/>
      <c r="AS688" s="169"/>
      <c r="AT688" s="169"/>
    </row>
    <row r="689" spans="10:46"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169"/>
      <c r="AN689" s="169"/>
      <c r="AO689" s="169"/>
      <c r="AP689" s="169"/>
      <c r="AQ689" s="169"/>
      <c r="AR689" s="169"/>
      <c r="AS689" s="169"/>
      <c r="AT689" s="169"/>
    </row>
    <row r="690" spans="10:46"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169"/>
      <c r="AN690" s="169"/>
      <c r="AO690" s="169"/>
      <c r="AP690" s="169"/>
      <c r="AQ690" s="169"/>
      <c r="AR690" s="169"/>
      <c r="AS690" s="169"/>
      <c r="AT690" s="169"/>
    </row>
    <row r="691" spans="10:46"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169"/>
      <c r="AN691" s="169"/>
      <c r="AO691" s="169"/>
      <c r="AP691" s="169"/>
      <c r="AQ691" s="169"/>
      <c r="AR691" s="169"/>
      <c r="AS691" s="169"/>
      <c r="AT691" s="169"/>
    </row>
    <row r="692" spans="10:46"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169"/>
      <c r="AN692" s="169"/>
      <c r="AO692" s="169"/>
      <c r="AP692" s="169"/>
      <c r="AQ692" s="169"/>
      <c r="AR692" s="169"/>
      <c r="AS692" s="169"/>
      <c r="AT692" s="169"/>
    </row>
    <row r="693" spans="10:46"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169"/>
      <c r="AN693" s="169"/>
      <c r="AO693" s="169"/>
      <c r="AP693" s="169"/>
      <c r="AQ693" s="169"/>
      <c r="AR693" s="169"/>
      <c r="AS693" s="169"/>
      <c r="AT693" s="169"/>
    </row>
    <row r="694" spans="10:46"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169"/>
      <c r="AN694" s="169"/>
      <c r="AO694" s="169"/>
      <c r="AP694" s="169"/>
      <c r="AQ694" s="169"/>
      <c r="AR694" s="169"/>
      <c r="AS694" s="169"/>
      <c r="AT694" s="169"/>
    </row>
    <row r="695" spans="10:46"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169"/>
      <c r="AN695" s="169"/>
      <c r="AO695" s="169"/>
      <c r="AP695" s="169"/>
      <c r="AQ695" s="169"/>
      <c r="AR695" s="169"/>
      <c r="AS695" s="169"/>
      <c r="AT695" s="169"/>
    </row>
    <row r="696" spans="10:46"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169"/>
      <c r="AN696" s="169"/>
      <c r="AO696" s="169"/>
      <c r="AP696" s="169"/>
      <c r="AQ696" s="169"/>
      <c r="AR696" s="169"/>
      <c r="AS696" s="169"/>
      <c r="AT696" s="169"/>
    </row>
    <row r="697" spans="10:46"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169"/>
      <c r="AN697" s="169"/>
      <c r="AO697" s="169"/>
      <c r="AP697" s="169"/>
      <c r="AQ697" s="169"/>
      <c r="AR697" s="169"/>
      <c r="AS697" s="169"/>
      <c r="AT697" s="169"/>
    </row>
    <row r="698" spans="10:46"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169"/>
      <c r="AN698" s="169"/>
      <c r="AO698" s="169"/>
      <c r="AP698" s="169"/>
      <c r="AQ698" s="169"/>
      <c r="AR698" s="169"/>
      <c r="AS698" s="169"/>
      <c r="AT698" s="169"/>
    </row>
    <row r="699" spans="10:46"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169"/>
      <c r="AN699" s="169"/>
      <c r="AO699" s="169"/>
      <c r="AP699" s="169"/>
      <c r="AQ699" s="169"/>
      <c r="AR699" s="169"/>
      <c r="AS699" s="169"/>
      <c r="AT699" s="169"/>
    </row>
    <row r="700" spans="10:46"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169"/>
      <c r="AN700" s="169"/>
      <c r="AO700" s="169"/>
      <c r="AP700" s="169"/>
      <c r="AQ700" s="169"/>
      <c r="AR700" s="169"/>
      <c r="AS700" s="169"/>
      <c r="AT700" s="169"/>
    </row>
    <row r="701" spans="10:46"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169"/>
      <c r="AN701" s="169"/>
      <c r="AO701" s="169"/>
      <c r="AP701" s="169"/>
      <c r="AQ701" s="169"/>
      <c r="AR701" s="169"/>
      <c r="AS701" s="169"/>
      <c r="AT701" s="169"/>
    </row>
    <row r="702" spans="10:46"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169"/>
      <c r="AN702" s="169"/>
      <c r="AO702" s="169"/>
      <c r="AP702" s="169"/>
      <c r="AQ702" s="169"/>
      <c r="AR702" s="169"/>
      <c r="AS702" s="169"/>
      <c r="AT702" s="169"/>
    </row>
    <row r="703" spans="10:46"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169"/>
      <c r="AN703" s="169"/>
      <c r="AO703" s="169"/>
      <c r="AP703" s="169"/>
      <c r="AQ703" s="169"/>
      <c r="AR703" s="169"/>
      <c r="AS703" s="169"/>
      <c r="AT703" s="169"/>
    </row>
    <row r="704" spans="10:46"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169"/>
      <c r="AN704" s="169"/>
      <c r="AO704" s="169"/>
      <c r="AP704" s="169"/>
      <c r="AQ704" s="169"/>
      <c r="AR704" s="169"/>
      <c r="AS704" s="169"/>
      <c r="AT704" s="169"/>
    </row>
    <row r="705" spans="10:46"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169"/>
      <c r="AN705" s="169"/>
      <c r="AO705" s="169"/>
      <c r="AP705" s="169"/>
      <c r="AQ705" s="169"/>
      <c r="AR705" s="169"/>
      <c r="AS705" s="169"/>
      <c r="AT705" s="169"/>
    </row>
    <row r="706" spans="10:46"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169"/>
      <c r="AN706" s="169"/>
      <c r="AO706" s="169"/>
      <c r="AP706" s="169"/>
      <c r="AQ706" s="169"/>
      <c r="AR706" s="169"/>
      <c r="AS706" s="169"/>
      <c r="AT706" s="169"/>
    </row>
    <row r="707" spans="10:46"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169"/>
      <c r="AN707" s="169"/>
      <c r="AO707" s="169"/>
      <c r="AP707" s="169"/>
      <c r="AQ707" s="169"/>
      <c r="AR707" s="169"/>
      <c r="AS707" s="169"/>
      <c r="AT707" s="169"/>
    </row>
    <row r="708" spans="10:46"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169"/>
      <c r="AN708" s="169"/>
      <c r="AO708" s="169"/>
      <c r="AP708" s="169"/>
      <c r="AQ708" s="169"/>
      <c r="AR708" s="169"/>
      <c r="AS708" s="169"/>
      <c r="AT708" s="169"/>
    </row>
    <row r="709" spans="10:46"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169"/>
      <c r="AN709" s="169"/>
      <c r="AO709" s="169"/>
      <c r="AP709" s="169"/>
      <c r="AQ709" s="169"/>
      <c r="AR709" s="169"/>
      <c r="AS709" s="169"/>
      <c r="AT709" s="169"/>
    </row>
    <row r="710" spans="10:46"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169"/>
      <c r="AN710" s="169"/>
      <c r="AO710" s="169"/>
      <c r="AP710" s="169"/>
      <c r="AQ710" s="169"/>
      <c r="AR710" s="169"/>
      <c r="AS710" s="169"/>
      <c r="AT710" s="169"/>
    </row>
    <row r="711" spans="10:46"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169"/>
      <c r="AN711" s="169"/>
      <c r="AO711" s="169"/>
      <c r="AP711" s="169"/>
      <c r="AQ711" s="169"/>
      <c r="AR711" s="169"/>
      <c r="AS711" s="169"/>
      <c r="AT711" s="169"/>
    </row>
    <row r="712" spans="10:46"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169"/>
      <c r="AN712" s="169"/>
      <c r="AO712" s="169"/>
      <c r="AP712" s="169"/>
      <c r="AQ712" s="169"/>
      <c r="AR712" s="169"/>
      <c r="AS712" s="169"/>
      <c r="AT712" s="169"/>
    </row>
    <row r="713" spans="10:46"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169"/>
      <c r="AN713" s="169"/>
      <c r="AO713" s="169"/>
      <c r="AP713" s="169"/>
      <c r="AQ713" s="169"/>
      <c r="AR713" s="169"/>
      <c r="AS713" s="169"/>
      <c r="AT713" s="169"/>
    </row>
    <row r="714" spans="10:46"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169"/>
      <c r="AN714" s="169"/>
      <c r="AO714" s="169"/>
      <c r="AP714" s="169"/>
      <c r="AQ714" s="169"/>
      <c r="AR714" s="169"/>
      <c r="AS714" s="169"/>
      <c r="AT714" s="169"/>
    </row>
    <row r="715" spans="10:46"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169"/>
      <c r="AN715" s="169"/>
      <c r="AO715" s="169"/>
      <c r="AP715" s="169"/>
      <c r="AQ715" s="169"/>
      <c r="AR715" s="169"/>
      <c r="AS715" s="169"/>
      <c r="AT715" s="169"/>
    </row>
    <row r="716" spans="10:46"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169"/>
      <c r="AN716" s="169"/>
      <c r="AO716" s="169"/>
      <c r="AP716" s="169"/>
      <c r="AQ716" s="169"/>
      <c r="AR716" s="169"/>
      <c r="AS716" s="169"/>
      <c r="AT716" s="169"/>
    </row>
    <row r="717" spans="10:46"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169"/>
      <c r="AN717" s="169"/>
      <c r="AO717" s="169"/>
      <c r="AP717" s="169"/>
      <c r="AQ717" s="169"/>
      <c r="AR717" s="169"/>
      <c r="AS717" s="169"/>
      <c r="AT717" s="169"/>
    </row>
    <row r="718" spans="10:46"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169"/>
      <c r="AN718" s="169"/>
      <c r="AO718" s="169"/>
      <c r="AP718" s="169"/>
      <c r="AQ718" s="169"/>
      <c r="AR718" s="169"/>
      <c r="AS718" s="169"/>
      <c r="AT718" s="169"/>
    </row>
    <row r="719" spans="10:46"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169"/>
      <c r="AN719" s="169"/>
      <c r="AO719" s="169"/>
      <c r="AP719" s="169"/>
      <c r="AQ719" s="169"/>
      <c r="AR719" s="169"/>
      <c r="AS719" s="169"/>
      <c r="AT719" s="169"/>
    </row>
    <row r="720" spans="10:46"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169"/>
      <c r="AN720" s="169"/>
      <c r="AO720" s="169"/>
      <c r="AP720" s="169"/>
      <c r="AQ720" s="169"/>
      <c r="AR720" s="169"/>
      <c r="AS720" s="169"/>
      <c r="AT720" s="169"/>
    </row>
    <row r="721" spans="10:46"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169"/>
      <c r="AN721" s="169"/>
      <c r="AO721" s="169"/>
      <c r="AP721" s="169"/>
      <c r="AQ721" s="169"/>
      <c r="AR721" s="169"/>
      <c r="AS721" s="169"/>
      <c r="AT721" s="169"/>
    </row>
    <row r="722" spans="10:46"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169"/>
      <c r="AN722" s="169"/>
      <c r="AO722" s="169"/>
      <c r="AP722" s="169"/>
      <c r="AQ722" s="169"/>
      <c r="AR722" s="169"/>
      <c r="AS722" s="169"/>
      <c r="AT722" s="169"/>
    </row>
    <row r="723" spans="10:46"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169"/>
      <c r="AN723" s="169"/>
      <c r="AO723" s="169"/>
      <c r="AP723" s="169"/>
      <c r="AQ723" s="169"/>
      <c r="AR723" s="169"/>
      <c r="AS723" s="169"/>
      <c r="AT723" s="169"/>
    </row>
    <row r="724" spans="10:46"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169"/>
      <c r="AN724" s="169"/>
      <c r="AO724" s="169"/>
      <c r="AP724" s="169"/>
      <c r="AQ724" s="169"/>
      <c r="AR724" s="169"/>
      <c r="AS724" s="169"/>
      <c r="AT724" s="169"/>
    </row>
    <row r="725" spans="10:46"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169"/>
      <c r="AN725" s="169"/>
      <c r="AO725" s="169"/>
      <c r="AP725" s="169"/>
      <c r="AQ725" s="169"/>
      <c r="AR725" s="169"/>
      <c r="AS725" s="169"/>
      <c r="AT725" s="169"/>
    </row>
    <row r="726" spans="10:46"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169"/>
      <c r="AN726" s="169"/>
      <c r="AO726" s="169"/>
      <c r="AP726" s="169"/>
      <c r="AQ726" s="169"/>
      <c r="AR726" s="169"/>
      <c r="AS726" s="169"/>
      <c r="AT726" s="169"/>
    </row>
    <row r="727" spans="10:46"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169"/>
      <c r="AN727" s="169"/>
      <c r="AO727" s="169"/>
      <c r="AP727" s="169"/>
      <c r="AQ727" s="169"/>
      <c r="AR727" s="169"/>
      <c r="AS727" s="169"/>
      <c r="AT727" s="169"/>
    </row>
    <row r="728" spans="10:46"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169"/>
      <c r="AN728" s="169"/>
      <c r="AO728" s="169"/>
      <c r="AP728" s="169"/>
      <c r="AQ728" s="169"/>
      <c r="AR728" s="169"/>
      <c r="AS728" s="169"/>
      <c r="AT728" s="169"/>
    </row>
    <row r="729" spans="10:46"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169"/>
      <c r="AN729" s="169"/>
      <c r="AO729" s="169"/>
      <c r="AP729" s="169"/>
      <c r="AQ729" s="169"/>
      <c r="AR729" s="169"/>
      <c r="AS729" s="169"/>
      <c r="AT729" s="169"/>
    </row>
    <row r="730" spans="10:46"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169"/>
      <c r="AN730" s="169"/>
      <c r="AO730" s="169"/>
      <c r="AP730" s="169"/>
      <c r="AQ730" s="169"/>
      <c r="AR730" s="169"/>
      <c r="AS730" s="169"/>
      <c r="AT730" s="169"/>
    </row>
    <row r="731" spans="10:46"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169"/>
      <c r="AN731" s="169"/>
      <c r="AO731" s="169"/>
      <c r="AP731" s="169"/>
      <c r="AQ731" s="169"/>
      <c r="AR731" s="169"/>
      <c r="AS731" s="169"/>
      <c r="AT731" s="169"/>
    </row>
    <row r="732" spans="10:46"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169"/>
      <c r="AN732" s="169"/>
      <c r="AO732" s="169"/>
      <c r="AP732" s="169"/>
      <c r="AQ732" s="169"/>
      <c r="AR732" s="169"/>
      <c r="AS732" s="169"/>
      <c r="AT732" s="169"/>
    </row>
    <row r="733" spans="10:46"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169"/>
      <c r="AN733" s="169"/>
      <c r="AO733" s="169"/>
      <c r="AP733" s="169"/>
      <c r="AQ733" s="169"/>
      <c r="AR733" s="169"/>
      <c r="AS733" s="169"/>
      <c r="AT733" s="169"/>
    </row>
    <row r="734" spans="10:46"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169"/>
      <c r="AN734" s="169"/>
      <c r="AO734" s="169"/>
      <c r="AP734" s="169"/>
      <c r="AQ734" s="169"/>
      <c r="AR734" s="169"/>
      <c r="AS734" s="169"/>
      <c r="AT734" s="169"/>
    </row>
    <row r="735" spans="10:46"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169"/>
      <c r="AN735" s="169"/>
      <c r="AO735" s="169"/>
      <c r="AP735" s="169"/>
      <c r="AQ735" s="169"/>
      <c r="AR735" s="169"/>
      <c r="AS735" s="169"/>
      <c r="AT735" s="169"/>
    </row>
    <row r="736" spans="10:46"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169"/>
      <c r="AN736" s="169"/>
      <c r="AO736" s="169"/>
      <c r="AP736" s="169"/>
      <c r="AQ736" s="169"/>
      <c r="AR736" s="169"/>
      <c r="AS736" s="169"/>
      <c r="AT736" s="169"/>
    </row>
    <row r="737" spans="10:46"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169"/>
      <c r="AN737" s="169"/>
      <c r="AO737" s="169"/>
      <c r="AP737" s="169"/>
      <c r="AQ737" s="169"/>
      <c r="AR737" s="169"/>
      <c r="AS737" s="169"/>
      <c r="AT737" s="169"/>
    </row>
    <row r="738" spans="10:46"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169"/>
      <c r="AN738" s="169"/>
      <c r="AO738" s="169"/>
      <c r="AP738" s="169"/>
      <c r="AQ738" s="169"/>
      <c r="AR738" s="169"/>
      <c r="AS738" s="169"/>
      <c r="AT738" s="169"/>
    </row>
    <row r="739" spans="10:46"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169"/>
      <c r="AN739" s="169"/>
      <c r="AO739" s="169"/>
      <c r="AP739" s="169"/>
      <c r="AQ739" s="169"/>
      <c r="AR739" s="169"/>
      <c r="AS739" s="169"/>
      <c r="AT739" s="169"/>
    </row>
    <row r="740" spans="10:46"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169"/>
      <c r="AN740" s="169"/>
      <c r="AO740" s="169"/>
      <c r="AP740" s="169"/>
      <c r="AQ740" s="169"/>
      <c r="AR740" s="169"/>
      <c r="AS740" s="169"/>
      <c r="AT740" s="169"/>
    </row>
    <row r="741" spans="10:46"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169"/>
      <c r="AN741" s="169"/>
      <c r="AO741" s="169"/>
      <c r="AP741" s="169"/>
      <c r="AQ741" s="169"/>
      <c r="AR741" s="169"/>
      <c r="AS741" s="169"/>
      <c r="AT741" s="169"/>
    </row>
    <row r="742" spans="10:46"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169"/>
      <c r="AN742" s="169"/>
      <c r="AO742" s="169"/>
      <c r="AP742" s="169"/>
      <c r="AQ742" s="169"/>
      <c r="AR742" s="169"/>
      <c r="AS742" s="169"/>
      <c r="AT742" s="169"/>
    </row>
    <row r="743" spans="10:46"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169"/>
      <c r="AN743" s="169"/>
      <c r="AO743" s="169"/>
      <c r="AP743" s="169"/>
      <c r="AQ743" s="169"/>
      <c r="AR743" s="169"/>
      <c r="AS743" s="169"/>
      <c r="AT743" s="169"/>
    </row>
    <row r="744" spans="10:46"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169"/>
      <c r="AN744" s="169"/>
      <c r="AO744" s="169"/>
      <c r="AP744" s="169"/>
      <c r="AQ744" s="169"/>
      <c r="AR744" s="169"/>
      <c r="AS744" s="169"/>
      <c r="AT744" s="169"/>
    </row>
    <row r="745" spans="10:46"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169"/>
      <c r="AN745" s="169"/>
      <c r="AO745" s="169"/>
      <c r="AP745" s="169"/>
      <c r="AQ745" s="169"/>
      <c r="AR745" s="169"/>
      <c r="AS745" s="169"/>
      <c r="AT745" s="169"/>
    </row>
    <row r="746" spans="10:46"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169"/>
      <c r="AN746" s="169"/>
      <c r="AO746" s="169"/>
      <c r="AP746" s="169"/>
      <c r="AQ746" s="169"/>
      <c r="AR746" s="169"/>
      <c r="AS746" s="169"/>
      <c r="AT746" s="169"/>
    </row>
    <row r="747" spans="10:46"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169"/>
      <c r="AN747" s="169"/>
      <c r="AO747" s="169"/>
      <c r="AP747" s="169"/>
      <c r="AQ747" s="169"/>
      <c r="AR747" s="169"/>
      <c r="AS747" s="169"/>
      <c r="AT747" s="169"/>
    </row>
    <row r="748" spans="10:46"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169"/>
      <c r="AN748" s="169"/>
      <c r="AO748" s="169"/>
      <c r="AP748" s="169"/>
      <c r="AQ748" s="169"/>
      <c r="AR748" s="169"/>
      <c r="AS748" s="169"/>
      <c r="AT748" s="169"/>
    </row>
    <row r="749" spans="10:46"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169"/>
      <c r="AN749" s="169"/>
      <c r="AO749" s="169"/>
      <c r="AP749" s="169"/>
      <c r="AQ749" s="169"/>
      <c r="AR749" s="169"/>
      <c r="AS749" s="169"/>
      <c r="AT749" s="169"/>
    </row>
    <row r="750" spans="10:46"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169"/>
      <c r="AN750" s="169"/>
      <c r="AO750" s="169"/>
      <c r="AP750" s="169"/>
      <c r="AQ750" s="169"/>
      <c r="AR750" s="169"/>
      <c r="AS750" s="169"/>
      <c r="AT750" s="169"/>
    </row>
    <row r="751" spans="10:46"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169"/>
      <c r="AN751" s="169"/>
      <c r="AO751" s="169"/>
      <c r="AP751" s="169"/>
      <c r="AQ751" s="169"/>
      <c r="AR751" s="169"/>
      <c r="AS751" s="169"/>
      <c r="AT751" s="169"/>
    </row>
    <row r="752" spans="10:46"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169"/>
      <c r="AN752" s="169"/>
      <c r="AO752" s="169"/>
      <c r="AP752" s="169"/>
      <c r="AQ752" s="169"/>
      <c r="AR752" s="169"/>
      <c r="AS752" s="169"/>
      <c r="AT752" s="169"/>
    </row>
    <row r="753" spans="10:46"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169"/>
      <c r="AN753" s="169"/>
      <c r="AO753" s="169"/>
      <c r="AP753" s="169"/>
      <c r="AQ753" s="169"/>
      <c r="AR753" s="169"/>
      <c r="AS753" s="169"/>
      <c r="AT753" s="169"/>
    </row>
    <row r="754" spans="10:46"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169"/>
      <c r="AN754" s="169"/>
      <c r="AO754" s="169"/>
      <c r="AP754" s="169"/>
      <c r="AQ754" s="169"/>
      <c r="AR754" s="169"/>
      <c r="AS754" s="169"/>
      <c r="AT754" s="169"/>
    </row>
    <row r="755" spans="10:46"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169"/>
      <c r="AN755" s="169"/>
      <c r="AO755" s="169"/>
      <c r="AP755" s="169"/>
      <c r="AQ755" s="169"/>
      <c r="AR755" s="169"/>
      <c r="AS755" s="169"/>
      <c r="AT755" s="169"/>
    </row>
    <row r="756" spans="10:46"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169"/>
      <c r="AN756" s="169"/>
      <c r="AO756" s="169"/>
      <c r="AP756" s="169"/>
      <c r="AQ756" s="169"/>
      <c r="AR756" s="169"/>
      <c r="AS756" s="169"/>
      <c r="AT756" s="169"/>
    </row>
    <row r="757" spans="10:46"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169"/>
      <c r="AN757" s="169"/>
      <c r="AO757" s="169"/>
      <c r="AP757" s="169"/>
      <c r="AQ757" s="169"/>
      <c r="AR757" s="169"/>
      <c r="AS757" s="169"/>
      <c r="AT757" s="169"/>
    </row>
    <row r="758" spans="10:46"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169"/>
      <c r="AN758" s="169"/>
      <c r="AO758" s="169"/>
      <c r="AP758" s="169"/>
      <c r="AQ758" s="169"/>
      <c r="AR758" s="169"/>
      <c r="AS758" s="169"/>
      <c r="AT758" s="169"/>
    </row>
    <row r="759" spans="10:46"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169"/>
      <c r="AN759" s="169"/>
      <c r="AO759" s="169"/>
      <c r="AP759" s="169"/>
      <c r="AQ759" s="169"/>
      <c r="AR759" s="169"/>
      <c r="AS759" s="169"/>
      <c r="AT759" s="169"/>
    </row>
    <row r="760" spans="10:46"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169"/>
      <c r="AN760" s="169"/>
      <c r="AO760" s="169"/>
      <c r="AP760" s="169"/>
      <c r="AQ760" s="169"/>
      <c r="AR760" s="169"/>
      <c r="AS760" s="169"/>
      <c r="AT760" s="169"/>
    </row>
    <row r="761" spans="10:46"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169"/>
      <c r="AN761" s="169"/>
      <c r="AO761" s="169"/>
      <c r="AP761" s="169"/>
      <c r="AQ761" s="169"/>
      <c r="AR761" s="169"/>
      <c r="AS761" s="169"/>
      <c r="AT761" s="169"/>
    </row>
    <row r="762" spans="10:46"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169"/>
      <c r="AN762" s="169"/>
      <c r="AO762" s="169"/>
      <c r="AP762" s="169"/>
      <c r="AQ762" s="169"/>
      <c r="AR762" s="169"/>
      <c r="AS762" s="169"/>
      <c r="AT762" s="169"/>
    </row>
    <row r="763" spans="10:46"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169"/>
      <c r="AN763" s="169"/>
      <c r="AO763" s="169"/>
      <c r="AP763" s="169"/>
      <c r="AQ763" s="169"/>
      <c r="AR763" s="169"/>
      <c r="AS763" s="169"/>
      <c r="AT763" s="169"/>
    </row>
    <row r="764" spans="10:46"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169"/>
      <c r="AN764" s="169"/>
      <c r="AO764" s="169"/>
      <c r="AP764" s="169"/>
      <c r="AQ764" s="169"/>
      <c r="AR764" s="169"/>
      <c r="AS764" s="169"/>
      <c r="AT764" s="169"/>
    </row>
    <row r="765" spans="10:46"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169"/>
      <c r="AN765" s="169"/>
      <c r="AO765" s="169"/>
      <c r="AP765" s="169"/>
      <c r="AQ765" s="169"/>
      <c r="AR765" s="169"/>
      <c r="AS765" s="169"/>
      <c r="AT765" s="169"/>
    </row>
    <row r="766" spans="10:46"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169"/>
      <c r="AN766" s="169"/>
      <c r="AO766" s="169"/>
      <c r="AP766" s="169"/>
      <c r="AQ766" s="169"/>
      <c r="AR766" s="169"/>
      <c r="AS766" s="169"/>
      <c r="AT766" s="169"/>
    </row>
    <row r="767" spans="10:46"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169"/>
      <c r="AN767" s="169"/>
      <c r="AO767" s="169"/>
      <c r="AP767" s="169"/>
      <c r="AQ767" s="169"/>
      <c r="AR767" s="169"/>
      <c r="AS767" s="169"/>
      <c r="AT767" s="169"/>
    </row>
    <row r="768" spans="10:46"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169"/>
      <c r="AN768" s="169"/>
      <c r="AO768" s="169"/>
      <c r="AP768" s="169"/>
      <c r="AQ768" s="169"/>
      <c r="AR768" s="169"/>
      <c r="AS768" s="169"/>
      <c r="AT768" s="169"/>
    </row>
    <row r="769" spans="10:46"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169"/>
      <c r="AN769" s="169"/>
      <c r="AO769" s="169"/>
      <c r="AP769" s="169"/>
      <c r="AQ769" s="169"/>
      <c r="AR769" s="169"/>
      <c r="AS769" s="169"/>
      <c r="AT769" s="169"/>
    </row>
    <row r="770" spans="10:46"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169"/>
      <c r="AN770" s="169"/>
      <c r="AO770" s="169"/>
      <c r="AP770" s="169"/>
      <c r="AQ770" s="169"/>
      <c r="AR770" s="169"/>
      <c r="AS770" s="169"/>
      <c r="AT770" s="169"/>
    </row>
    <row r="771" spans="10:46"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169"/>
      <c r="AN771" s="169"/>
      <c r="AO771" s="169"/>
      <c r="AP771" s="169"/>
      <c r="AQ771" s="169"/>
      <c r="AR771" s="169"/>
      <c r="AS771" s="169"/>
      <c r="AT771" s="169"/>
    </row>
    <row r="772" spans="10:46"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169"/>
      <c r="AN772" s="169"/>
      <c r="AO772" s="169"/>
      <c r="AP772" s="169"/>
      <c r="AQ772" s="169"/>
      <c r="AR772" s="169"/>
      <c r="AS772" s="169"/>
      <c r="AT772" s="169"/>
    </row>
    <row r="773" spans="10:46"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169"/>
      <c r="AN773" s="169"/>
      <c r="AO773" s="169"/>
      <c r="AP773" s="169"/>
      <c r="AQ773" s="169"/>
      <c r="AR773" s="169"/>
      <c r="AS773" s="169"/>
      <c r="AT773" s="169"/>
    </row>
    <row r="774" spans="10:46"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169"/>
      <c r="AN774" s="169"/>
      <c r="AO774" s="169"/>
      <c r="AP774" s="169"/>
      <c r="AQ774" s="169"/>
      <c r="AR774" s="169"/>
      <c r="AS774" s="169"/>
      <c r="AT774" s="169"/>
    </row>
    <row r="775" spans="10:46"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169"/>
      <c r="AN775" s="169"/>
      <c r="AO775" s="169"/>
      <c r="AP775" s="169"/>
      <c r="AQ775" s="169"/>
      <c r="AR775" s="169"/>
      <c r="AS775" s="169"/>
      <c r="AT775" s="169"/>
    </row>
    <row r="776" spans="10:46"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169"/>
      <c r="AN776" s="169"/>
      <c r="AO776" s="169"/>
      <c r="AP776" s="169"/>
      <c r="AQ776" s="169"/>
      <c r="AR776" s="169"/>
      <c r="AS776" s="169"/>
      <c r="AT776" s="169"/>
    </row>
    <row r="777" spans="10:46"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169"/>
      <c r="AN777" s="169"/>
      <c r="AO777" s="169"/>
      <c r="AP777" s="169"/>
      <c r="AQ777" s="169"/>
      <c r="AR777" s="169"/>
      <c r="AS777" s="169"/>
      <c r="AT777" s="169"/>
    </row>
    <row r="778" spans="10:46"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169"/>
      <c r="AN778" s="169"/>
      <c r="AO778" s="169"/>
      <c r="AP778" s="169"/>
      <c r="AQ778" s="169"/>
      <c r="AR778" s="169"/>
      <c r="AS778" s="169"/>
      <c r="AT778" s="169"/>
    </row>
    <row r="779" spans="10:46"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169"/>
      <c r="AN779" s="169"/>
      <c r="AO779" s="169"/>
      <c r="AP779" s="169"/>
      <c r="AQ779" s="169"/>
      <c r="AR779" s="169"/>
      <c r="AS779" s="169"/>
      <c r="AT779" s="169"/>
    </row>
    <row r="780" spans="10:46"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169"/>
      <c r="AN780" s="169"/>
      <c r="AO780" s="169"/>
      <c r="AP780" s="169"/>
      <c r="AQ780" s="169"/>
      <c r="AR780" s="169"/>
      <c r="AS780" s="169"/>
      <c r="AT780" s="169"/>
    </row>
    <row r="781" spans="10:46"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169"/>
      <c r="AN781" s="169"/>
      <c r="AO781" s="169"/>
      <c r="AP781" s="169"/>
      <c r="AQ781" s="169"/>
      <c r="AR781" s="169"/>
      <c r="AS781" s="169"/>
      <c r="AT781" s="169"/>
    </row>
    <row r="782" spans="10:46"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169"/>
      <c r="AN782" s="169"/>
      <c r="AO782" s="169"/>
      <c r="AP782" s="169"/>
      <c r="AQ782" s="169"/>
      <c r="AR782" s="169"/>
      <c r="AS782" s="169"/>
      <c r="AT782" s="169"/>
    </row>
    <row r="783" spans="10:46"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169"/>
      <c r="AN783" s="169"/>
      <c r="AO783" s="169"/>
      <c r="AP783" s="169"/>
      <c r="AQ783" s="169"/>
      <c r="AR783" s="169"/>
      <c r="AS783" s="169"/>
      <c r="AT783" s="169"/>
    </row>
    <row r="784" spans="10:46"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169"/>
      <c r="AN784" s="169"/>
      <c r="AO784" s="169"/>
      <c r="AP784" s="169"/>
      <c r="AQ784" s="169"/>
      <c r="AR784" s="169"/>
      <c r="AS784" s="169"/>
      <c r="AT784" s="169"/>
    </row>
    <row r="785" spans="10:46"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169"/>
      <c r="AN785" s="169"/>
      <c r="AO785" s="169"/>
      <c r="AP785" s="169"/>
      <c r="AQ785" s="169"/>
      <c r="AR785" s="169"/>
      <c r="AS785" s="169"/>
      <c r="AT785" s="169"/>
    </row>
    <row r="786" spans="10:46"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169"/>
      <c r="AN786" s="169"/>
      <c r="AO786" s="169"/>
      <c r="AP786" s="169"/>
      <c r="AQ786" s="169"/>
      <c r="AR786" s="169"/>
      <c r="AS786" s="169"/>
      <c r="AT786" s="169"/>
    </row>
    <row r="787" spans="10:46"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169"/>
      <c r="AN787" s="169"/>
      <c r="AO787" s="169"/>
      <c r="AP787" s="169"/>
      <c r="AQ787" s="169"/>
      <c r="AR787" s="169"/>
      <c r="AS787" s="169"/>
      <c r="AT787" s="169"/>
    </row>
    <row r="788" spans="10:46"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169"/>
      <c r="AN788" s="169"/>
      <c r="AO788" s="169"/>
      <c r="AP788" s="169"/>
      <c r="AQ788" s="169"/>
      <c r="AR788" s="169"/>
      <c r="AS788" s="169"/>
      <c r="AT788" s="169"/>
    </row>
    <row r="789" spans="10:46"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169"/>
      <c r="AN789" s="169"/>
      <c r="AO789" s="169"/>
      <c r="AP789" s="169"/>
      <c r="AQ789" s="169"/>
      <c r="AR789" s="169"/>
      <c r="AS789" s="169"/>
      <c r="AT789" s="169"/>
    </row>
    <row r="790" spans="10:46"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169"/>
      <c r="AN790" s="169"/>
      <c r="AO790" s="169"/>
      <c r="AP790" s="169"/>
      <c r="AQ790" s="169"/>
      <c r="AR790" s="169"/>
      <c r="AS790" s="169"/>
      <c r="AT790" s="169"/>
    </row>
    <row r="791" spans="10:46"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169"/>
      <c r="AN791" s="169"/>
      <c r="AO791" s="169"/>
      <c r="AP791" s="169"/>
      <c r="AQ791" s="169"/>
      <c r="AR791" s="169"/>
      <c r="AS791" s="169"/>
      <c r="AT791" s="169"/>
    </row>
    <row r="792" spans="10:46"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169"/>
      <c r="AN792" s="169"/>
      <c r="AO792" s="169"/>
      <c r="AP792" s="169"/>
      <c r="AQ792" s="169"/>
      <c r="AR792" s="169"/>
      <c r="AS792" s="169"/>
      <c r="AT792" s="169"/>
    </row>
    <row r="793" spans="10:46"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169"/>
      <c r="AN793" s="169"/>
      <c r="AO793" s="169"/>
      <c r="AP793" s="169"/>
      <c r="AQ793" s="169"/>
      <c r="AR793" s="169"/>
      <c r="AS793" s="169"/>
      <c r="AT793" s="169"/>
    </row>
    <row r="794" spans="10:46"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169"/>
      <c r="AN794" s="169"/>
      <c r="AO794" s="169"/>
      <c r="AP794" s="169"/>
      <c r="AQ794" s="169"/>
      <c r="AR794" s="169"/>
      <c r="AS794" s="169"/>
      <c r="AT794" s="169"/>
    </row>
    <row r="795" spans="10:46"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169"/>
      <c r="AN795" s="169"/>
      <c r="AO795" s="169"/>
      <c r="AP795" s="169"/>
      <c r="AQ795" s="169"/>
      <c r="AR795" s="169"/>
      <c r="AS795" s="169"/>
      <c r="AT795" s="169"/>
    </row>
    <row r="796" spans="10:46"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169"/>
      <c r="AN796" s="169"/>
      <c r="AO796" s="169"/>
      <c r="AP796" s="169"/>
      <c r="AQ796" s="169"/>
      <c r="AR796" s="169"/>
      <c r="AS796" s="169"/>
      <c r="AT796" s="169"/>
    </row>
    <row r="797" spans="10:46"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169"/>
      <c r="AN797" s="169"/>
      <c r="AO797" s="169"/>
      <c r="AP797" s="169"/>
      <c r="AQ797" s="169"/>
      <c r="AR797" s="169"/>
      <c r="AS797" s="169"/>
      <c r="AT797" s="169"/>
    </row>
    <row r="798" spans="10:46"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169"/>
      <c r="AN798" s="169"/>
      <c r="AO798" s="169"/>
      <c r="AP798" s="169"/>
      <c r="AQ798" s="169"/>
      <c r="AR798" s="169"/>
      <c r="AS798" s="169"/>
      <c r="AT798" s="169"/>
    </row>
    <row r="799" spans="10:46"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169"/>
      <c r="AN799" s="169"/>
      <c r="AO799" s="169"/>
      <c r="AP799" s="169"/>
      <c r="AQ799" s="169"/>
      <c r="AR799" s="169"/>
      <c r="AS799" s="169"/>
      <c r="AT799" s="169"/>
    </row>
    <row r="800" spans="10:46"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169"/>
      <c r="AN800" s="169"/>
      <c r="AO800" s="169"/>
      <c r="AP800" s="169"/>
      <c r="AQ800" s="169"/>
      <c r="AR800" s="169"/>
      <c r="AS800" s="169"/>
      <c r="AT800" s="169"/>
    </row>
    <row r="801" spans="10:46"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169"/>
      <c r="AN801" s="169"/>
      <c r="AO801" s="169"/>
      <c r="AP801" s="169"/>
      <c r="AQ801" s="169"/>
      <c r="AR801" s="169"/>
      <c r="AS801" s="169"/>
      <c r="AT801" s="169"/>
    </row>
    <row r="802" spans="10:46"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169"/>
      <c r="AN802" s="169"/>
      <c r="AO802" s="169"/>
      <c r="AP802" s="169"/>
      <c r="AQ802" s="169"/>
      <c r="AR802" s="169"/>
      <c r="AS802" s="169"/>
      <c r="AT802" s="169"/>
    </row>
    <row r="803" spans="10:46"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169"/>
      <c r="AN803" s="169"/>
      <c r="AO803" s="169"/>
      <c r="AP803" s="169"/>
      <c r="AQ803" s="169"/>
      <c r="AR803" s="169"/>
      <c r="AS803" s="169"/>
      <c r="AT803" s="169"/>
    </row>
    <row r="804" spans="10:46"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169"/>
      <c r="AN804" s="169"/>
      <c r="AO804" s="169"/>
      <c r="AP804" s="169"/>
      <c r="AQ804" s="169"/>
      <c r="AR804" s="169"/>
      <c r="AS804" s="169"/>
      <c r="AT804" s="169"/>
    </row>
    <row r="805" spans="10:46"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169"/>
      <c r="AN805" s="169"/>
      <c r="AO805" s="169"/>
      <c r="AP805" s="169"/>
      <c r="AQ805" s="169"/>
      <c r="AR805" s="169"/>
      <c r="AS805" s="169"/>
      <c r="AT805" s="169"/>
    </row>
    <row r="806" spans="10:46"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169"/>
      <c r="AN806" s="169"/>
      <c r="AO806" s="169"/>
      <c r="AP806" s="169"/>
      <c r="AQ806" s="169"/>
      <c r="AR806" s="169"/>
      <c r="AS806" s="169"/>
      <c r="AT806" s="169"/>
    </row>
    <row r="807" spans="10:46"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169"/>
      <c r="AN807" s="169"/>
      <c r="AO807" s="169"/>
      <c r="AP807" s="169"/>
      <c r="AQ807" s="169"/>
      <c r="AR807" s="169"/>
      <c r="AS807" s="169"/>
      <c r="AT807" s="169"/>
    </row>
    <row r="808" spans="10:46"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169"/>
      <c r="AN808" s="169"/>
      <c r="AO808" s="169"/>
      <c r="AP808" s="169"/>
      <c r="AQ808" s="169"/>
      <c r="AR808" s="169"/>
      <c r="AS808" s="169"/>
      <c r="AT808" s="169"/>
    </row>
    <row r="809" spans="10:46"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169"/>
      <c r="AN809" s="169"/>
      <c r="AO809" s="169"/>
      <c r="AP809" s="169"/>
      <c r="AQ809" s="169"/>
      <c r="AR809" s="169"/>
      <c r="AS809" s="169"/>
      <c r="AT809" s="169"/>
    </row>
    <row r="810" spans="10:46"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169"/>
      <c r="AN810" s="169"/>
      <c r="AO810" s="169"/>
      <c r="AP810" s="169"/>
      <c r="AQ810" s="169"/>
      <c r="AR810" s="169"/>
      <c r="AS810" s="169"/>
      <c r="AT810" s="169"/>
    </row>
    <row r="811" spans="10:46"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169"/>
      <c r="AN811" s="169"/>
      <c r="AO811" s="169"/>
      <c r="AP811" s="169"/>
      <c r="AQ811" s="169"/>
      <c r="AR811" s="169"/>
      <c r="AS811" s="169"/>
      <c r="AT811" s="169"/>
    </row>
    <row r="812" spans="10:46"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169"/>
      <c r="AN812" s="169"/>
      <c r="AO812" s="169"/>
      <c r="AP812" s="169"/>
      <c r="AQ812" s="169"/>
      <c r="AR812" s="169"/>
      <c r="AS812" s="169"/>
      <c r="AT812" s="169"/>
    </row>
    <row r="813" spans="10:46"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169"/>
      <c r="AN813" s="169"/>
      <c r="AO813" s="169"/>
      <c r="AP813" s="169"/>
      <c r="AQ813" s="169"/>
      <c r="AR813" s="169"/>
      <c r="AS813" s="169"/>
      <c r="AT813" s="169"/>
    </row>
    <row r="814" spans="10:46"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169"/>
      <c r="AN814" s="169"/>
      <c r="AO814" s="169"/>
      <c r="AP814" s="169"/>
      <c r="AQ814" s="169"/>
      <c r="AR814" s="169"/>
      <c r="AS814" s="169"/>
      <c r="AT814" s="169"/>
    </row>
    <row r="815" spans="10:46"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169"/>
      <c r="AN815" s="169"/>
      <c r="AO815" s="169"/>
      <c r="AP815" s="169"/>
      <c r="AQ815" s="169"/>
      <c r="AR815" s="169"/>
      <c r="AS815" s="169"/>
      <c r="AT815" s="169"/>
    </row>
    <row r="816" spans="10:46"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169"/>
      <c r="AN816" s="169"/>
      <c r="AO816" s="169"/>
      <c r="AP816" s="169"/>
      <c r="AQ816" s="169"/>
      <c r="AR816" s="169"/>
      <c r="AS816" s="169"/>
      <c r="AT816" s="169"/>
    </row>
    <row r="817" spans="10:46"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169"/>
      <c r="AN817" s="169"/>
      <c r="AO817" s="169"/>
      <c r="AP817" s="169"/>
      <c r="AQ817" s="169"/>
      <c r="AR817" s="169"/>
      <c r="AS817" s="169"/>
      <c r="AT817" s="169"/>
    </row>
    <row r="818" spans="10:46"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169"/>
      <c r="AN818" s="169"/>
      <c r="AO818" s="169"/>
      <c r="AP818" s="169"/>
      <c r="AQ818" s="169"/>
      <c r="AR818" s="169"/>
      <c r="AS818" s="169"/>
      <c r="AT818" s="169"/>
    </row>
    <row r="819" spans="10:46"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169"/>
      <c r="AN819" s="169"/>
      <c r="AO819" s="169"/>
      <c r="AP819" s="169"/>
      <c r="AQ819" s="169"/>
      <c r="AR819" s="169"/>
      <c r="AS819" s="169"/>
      <c r="AT819" s="169"/>
    </row>
    <row r="820" spans="10:46"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169"/>
      <c r="AN820" s="169"/>
      <c r="AO820" s="169"/>
      <c r="AP820" s="169"/>
      <c r="AQ820" s="169"/>
      <c r="AR820" s="169"/>
      <c r="AS820" s="169"/>
      <c r="AT820" s="169"/>
    </row>
    <row r="821" spans="10:46"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169"/>
      <c r="AN821" s="169"/>
      <c r="AO821" s="169"/>
      <c r="AP821" s="169"/>
      <c r="AQ821" s="169"/>
      <c r="AR821" s="169"/>
      <c r="AS821" s="169"/>
      <c r="AT821" s="169"/>
    </row>
    <row r="822" spans="10:46"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169"/>
      <c r="AN822" s="169"/>
      <c r="AO822" s="169"/>
      <c r="AP822" s="169"/>
      <c r="AQ822" s="169"/>
      <c r="AR822" s="169"/>
      <c r="AS822" s="169"/>
      <c r="AT822" s="169"/>
    </row>
    <row r="823" spans="10:46"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169"/>
      <c r="AN823" s="169"/>
      <c r="AO823" s="169"/>
      <c r="AP823" s="169"/>
      <c r="AQ823" s="169"/>
      <c r="AR823" s="169"/>
      <c r="AS823" s="169"/>
      <c r="AT823" s="169"/>
    </row>
    <row r="824" spans="10:46"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169"/>
      <c r="AN824" s="169"/>
      <c r="AO824" s="169"/>
      <c r="AP824" s="169"/>
      <c r="AQ824" s="169"/>
      <c r="AR824" s="169"/>
      <c r="AS824" s="169"/>
      <c r="AT824" s="169"/>
    </row>
    <row r="825" spans="10:46"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169"/>
      <c r="AN825" s="169"/>
      <c r="AO825" s="169"/>
      <c r="AP825" s="169"/>
      <c r="AQ825" s="169"/>
      <c r="AR825" s="169"/>
      <c r="AS825" s="169"/>
      <c r="AT825" s="169"/>
    </row>
    <row r="826" spans="10:46"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169"/>
      <c r="AN826" s="169"/>
      <c r="AO826" s="169"/>
      <c r="AP826" s="169"/>
      <c r="AQ826" s="169"/>
      <c r="AR826" s="169"/>
      <c r="AS826" s="169"/>
      <c r="AT826" s="169"/>
    </row>
    <row r="827" spans="10:46"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169"/>
      <c r="AN827" s="169"/>
      <c r="AO827" s="169"/>
      <c r="AP827" s="169"/>
      <c r="AQ827" s="169"/>
      <c r="AR827" s="169"/>
      <c r="AS827" s="169"/>
      <c r="AT827" s="169"/>
    </row>
    <row r="828" spans="10:46"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169"/>
      <c r="AN828" s="169"/>
      <c r="AO828" s="169"/>
      <c r="AP828" s="169"/>
      <c r="AQ828" s="169"/>
      <c r="AR828" s="169"/>
      <c r="AS828" s="169"/>
      <c r="AT828" s="169"/>
    </row>
    <row r="829" spans="10:46"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169"/>
      <c r="AN829" s="169"/>
      <c r="AO829" s="169"/>
      <c r="AP829" s="169"/>
      <c r="AQ829" s="169"/>
      <c r="AR829" s="169"/>
      <c r="AS829" s="169"/>
      <c r="AT829" s="169"/>
    </row>
    <row r="830" spans="10:46"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169"/>
      <c r="AN830" s="169"/>
      <c r="AO830" s="169"/>
      <c r="AP830" s="169"/>
      <c r="AQ830" s="169"/>
      <c r="AR830" s="169"/>
      <c r="AS830" s="169"/>
      <c r="AT830" s="169"/>
    </row>
    <row r="831" spans="10:46"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169"/>
      <c r="AN831" s="169"/>
      <c r="AO831" s="169"/>
      <c r="AP831" s="169"/>
      <c r="AQ831" s="169"/>
      <c r="AR831" s="169"/>
      <c r="AS831" s="169"/>
      <c r="AT831" s="169"/>
    </row>
    <row r="832" spans="10:46"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169"/>
      <c r="AN832" s="169"/>
      <c r="AO832" s="169"/>
      <c r="AP832" s="169"/>
      <c r="AQ832" s="169"/>
      <c r="AR832" s="169"/>
      <c r="AS832" s="169"/>
      <c r="AT832" s="169"/>
    </row>
    <row r="833" spans="10:46"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169"/>
      <c r="AN833" s="169"/>
      <c r="AO833" s="169"/>
      <c r="AP833" s="169"/>
      <c r="AQ833" s="169"/>
      <c r="AR833" s="169"/>
      <c r="AS833" s="169"/>
      <c r="AT833" s="169"/>
    </row>
    <row r="834" spans="10:46"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169"/>
      <c r="AN834" s="169"/>
      <c r="AO834" s="169"/>
      <c r="AP834" s="169"/>
      <c r="AQ834" s="169"/>
      <c r="AR834" s="169"/>
      <c r="AS834" s="169"/>
      <c r="AT834" s="169"/>
    </row>
    <row r="835" spans="10:46"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169"/>
      <c r="AN835" s="169"/>
      <c r="AO835" s="169"/>
      <c r="AP835" s="169"/>
      <c r="AQ835" s="169"/>
      <c r="AR835" s="169"/>
      <c r="AS835" s="169"/>
      <c r="AT835" s="169"/>
    </row>
    <row r="836" spans="10:46"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169"/>
      <c r="AN836" s="169"/>
      <c r="AO836" s="169"/>
      <c r="AP836" s="169"/>
      <c r="AQ836" s="169"/>
      <c r="AR836" s="169"/>
      <c r="AS836" s="169"/>
      <c r="AT836" s="169"/>
    </row>
    <row r="837" spans="10:46"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169"/>
      <c r="AN837" s="169"/>
      <c r="AO837" s="169"/>
      <c r="AP837" s="169"/>
      <c r="AQ837" s="169"/>
      <c r="AR837" s="169"/>
      <c r="AS837" s="169"/>
      <c r="AT837" s="169"/>
    </row>
    <row r="838" spans="10:46"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169"/>
      <c r="AN838" s="169"/>
      <c r="AO838" s="169"/>
      <c r="AP838" s="169"/>
      <c r="AQ838" s="169"/>
      <c r="AR838" s="169"/>
      <c r="AS838" s="169"/>
      <c r="AT838" s="169"/>
    </row>
    <row r="839" spans="10:46"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169"/>
      <c r="AN839" s="169"/>
      <c r="AO839" s="169"/>
      <c r="AP839" s="169"/>
      <c r="AQ839" s="169"/>
      <c r="AR839" s="169"/>
      <c r="AS839" s="169"/>
      <c r="AT839" s="169"/>
    </row>
    <row r="840" spans="10:46"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169"/>
      <c r="AN840" s="169"/>
      <c r="AO840" s="169"/>
      <c r="AP840" s="169"/>
      <c r="AQ840" s="169"/>
      <c r="AR840" s="169"/>
      <c r="AS840" s="169"/>
      <c r="AT840" s="169"/>
    </row>
    <row r="841" spans="10:46"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169"/>
      <c r="AN841" s="169"/>
      <c r="AO841" s="169"/>
      <c r="AP841" s="169"/>
      <c r="AQ841" s="169"/>
      <c r="AR841" s="169"/>
      <c r="AS841" s="169"/>
      <c r="AT841" s="169"/>
    </row>
    <row r="842" spans="10:46"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169"/>
      <c r="AN842" s="169"/>
      <c r="AO842" s="169"/>
      <c r="AP842" s="169"/>
      <c r="AQ842" s="169"/>
      <c r="AR842" s="169"/>
      <c r="AS842" s="169"/>
      <c r="AT842" s="169"/>
    </row>
    <row r="843" spans="10:46"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169"/>
      <c r="AN843" s="169"/>
      <c r="AO843" s="169"/>
      <c r="AP843" s="169"/>
      <c r="AQ843" s="169"/>
      <c r="AR843" s="169"/>
      <c r="AS843" s="169"/>
      <c r="AT843" s="169"/>
    </row>
    <row r="844" spans="10:46"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169"/>
      <c r="AN844" s="169"/>
      <c r="AO844" s="169"/>
      <c r="AP844" s="169"/>
      <c r="AQ844" s="169"/>
      <c r="AR844" s="169"/>
      <c r="AS844" s="169"/>
      <c r="AT844" s="169"/>
    </row>
    <row r="845" spans="10:46"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169"/>
      <c r="AN845" s="169"/>
      <c r="AO845" s="169"/>
      <c r="AP845" s="169"/>
      <c r="AQ845" s="169"/>
      <c r="AR845" s="169"/>
      <c r="AS845" s="169"/>
      <c r="AT845" s="169"/>
    </row>
    <row r="846" spans="10:46"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169"/>
      <c r="AN846" s="169"/>
      <c r="AO846" s="169"/>
      <c r="AP846" s="169"/>
      <c r="AQ846" s="169"/>
      <c r="AR846" s="169"/>
      <c r="AS846" s="169"/>
      <c r="AT846" s="169"/>
    </row>
    <row r="847" spans="10:46"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169"/>
      <c r="AN847" s="169"/>
      <c r="AO847" s="169"/>
      <c r="AP847" s="169"/>
      <c r="AQ847" s="169"/>
      <c r="AR847" s="169"/>
      <c r="AS847" s="169"/>
      <c r="AT847" s="169"/>
    </row>
    <row r="848" spans="10:46"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169"/>
      <c r="AN848" s="169"/>
      <c r="AO848" s="169"/>
      <c r="AP848" s="169"/>
      <c r="AQ848" s="169"/>
      <c r="AR848" s="169"/>
      <c r="AS848" s="169"/>
      <c r="AT848" s="169"/>
    </row>
    <row r="849" spans="10:46"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169"/>
      <c r="AN849" s="169"/>
      <c r="AO849" s="169"/>
      <c r="AP849" s="169"/>
      <c r="AQ849" s="169"/>
      <c r="AR849" s="169"/>
      <c r="AS849" s="169"/>
      <c r="AT849" s="169"/>
    </row>
    <row r="850" spans="10:46"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169"/>
      <c r="AN850" s="169"/>
      <c r="AO850" s="169"/>
      <c r="AP850" s="169"/>
      <c r="AQ850" s="169"/>
      <c r="AR850" s="169"/>
      <c r="AS850" s="169"/>
      <c r="AT850" s="169"/>
    </row>
    <row r="851" spans="10:46"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169"/>
      <c r="AN851" s="169"/>
      <c r="AO851" s="169"/>
      <c r="AP851" s="169"/>
      <c r="AQ851" s="169"/>
      <c r="AR851" s="169"/>
      <c r="AS851" s="169"/>
      <c r="AT851" s="169"/>
    </row>
    <row r="852" spans="10:46"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169"/>
      <c r="AN852" s="169"/>
      <c r="AO852" s="169"/>
      <c r="AP852" s="169"/>
      <c r="AQ852" s="169"/>
      <c r="AR852" s="169"/>
      <c r="AS852" s="169"/>
      <c r="AT852" s="169"/>
    </row>
    <row r="853" spans="10:46"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169"/>
      <c r="AN853" s="169"/>
      <c r="AO853" s="169"/>
      <c r="AP853" s="169"/>
      <c r="AQ853" s="169"/>
      <c r="AR853" s="169"/>
      <c r="AS853" s="169"/>
      <c r="AT853" s="169"/>
    </row>
    <row r="854" spans="10:46"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169"/>
      <c r="AN854" s="169"/>
      <c r="AO854" s="169"/>
      <c r="AP854" s="169"/>
      <c r="AQ854" s="169"/>
      <c r="AR854" s="169"/>
      <c r="AS854" s="169"/>
      <c r="AT854" s="169"/>
    </row>
    <row r="855" spans="10:46"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169"/>
      <c r="AN855" s="169"/>
      <c r="AO855" s="169"/>
      <c r="AP855" s="169"/>
      <c r="AQ855" s="169"/>
      <c r="AR855" s="169"/>
      <c r="AS855" s="169"/>
      <c r="AT855" s="169"/>
    </row>
    <row r="856" spans="10:46"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169"/>
      <c r="AN856" s="169"/>
      <c r="AO856" s="169"/>
      <c r="AP856" s="169"/>
      <c r="AQ856" s="169"/>
      <c r="AR856" s="169"/>
      <c r="AS856" s="169"/>
      <c r="AT856" s="169"/>
    </row>
    <row r="857" spans="10:46"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169"/>
      <c r="AN857" s="169"/>
      <c r="AO857" s="169"/>
      <c r="AP857" s="169"/>
      <c r="AQ857" s="169"/>
      <c r="AR857" s="169"/>
      <c r="AS857" s="169"/>
      <c r="AT857" s="169"/>
    </row>
    <row r="858" spans="10:46"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169"/>
      <c r="AN858" s="169"/>
      <c r="AO858" s="169"/>
      <c r="AP858" s="169"/>
      <c r="AQ858" s="169"/>
      <c r="AR858" s="169"/>
      <c r="AS858" s="169"/>
      <c r="AT858" s="169"/>
    </row>
    <row r="859" spans="10:46"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169"/>
      <c r="AN859" s="169"/>
      <c r="AO859" s="169"/>
      <c r="AP859" s="169"/>
      <c r="AQ859" s="169"/>
      <c r="AR859" s="169"/>
      <c r="AS859" s="169"/>
      <c r="AT859" s="169"/>
    </row>
    <row r="860" spans="10:46"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169"/>
      <c r="AN860" s="169"/>
      <c r="AO860" s="169"/>
      <c r="AP860" s="169"/>
      <c r="AQ860" s="169"/>
      <c r="AR860" s="169"/>
      <c r="AS860" s="169"/>
      <c r="AT860" s="169"/>
    </row>
    <row r="861" spans="10:46"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169"/>
      <c r="AN861" s="169"/>
      <c r="AO861" s="169"/>
      <c r="AP861" s="169"/>
      <c r="AQ861" s="169"/>
      <c r="AR861" s="169"/>
      <c r="AS861" s="169"/>
      <c r="AT861" s="169"/>
    </row>
    <row r="862" spans="10:46"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169"/>
      <c r="AN862" s="169"/>
      <c r="AO862" s="169"/>
      <c r="AP862" s="169"/>
      <c r="AQ862" s="169"/>
      <c r="AR862" s="169"/>
      <c r="AS862" s="169"/>
      <c r="AT862" s="169"/>
    </row>
    <row r="863" spans="10:46"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169"/>
      <c r="AN863" s="169"/>
      <c r="AO863" s="169"/>
      <c r="AP863" s="169"/>
      <c r="AQ863" s="169"/>
      <c r="AR863" s="169"/>
      <c r="AS863" s="169"/>
      <c r="AT863" s="169"/>
    </row>
    <row r="864" spans="10:46"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169"/>
      <c r="AN864" s="169"/>
      <c r="AO864" s="169"/>
      <c r="AP864" s="169"/>
      <c r="AQ864" s="169"/>
      <c r="AR864" s="169"/>
      <c r="AS864" s="169"/>
      <c r="AT864" s="169"/>
    </row>
    <row r="865" spans="10:46"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169"/>
      <c r="AN865" s="169"/>
      <c r="AO865" s="169"/>
      <c r="AP865" s="169"/>
      <c r="AQ865" s="169"/>
      <c r="AR865" s="169"/>
      <c r="AS865" s="169"/>
      <c r="AT865" s="169"/>
    </row>
    <row r="866" spans="10:46"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169"/>
      <c r="AN866" s="169"/>
      <c r="AO866" s="169"/>
      <c r="AP866" s="169"/>
      <c r="AQ866" s="169"/>
      <c r="AR866" s="169"/>
      <c r="AS866" s="169"/>
      <c r="AT866" s="169"/>
    </row>
    <row r="867" spans="10:46"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169"/>
      <c r="AN867" s="169"/>
      <c r="AO867" s="169"/>
      <c r="AP867" s="169"/>
      <c r="AQ867" s="169"/>
      <c r="AR867" s="169"/>
      <c r="AS867" s="169"/>
      <c r="AT867" s="169"/>
    </row>
    <row r="868" spans="10:46"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169"/>
      <c r="AN868" s="169"/>
      <c r="AO868" s="169"/>
      <c r="AP868" s="169"/>
      <c r="AQ868" s="169"/>
      <c r="AR868" s="169"/>
      <c r="AS868" s="169"/>
      <c r="AT868" s="169"/>
    </row>
    <row r="869" spans="10:46"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169"/>
      <c r="AN869" s="169"/>
      <c r="AO869" s="169"/>
      <c r="AP869" s="169"/>
      <c r="AQ869" s="169"/>
      <c r="AR869" s="169"/>
      <c r="AS869" s="169"/>
      <c r="AT869" s="169"/>
    </row>
    <row r="870" spans="10:46"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169"/>
      <c r="AN870" s="169"/>
      <c r="AO870" s="169"/>
      <c r="AP870" s="169"/>
      <c r="AQ870" s="169"/>
      <c r="AR870" s="169"/>
      <c r="AS870" s="169"/>
      <c r="AT870" s="169"/>
    </row>
    <row r="871" spans="10:46"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169"/>
      <c r="AN871" s="169"/>
      <c r="AO871" s="169"/>
      <c r="AP871" s="169"/>
      <c r="AQ871" s="169"/>
      <c r="AR871" s="169"/>
      <c r="AS871" s="169"/>
      <c r="AT871" s="169"/>
    </row>
    <row r="872" spans="10:46"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169"/>
      <c r="AN872" s="169"/>
      <c r="AO872" s="169"/>
      <c r="AP872" s="169"/>
      <c r="AQ872" s="169"/>
      <c r="AR872" s="169"/>
      <c r="AS872" s="169"/>
      <c r="AT872" s="169"/>
    </row>
    <row r="873" spans="10:46"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169"/>
      <c r="AN873" s="169"/>
      <c r="AO873" s="169"/>
      <c r="AP873" s="169"/>
      <c r="AQ873" s="169"/>
      <c r="AR873" s="169"/>
      <c r="AS873" s="169"/>
      <c r="AT873" s="169"/>
    </row>
    <row r="874" spans="10:46"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169"/>
      <c r="AN874" s="169"/>
      <c r="AO874" s="169"/>
      <c r="AP874" s="169"/>
      <c r="AQ874" s="169"/>
      <c r="AR874" s="169"/>
      <c r="AS874" s="169"/>
      <c r="AT874" s="169"/>
    </row>
    <row r="875" spans="10:46"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169"/>
      <c r="AN875" s="169"/>
      <c r="AO875" s="169"/>
      <c r="AP875" s="169"/>
      <c r="AQ875" s="169"/>
      <c r="AR875" s="169"/>
      <c r="AS875" s="169"/>
      <c r="AT875" s="169"/>
    </row>
    <row r="876" spans="10:46"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169"/>
      <c r="AN876" s="169"/>
      <c r="AO876" s="169"/>
      <c r="AP876" s="169"/>
      <c r="AQ876" s="169"/>
      <c r="AR876" s="169"/>
      <c r="AS876" s="169"/>
      <c r="AT876" s="169"/>
    </row>
    <row r="877" spans="10:46"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169"/>
      <c r="AN877" s="169"/>
      <c r="AO877" s="169"/>
      <c r="AP877" s="169"/>
      <c r="AQ877" s="169"/>
      <c r="AR877" s="169"/>
      <c r="AS877" s="169"/>
      <c r="AT877" s="169"/>
    </row>
    <row r="878" spans="10:46"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169"/>
      <c r="AN878" s="169"/>
      <c r="AO878" s="169"/>
      <c r="AP878" s="169"/>
      <c r="AQ878" s="169"/>
      <c r="AR878" s="169"/>
      <c r="AS878" s="169"/>
      <c r="AT878" s="169"/>
    </row>
    <row r="879" spans="10:46"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169"/>
      <c r="AN879" s="169"/>
      <c r="AO879" s="169"/>
      <c r="AP879" s="169"/>
      <c r="AQ879" s="169"/>
      <c r="AR879" s="169"/>
      <c r="AS879" s="169"/>
      <c r="AT879" s="169"/>
    </row>
    <row r="880" spans="10:46"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169"/>
      <c r="AN880" s="169"/>
      <c r="AO880" s="169"/>
      <c r="AP880" s="169"/>
      <c r="AQ880" s="169"/>
      <c r="AR880" s="169"/>
      <c r="AS880" s="169"/>
      <c r="AT880" s="169"/>
    </row>
    <row r="881" spans="10:46"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169"/>
      <c r="AN881" s="169"/>
      <c r="AO881" s="169"/>
      <c r="AP881" s="169"/>
      <c r="AQ881" s="169"/>
      <c r="AR881" s="169"/>
      <c r="AS881" s="169"/>
      <c r="AT881" s="169"/>
    </row>
    <row r="882" spans="10:46"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169"/>
      <c r="AN882" s="169"/>
      <c r="AO882" s="169"/>
      <c r="AP882" s="169"/>
      <c r="AQ882" s="169"/>
      <c r="AR882" s="169"/>
      <c r="AS882" s="169"/>
      <c r="AT882" s="169"/>
    </row>
    <row r="883" spans="10:46"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169"/>
      <c r="AN883" s="169"/>
      <c r="AO883" s="169"/>
      <c r="AP883" s="169"/>
      <c r="AQ883" s="169"/>
      <c r="AR883" s="169"/>
      <c r="AS883" s="169"/>
      <c r="AT883" s="169"/>
    </row>
    <row r="884" spans="10:46"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169"/>
      <c r="AN884" s="169"/>
      <c r="AO884" s="169"/>
      <c r="AP884" s="169"/>
      <c r="AQ884" s="169"/>
      <c r="AR884" s="169"/>
      <c r="AS884" s="169"/>
      <c r="AT884" s="169"/>
    </row>
    <row r="885" spans="10:46"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169"/>
      <c r="AN885" s="169"/>
      <c r="AO885" s="169"/>
      <c r="AP885" s="169"/>
      <c r="AQ885" s="169"/>
      <c r="AR885" s="169"/>
      <c r="AS885" s="169"/>
      <c r="AT885" s="169"/>
    </row>
    <row r="886" spans="10:46"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169"/>
      <c r="AN886" s="169"/>
      <c r="AO886" s="169"/>
      <c r="AP886" s="169"/>
      <c r="AQ886" s="169"/>
      <c r="AR886" s="169"/>
      <c r="AS886" s="169"/>
      <c r="AT886" s="169"/>
    </row>
    <row r="887" spans="10:46"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169"/>
      <c r="AN887" s="169"/>
      <c r="AO887" s="169"/>
      <c r="AP887" s="169"/>
      <c r="AQ887" s="169"/>
      <c r="AR887" s="169"/>
      <c r="AS887" s="169"/>
      <c r="AT887" s="169"/>
    </row>
    <row r="888" spans="10:46"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169"/>
      <c r="AN888" s="169"/>
      <c r="AO888" s="169"/>
      <c r="AP888" s="169"/>
      <c r="AQ888" s="169"/>
      <c r="AR888" s="169"/>
      <c r="AS888" s="169"/>
      <c r="AT888" s="169"/>
    </row>
    <row r="889" spans="10:46"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169"/>
      <c r="AN889" s="169"/>
      <c r="AO889" s="169"/>
      <c r="AP889" s="169"/>
      <c r="AQ889" s="169"/>
      <c r="AR889" s="169"/>
      <c r="AS889" s="169"/>
      <c r="AT889" s="169"/>
    </row>
    <row r="890" spans="10:46"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169"/>
      <c r="AN890" s="169"/>
      <c r="AO890" s="169"/>
      <c r="AP890" s="169"/>
      <c r="AQ890" s="169"/>
      <c r="AR890" s="169"/>
      <c r="AS890" s="169"/>
      <c r="AT890" s="169"/>
    </row>
    <row r="891" spans="10:46"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169"/>
      <c r="AN891" s="169"/>
      <c r="AO891" s="169"/>
      <c r="AP891" s="169"/>
      <c r="AQ891" s="169"/>
      <c r="AR891" s="169"/>
      <c r="AS891" s="169"/>
      <c r="AT891" s="169"/>
    </row>
    <row r="892" spans="10:46"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169"/>
      <c r="AN892" s="169"/>
      <c r="AO892" s="169"/>
      <c r="AP892" s="169"/>
      <c r="AQ892" s="169"/>
      <c r="AR892" s="169"/>
      <c r="AS892" s="169"/>
      <c r="AT892" s="169"/>
    </row>
    <row r="893" spans="10:46"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169"/>
      <c r="AN893" s="169"/>
      <c r="AO893" s="169"/>
      <c r="AP893" s="169"/>
      <c r="AQ893" s="169"/>
      <c r="AR893" s="169"/>
      <c r="AS893" s="169"/>
      <c r="AT893" s="169"/>
    </row>
    <row r="894" spans="10:46"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169"/>
      <c r="AN894" s="169"/>
      <c r="AO894" s="169"/>
      <c r="AP894" s="169"/>
      <c r="AQ894" s="169"/>
      <c r="AR894" s="169"/>
      <c r="AS894" s="169"/>
      <c r="AT894" s="169"/>
    </row>
    <row r="895" spans="10:46"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169"/>
      <c r="AN895" s="169"/>
      <c r="AO895" s="169"/>
      <c r="AP895" s="169"/>
      <c r="AQ895" s="169"/>
      <c r="AR895" s="169"/>
      <c r="AS895" s="169"/>
      <c r="AT895" s="169"/>
    </row>
    <row r="896" spans="10:46"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169"/>
      <c r="AN896" s="169"/>
      <c r="AO896" s="169"/>
      <c r="AP896" s="169"/>
      <c r="AQ896" s="169"/>
      <c r="AR896" s="169"/>
      <c r="AS896" s="169"/>
      <c r="AT896" s="169"/>
    </row>
    <row r="897" spans="10:46"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169"/>
      <c r="AN897" s="169"/>
      <c r="AO897" s="169"/>
      <c r="AP897" s="169"/>
      <c r="AQ897" s="169"/>
      <c r="AR897" s="169"/>
      <c r="AS897" s="169"/>
      <c r="AT897" s="169"/>
    </row>
    <row r="898" spans="10:46"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169"/>
      <c r="AN898" s="169"/>
      <c r="AO898" s="169"/>
      <c r="AP898" s="169"/>
      <c r="AQ898" s="169"/>
      <c r="AR898" s="169"/>
      <c r="AS898" s="169"/>
      <c r="AT898" s="169"/>
    </row>
    <row r="899" spans="10:46"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169"/>
      <c r="AN899" s="169"/>
      <c r="AO899" s="169"/>
      <c r="AP899" s="169"/>
      <c r="AQ899" s="169"/>
      <c r="AR899" s="169"/>
      <c r="AS899" s="169"/>
      <c r="AT899" s="169"/>
    </row>
    <row r="900" spans="10:46"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169"/>
      <c r="AN900" s="169"/>
      <c r="AO900" s="169"/>
      <c r="AP900" s="169"/>
      <c r="AQ900" s="169"/>
      <c r="AR900" s="169"/>
      <c r="AS900" s="169"/>
      <c r="AT900" s="169"/>
    </row>
    <row r="901" spans="10:46"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169"/>
      <c r="AN901" s="169"/>
      <c r="AO901" s="169"/>
      <c r="AP901" s="169"/>
      <c r="AQ901" s="169"/>
      <c r="AR901" s="169"/>
      <c r="AS901" s="169"/>
      <c r="AT901" s="169"/>
    </row>
    <row r="902" spans="10:46"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169"/>
      <c r="AN902" s="169"/>
      <c r="AO902" s="169"/>
      <c r="AP902" s="169"/>
      <c r="AQ902" s="169"/>
      <c r="AR902" s="169"/>
      <c r="AS902" s="169"/>
      <c r="AT902" s="169"/>
    </row>
    <row r="903" spans="10:46"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169"/>
      <c r="AN903" s="169"/>
      <c r="AO903" s="169"/>
      <c r="AP903" s="169"/>
      <c r="AQ903" s="169"/>
      <c r="AR903" s="169"/>
      <c r="AS903" s="169"/>
      <c r="AT903" s="169"/>
    </row>
    <row r="904" spans="10:46"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169"/>
      <c r="AN904" s="169"/>
      <c r="AO904" s="169"/>
      <c r="AP904" s="169"/>
      <c r="AQ904" s="169"/>
      <c r="AR904" s="169"/>
      <c r="AS904" s="169"/>
      <c r="AT904" s="169"/>
    </row>
    <row r="905" spans="10:46"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169"/>
      <c r="AN905" s="169"/>
      <c r="AO905" s="169"/>
      <c r="AP905" s="169"/>
      <c r="AQ905" s="169"/>
      <c r="AR905" s="169"/>
      <c r="AS905" s="169"/>
      <c r="AT905" s="169"/>
    </row>
    <row r="906" spans="10:46"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169"/>
      <c r="AN906" s="169"/>
      <c r="AO906" s="169"/>
      <c r="AP906" s="169"/>
      <c r="AQ906" s="169"/>
      <c r="AR906" s="169"/>
      <c r="AS906" s="169"/>
      <c r="AT906" s="169"/>
    </row>
    <row r="907" spans="10:46"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169"/>
      <c r="AN907" s="169"/>
      <c r="AO907" s="169"/>
      <c r="AP907" s="169"/>
      <c r="AQ907" s="169"/>
      <c r="AR907" s="169"/>
      <c r="AS907" s="169"/>
      <c r="AT907" s="169"/>
    </row>
    <row r="908" spans="10:46"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169"/>
      <c r="AN908" s="169"/>
      <c r="AO908" s="169"/>
      <c r="AP908" s="169"/>
      <c r="AQ908" s="169"/>
      <c r="AR908" s="169"/>
      <c r="AS908" s="169"/>
      <c r="AT908" s="169"/>
    </row>
    <row r="909" spans="10:46"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169"/>
      <c r="AN909" s="169"/>
      <c r="AO909" s="169"/>
      <c r="AP909" s="169"/>
      <c r="AQ909" s="169"/>
      <c r="AR909" s="169"/>
      <c r="AS909" s="169"/>
      <c r="AT909" s="169"/>
    </row>
    <row r="910" spans="10:46"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169"/>
      <c r="AN910" s="169"/>
      <c r="AO910" s="169"/>
      <c r="AP910" s="169"/>
      <c r="AQ910" s="169"/>
      <c r="AR910" s="169"/>
      <c r="AS910" s="169"/>
      <c r="AT910" s="169"/>
    </row>
    <row r="911" spans="10:46"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169"/>
      <c r="AN911" s="169"/>
      <c r="AO911" s="169"/>
      <c r="AP911" s="169"/>
      <c r="AQ911" s="169"/>
      <c r="AR911" s="169"/>
      <c r="AS911" s="169"/>
      <c r="AT911" s="169"/>
    </row>
    <row r="912" spans="10:46"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169"/>
      <c r="AN912" s="169"/>
      <c r="AO912" s="169"/>
      <c r="AP912" s="169"/>
      <c r="AQ912" s="169"/>
      <c r="AR912" s="169"/>
      <c r="AS912" s="169"/>
      <c r="AT912" s="169"/>
    </row>
    <row r="913" spans="10:46"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169"/>
      <c r="AN913" s="169"/>
      <c r="AO913" s="169"/>
      <c r="AP913" s="169"/>
      <c r="AQ913" s="169"/>
      <c r="AR913" s="169"/>
      <c r="AS913" s="169"/>
      <c r="AT913" s="169"/>
    </row>
    <row r="914" spans="10:46"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169"/>
      <c r="AN914" s="169"/>
      <c r="AO914" s="169"/>
      <c r="AP914" s="169"/>
      <c r="AQ914" s="169"/>
      <c r="AR914" s="169"/>
      <c r="AS914" s="169"/>
      <c r="AT914" s="169"/>
    </row>
    <row r="915" spans="10:46"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169"/>
      <c r="AN915" s="169"/>
      <c r="AO915" s="169"/>
      <c r="AP915" s="169"/>
      <c r="AQ915" s="169"/>
      <c r="AR915" s="169"/>
      <c r="AS915" s="169"/>
      <c r="AT915" s="169"/>
    </row>
    <row r="916" spans="10:46"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169"/>
      <c r="AN916" s="169"/>
      <c r="AO916" s="169"/>
      <c r="AP916" s="169"/>
      <c r="AQ916" s="169"/>
      <c r="AR916" s="169"/>
      <c r="AS916" s="169"/>
      <c r="AT916" s="169"/>
    </row>
    <row r="917" spans="10:46"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169"/>
      <c r="AN917" s="169"/>
      <c r="AO917" s="169"/>
      <c r="AP917" s="169"/>
      <c r="AQ917" s="169"/>
      <c r="AR917" s="169"/>
      <c r="AS917" s="169"/>
      <c r="AT917" s="169"/>
    </row>
    <row r="918" spans="10:46"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169"/>
      <c r="AN918" s="169"/>
      <c r="AO918" s="169"/>
      <c r="AP918" s="169"/>
      <c r="AQ918" s="169"/>
      <c r="AR918" s="169"/>
      <c r="AS918" s="169"/>
      <c r="AT918" s="169"/>
    </row>
    <row r="919" spans="10:46"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169"/>
      <c r="AN919" s="169"/>
      <c r="AO919" s="169"/>
      <c r="AP919" s="169"/>
      <c r="AQ919" s="169"/>
      <c r="AR919" s="169"/>
      <c r="AS919" s="169"/>
      <c r="AT919" s="169"/>
    </row>
    <row r="920" spans="10:46"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169"/>
      <c r="AN920" s="169"/>
      <c r="AO920" s="169"/>
      <c r="AP920" s="169"/>
      <c r="AQ920" s="169"/>
      <c r="AR920" s="169"/>
      <c r="AS920" s="169"/>
      <c r="AT920" s="169"/>
    </row>
    <row r="921" spans="10:46"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169"/>
      <c r="AN921" s="169"/>
      <c r="AO921" s="169"/>
      <c r="AP921" s="169"/>
      <c r="AQ921" s="169"/>
      <c r="AR921" s="169"/>
      <c r="AS921" s="169"/>
      <c r="AT921" s="169"/>
    </row>
    <row r="922" spans="10:46"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169"/>
      <c r="AN922" s="169"/>
      <c r="AO922" s="169"/>
      <c r="AP922" s="169"/>
      <c r="AQ922" s="169"/>
      <c r="AR922" s="169"/>
      <c r="AS922" s="169"/>
      <c r="AT922" s="169"/>
    </row>
    <row r="923" spans="10:46"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169"/>
      <c r="AN923" s="169"/>
      <c r="AO923" s="169"/>
      <c r="AP923" s="169"/>
      <c r="AQ923" s="169"/>
      <c r="AR923" s="169"/>
      <c r="AS923" s="169"/>
      <c r="AT923" s="169"/>
    </row>
    <row r="924" spans="10:46"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169"/>
      <c r="AN924" s="169"/>
      <c r="AO924" s="169"/>
      <c r="AP924" s="169"/>
      <c r="AQ924" s="169"/>
      <c r="AR924" s="169"/>
      <c r="AS924" s="169"/>
      <c r="AT924" s="169"/>
    </row>
    <row r="925" spans="10:46"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169"/>
      <c r="AN925" s="169"/>
      <c r="AO925" s="169"/>
      <c r="AP925" s="169"/>
      <c r="AQ925" s="169"/>
      <c r="AR925" s="169"/>
      <c r="AS925" s="169"/>
      <c r="AT925" s="169"/>
    </row>
    <row r="926" spans="10:46"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169"/>
      <c r="AN926" s="169"/>
      <c r="AO926" s="169"/>
      <c r="AP926" s="169"/>
      <c r="AQ926" s="169"/>
      <c r="AR926" s="169"/>
      <c r="AS926" s="169"/>
      <c r="AT926" s="169"/>
    </row>
    <row r="927" spans="10:46"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169"/>
      <c r="AN927" s="169"/>
      <c r="AO927" s="169"/>
      <c r="AP927" s="169"/>
      <c r="AQ927" s="169"/>
      <c r="AR927" s="169"/>
      <c r="AS927" s="169"/>
      <c r="AT927" s="169"/>
    </row>
    <row r="928" spans="10:46"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169"/>
      <c r="AN928" s="169"/>
      <c r="AO928" s="169"/>
      <c r="AP928" s="169"/>
      <c r="AQ928" s="169"/>
      <c r="AR928" s="169"/>
      <c r="AS928" s="169"/>
      <c r="AT928" s="169"/>
    </row>
    <row r="929" spans="10:46"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169"/>
      <c r="AN929" s="169"/>
      <c r="AO929" s="169"/>
      <c r="AP929" s="169"/>
      <c r="AQ929" s="169"/>
      <c r="AR929" s="169"/>
      <c r="AS929" s="169"/>
      <c r="AT929" s="169"/>
    </row>
    <row r="930" spans="10:46"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169"/>
      <c r="AN930" s="169"/>
      <c r="AO930" s="169"/>
      <c r="AP930" s="169"/>
      <c r="AQ930" s="169"/>
      <c r="AR930" s="169"/>
      <c r="AS930" s="169"/>
      <c r="AT930" s="169"/>
    </row>
    <row r="931" spans="10:46"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169"/>
      <c r="AN931" s="169"/>
      <c r="AO931" s="169"/>
      <c r="AP931" s="169"/>
      <c r="AQ931" s="169"/>
      <c r="AR931" s="169"/>
      <c r="AS931" s="169"/>
      <c r="AT931" s="169"/>
    </row>
    <row r="932" spans="10:46"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169"/>
      <c r="AN932" s="169"/>
      <c r="AO932" s="169"/>
      <c r="AP932" s="169"/>
      <c r="AQ932" s="169"/>
      <c r="AR932" s="169"/>
      <c r="AS932" s="169"/>
      <c r="AT932" s="169"/>
    </row>
    <row r="933" spans="10:46"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169"/>
      <c r="AN933" s="169"/>
      <c r="AO933" s="169"/>
      <c r="AP933" s="169"/>
      <c r="AQ933" s="169"/>
      <c r="AR933" s="169"/>
      <c r="AS933" s="169"/>
      <c r="AT933" s="169"/>
    </row>
    <row r="934" spans="10:46"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169"/>
      <c r="AN934" s="169"/>
      <c r="AO934" s="169"/>
      <c r="AP934" s="169"/>
      <c r="AQ934" s="169"/>
      <c r="AR934" s="169"/>
      <c r="AS934" s="169"/>
      <c r="AT934" s="169"/>
    </row>
    <row r="935" spans="10:46"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169"/>
      <c r="AN935" s="169"/>
      <c r="AO935" s="169"/>
      <c r="AP935" s="169"/>
      <c r="AQ935" s="169"/>
      <c r="AR935" s="169"/>
      <c r="AS935" s="169"/>
      <c r="AT935" s="169"/>
    </row>
    <row r="936" spans="10:46"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169"/>
      <c r="AN936" s="169"/>
      <c r="AO936" s="169"/>
      <c r="AP936" s="169"/>
      <c r="AQ936" s="169"/>
      <c r="AR936" s="169"/>
      <c r="AS936" s="169"/>
      <c r="AT936" s="169"/>
    </row>
    <row r="937" spans="10:46"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169"/>
      <c r="AN937" s="169"/>
      <c r="AO937" s="169"/>
      <c r="AP937" s="169"/>
      <c r="AQ937" s="169"/>
      <c r="AR937" s="169"/>
      <c r="AS937" s="169"/>
      <c r="AT937" s="169"/>
    </row>
    <row r="938" spans="10:46"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169"/>
      <c r="AN938" s="169"/>
      <c r="AO938" s="169"/>
      <c r="AP938" s="169"/>
      <c r="AQ938" s="169"/>
      <c r="AR938" s="169"/>
      <c r="AS938" s="169"/>
      <c r="AT938" s="169"/>
    </row>
    <row r="939" spans="10:46"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169"/>
      <c r="AN939" s="169"/>
      <c r="AO939" s="169"/>
      <c r="AP939" s="169"/>
      <c r="AQ939" s="169"/>
      <c r="AR939" s="169"/>
      <c r="AS939" s="169"/>
      <c r="AT939" s="169"/>
    </row>
    <row r="940" spans="10:46"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169"/>
      <c r="AN940" s="169"/>
      <c r="AO940" s="169"/>
      <c r="AP940" s="169"/>
      <c r="AQ940" s="169"/>
      <c r="AR940" s="169"/>
      <c r="AS940" s="169"/>
      <c r="AT940" s="169"/>
    </row>
    <row r="941" spans="10:46"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169"/>
      <c r="AN941" s="169"/>
      <c r="AO941" s="169"/>
      <c r="AP941" s="169"/>
      <c r="AQ941" s="169"/>
      <c r="AR941" s="169"/>
      <c r="AS941" s="169"/>
      <c r="AT941" s="169"/>
    </row>
    <row r="942" spans="10:46"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169"/>
      <c r="AN942" s="169"/>
      <c r="AO942" s="169"/>
      <c r="AP942" s="169"/>
      <c r="AQ942" s="169"/>
      <c r="AR942" s="169"/>
      <c r="AS942" s="169"/>
      <c r="AT942" s="169"/>
    </row>
    <row r="943" spans="10:46"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169"/>
      <c r="AN943" s="169"/>
      <c r="AO943" s="169"/>
      <c r="AP943" s="169"/>
      <c r="AQ943" s="169"/>
      <c r="AR943" s="169"/>
      <c r="AS943" s="169"/>
      <c r="AT943" s="169"/>
    </row>
    <row r="944" spans="10:46"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169"/>
      <c r="AN944" s="169"/>
      <c r="AO944" s="169"/>
      <c r="AP944" s="169"/>
      <c r="AQ944" s="169"/>
      <c r="AR944" s="169"/>
      <c r="AS944" s="169"/>
      <c r="AT944" s="169"/>
    </row>
    <row r="945" spans="10:46"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169"/>
      <c r="AN945" s="169"/>
      <c r="AO945" s="169"/>
      <c r="AP945" s="169"/>
      <c r="AQ945" s="169"/>
      <c r="AR945" s="169"/>
      <c r="AS945" s="169"/>
      <c r="AT945" s="169"/>
    </row>
    <row r="946" spans="10:46"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169"/>
      <c r="AN946" s="169"/>
      <c r="AO946" s="169"/>
      <c r="AP946" s="169"/>
      <c r="AQ946" s="169"/>
      <c r="AR946" s="169"/>
      <c r="AS946" s="169"/>
      <c r="AT946" s="169"/>
    </row>
    <row r="947" spans="10:46"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169"/>
      <c r="AN947" s="169"/>
      <c r="AO947" s="169"/>
      <c r="AP947" s="169"/>
      <c r="AQ947" s="169"/>
      <c r="AR947" s="169"/>
      <c r="AS947" s="169"/>
      <c r="AT947" s="169"/>
    </row>
    <row r="948" spans="10:46"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169"/>
      <c r="AN948" s="169"/>
      <c r="AO948" s="169"/>
      <c r="AP948" s="169"/>
      <c r="AQ948" s="169"/>
      <c r="AR948" s="169"/>
      <c r="AS948" s="169"/>
      <c r="AT948" s="169"/>
    </row>
    <row r="949" spans="10:46"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169"/>
      <c r="AN949" s="169"/>
      <c r="AO949" s="169"/>
      <c r="AP949" s="169"/>
      <c r="AQ949" s="169"/>
      <c r="AR949" s="169"/>
      <c r="AS949" s="169"/>
      <c r="AT949" s="169"/>
    </row>
    <row r="950" spans="10:46"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169"/>
      <c r="AN950" s="169"/>
      <c r="AO950" s="169"/>
      <c r="AP950" s="169"/>
      <c r="AQ950" s="169"/>
      <c r="AR950" s="169"/>
      <c r="AS950" s="169"/>
      <c r="AT950" s="169"/>
    </row>
    <row r="951" spans="10:46"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169"/>
      <c r="AN951" s="169"/>
      <c r="AO951" s="169"/>
      <c r="AP951" s="169"/>
      <c r="AQ951" s="169"/>
      <c r="AR951" s="169"/>
      <c r="AS951" s="169"/>
      <c r="AT951" s="169"/>
    </row>
    <row r="952" spans="10:46"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169"/>
      <c r="AN952" s="169"/>
      <c r="AO952" s="169"/>
      <c r="AP952" s="169"/>
      <c r="AQ952" s="169"/>
      <c r="AR952" s="169"/>
      <c r="AS952" s="169"/>
      <c r="AT952" s="169"/>
    </row>
    <row r="953" spans="10:46"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169"/>
      <c r="AN953" s="169"/>
      <c r="AO953" s="169"/>
      <c r="AP953" s="169"/>
      <c r="AQ953" s="169"/>
      <c r="AR953" s="169"/>
      <c r="AS953" s="169"/>
      <c r="AT953" s="169"/>
    </row>
    <row r="954" spans="10:46"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169"/>
      <c r="AN954" s="169"/>
      <c r="AO954" s="169"/>
      <c r="AP954" s="169"/>
      <c r="AQ954" s="169"/>
      <c r="AR954" s="169"/>
      <c r="AS954" s="169"/>
      <c r="AT954" s="169"/>
    </row>
    <row r="955" spans="10:46"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169"/>
      <c r="AN955" s="169"/>
      <c r="AO955" s="169"/>
      <c r="AP955" s="169"/>
      <c r="AQ955" s="169"/>
      <c r="AR955" s="169"/>
      <c r="AS955" s="169"/>
      <c r="AT955" s="169"/>
    </row>
    <row r="956" spans="10:46"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169"/>
      <c r="AN956" s="169"/>
      <c r="AO956" s="169"/>
      <c r="AP956" s="169"/>
      <c r="AQ956" s="169"/>
      <c r="AR956" s="169"/>
      <c r="AS956" s="169"/>
      <c r="AT956" s="169"/>
    </row>
    <row r="957" spans="10:46"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169"/>
      <c r="AN957" s="169"/>
      <c r="AO957" s="169"/>
      <c r="AP957" s="169"/>
      <c r="AQ957" s="169"/>
      <c r="AR957" s="169"/>
      <c r="AS957" s="169"/>
      <c r="AT957" s="169"/>
    </row>
    <row r="958" spans="10:46"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169"/>
      <c r="AN958" s="169"/>
      <c r="AO958" s="169"/>
      <c r="AP958" s="169"/>
      <c r="AQ958" s="169"/>
      <c r="AR958" s="169"/>
      <c r="AS958" s="169"/>
      <c r="AT958" s="169"/>
    </row>
    <row r="959" spans="10:46"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169"/>
      <c r="AN959" s="169"/>
      <c r="AO959" s="169"/>
      <c r="AP959" s="169"/>
      <c r="AQ959" s="169"/>
      <c r="AR959" s="169"/>
      <c r="AS959" s="169"/>
      <c r="AT959" s="169"/>
    </row>
    <row r="960" spans="10:46"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169"/>
      <c r="AN960" s="169"/>
      <c r="AO960" s="169"/>
      <c r="AP960" s="169"/>
      <c r="AQ960" s="169"/>
      <c r="AR960" s="169"/>
      <c r="AS960" s="169"/>
      <c r="AT960" s="169"/>
    </row>
    <row r="961" spans="10:46"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169"/>
      <c r="AN961" s="169"/>
      <c r="AO961" s="169"/>
      <c r="AP961" s="169"/>
      <c r="AQ961" s="169"/>
      <c r="AR961" s="169"/>
      <c r="AS961" s="169"/>
      <c r="AT961" s="169"/>
    </row>
    <row r="962" spans="10:46"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169"/>
      <c r="AN962" s="169"/>
      <c r="AO962" s="169"/>
      <c r="AP962" s="169"/>
      <c r="AQ962" s="169"/>
      <c r="AR962" s="169"/>
      <c r="AS962" s="169"/>
      <c r="AT962" s="169"/>
    </row>
    <row r="963" spans="10:46"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169"/>
      <c r="AN963" s="169"/>
      <c r="AO963" s="169"/>
      <c r="AP963" s="169"/>
      <c r="AQ963" s="169"/>
      <c r="AR963" s="169"/>
      <c r="AS963" s="169"/>
      <c r="AT963" s="169"/>
    </row>
    <row r="964" spans="10:46"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169"/>
      <c r="AN964" s="169"/>
      <c r="AO964" s="169"/>
      <c r="AP964" s="169"/>
      <c r="AQ964" s="169"/>
      <c r="AR964" s="169"/>
      <c r="AS964" s="169"/>
      <c r="AT964" s="169"/>
    </row>
    <row r="965" spans="10:46"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169"/>
      <c r="AN965" s="169"/>
      <c r="AO965" s="169"/>
      <c r="AP965" s="169"/>
      <c r="AQ965" s="169"/>
      <c r="AR965" s="169"/>
      <c r="AS965" s="169"/>
      <c r="AT965" s="169"/>
    </row>
    <row r="966" spans="10:46"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169"/>
      <c r="AN966" s="169"/>
      <c r="AO966" s="169"/>
      <c r="AP966" s="169"/>
      <c r="AQ966" s="169"/>
      <c r="AR966" s="169"/>
      <c r="AS966" s="169"/>
      <c r="AT966" s="169"/>
    </row>
    <row r="967" spans="10:46"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169"/>
      <c r="AN967" s="169"/>
      <c r="AO967" s="169"/>
      <c r="AP967" s="169"/>
      <c r="AQ967" s="169"/>
      <c r="AR967" s="169"/>
      <c r="AS967" s="169"/>
      <c r="AT967" s="169"/>
    </row>
    <row r="968" spans="10:46"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169"/>
      <c r="AN968" s="169"/>
      <c r="AO968" s="169"/>
      <c r="AP968" s="169"/>
      <c r="AQ968" s="169"/>
      <c r="AR968" s="169"/>
      <c r="AS968" s="169"/>
      <c r="AT968" s="169"/>
    </row>
    <row r="969" spans="10:46"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169"/>
      <c r="AN969" s="169"/>
      <c r="AO969" s="169"/>
      <c r="AP969" s="169"/>
      <c r="AQ969" s="169"/>
      <c r="AR969" s="169"/>
      <c r="AS969" s="169"/>
      <c r="AT969" s="169"/>
    </row>
    <row r="970" spans="10:46"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169"/>
      <c r="AN970" s="169"/>
      <c r="AO970" s="169"/>
      <c r="AP970" s="169"/>
      <c r="AQ970" s="169"/>
      <c r="AR970" s="169"/>
      <c r="AS970" s="169"/>
      <c r="AT970" s="169"/>
    </row>
    <row r="971" spans="10:46"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169"/>
      <c r="AN971" s="169"/>
      <c r="AO971" s="169"/>
      <c r="AP971" s="169"/>
      <c r="AQ971" s="169"/>
      <c r="AR971" s="169"/>
      <c r="AS971" s="169"/>
      <c r="AT971" s="169"/>
    </row>
    <row r="972" spans="10:46"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169"/>
      <c r="AN972" s="169"/>
      <c r="AO972" s="169"/>
      <c r="AP972" s="169"/>
      <c r="AQ972" s="169"/>
      <c r="AR972" s="169"/>
      <c r="AS972" s="169"/>
      <c r="AT972" s="169"/>
    </row>
    <row r="973" spans="10:46"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169"/>
      <c r="AN973" s="169"/>
      <c r="AO973" s="169"/>
      <c r="AP973" s="169"/>
      <c r="AQ973" s="169"/>
      <c r="AR973" s="169"/>
      <c r="AS973" s="169"/>
      <c r="AT973" s="169"/>
    </row>
    <row r="974" spans="10:46"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169"/>
      <c r="AN974" s="169"/>
      <c r="AO974" s="169"/>
      <c r="AP974" s="169"/>
      <c r="AQ974" s="169"/>
      <c r="AR974" s="169"/>
      <c r="AS974" s="169"/>
      <c r="AT974" s="169"/>
    </row>
    <row r="975" spans="10:46"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169"/>
      <c r="AN975" s="169"/>
      <c r="AO975" s="169"/>
      <c r="AP975" s="169"/>
      <c r="AQ975" s="169"/>
      <c r="AR975" s="169"/>
      <c r="AS975" s="169"/>
      <c r="AT975" s="169"/>
    </row>
    <row r="976" spans="10:46"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169"/>
      <c r="AN976" s="169"/>
      <c r="AO976" s="169"/>
      <c r="AP976" s="169"/>
      <c r="AQ976" s="169"/>
      <c r="AR976" s="169"/>
      <c r="AS976" s="169"/>
      <c r="AT976" s="169"/>
    </row>
    <row r="977" spans="10:46"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169"/>
      <c r="AN977" s="169"/>
      <c r="AO977" s="169"/>
      <c r="AP977" s="169"/>
      <c r="AQ977" s="169"/>
      <c r="AR977" s="169"/>
      <c r="AS977" s="169"/>
      <c r="AT977" s="169"/>
    </row>
    <row r="978" spans="10:46"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169"/>
      <c r="AN978" s="169"/>
      <c r="AO978" s="169"/>
      <c r="AP978" s="169"/>
      <c r="AQ978" s="169"/>
      <c r="AR978" s="169"/>
      <c r="AS978" s="169"/>
      <c r="AT978" s="169"/>
    </row>
    <row r="979" spans="10:46"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169"/>
      <c r="AN979" s="169"/>
      <c r="AO979" s="169"/>
      <c r="AP979" s="169"/>
      <c r="AQ979" s="169"/>
      <c r="AR979" s="169"/>
      <c r="AS979" s="169"/>
      <c r="AT979" s="169"/>
    </row>
    <row r="980" spans="10:46"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169"/>
      <c r="AN980" s="169"/>
      <c r="AO980" s="169"/>
      <c r="AP980" s="169"/>
      <c r="AQ980" s="169"/>
      <c r="AR980" s="169"/>
      <c r="AS980" s="169"/>
      <c r="AT980" s="169"/>
    </row>
    <row r="981" spans="10:46"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169"/>
      <c r="AN981" s="169"/>
      <c r="AO981" s="169"/>
      <c r="AP981" s="169"/>
      <c r="AQ981" s="169"/>
      <c r="AR981" s="169"/>
      <c r="AS981" s="169"/>
      <c r="AT981" s="169"/>
    </row>
    <row r="982" spans="10:46"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169"/>
      <c r="AN982" s="169"/>
      <c r="AO982" s="169"/>
      <c r="AP982" s="169"/>
      <c r="AQ982" s="169"/>
      <c r="AR982" s="169"/>
      <c r="AS982" s="169"/>
      <c r="AT982" s="169"/>
    </row>
    <row r="983" spans="10:46"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169"/>
      <c r="AN983" s="169"/>
      <c r="AO983" s="169"/>
      <c r="AP983" s="169"/>
      <c r="AQ983" s="169"/>
      <c r="AR983" s="169"/>
      <c r="AS983" s="169"/>
      <c r="AT983" s="169"/>
    </row>
    <row r="984" spans="10:46"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169"/>
      <c r="AN984" s="169"/>
      <c r="AO984" s="169"/>
      <c r="AP984" s="169"/>
      <c r="AQ984" s="169"/>
      <c r="AR984" s="169"/>
      <c r="AS984" s="169"/>
      <c r="AT984" s="169"/>
    </row>
    <row r="985" spans="10:46"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169"/>
      <c r="AN985" s="169"/>
      <c r="AO985" s="169"/>
      <c r="AP985" s="169"/>
      <c r="AQ985" s="169"/>
      <c r="AR985" s="169"/>
      <c r="AS985" s="169"/>
      <c r="AT985" s="169"/>
    </row>
    <row r="986" spans="10:46"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169"/>
      <c r="AN986" s="169"/>
      <c r="AO986" s="169"/>
      <c r="AP986" s="169"/>
      <c r="AQ986" s="169"/>
      <c r="AR986" s="169"/>
      <c r="AS986" s="169"/>
      <c r="AT986" s="169"/>
    </row>
    <row r="987" spans="10:46"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169"/>
      <c r="AN987" s="169"/>
      <c r="AO987" s="169"/>
      <c r="AP987" s="169"/>
      <c r="AQ987" s="169"/>
      <c r="AR987" s="169"/>
      <c r="AS987" s="169"/>
      <c r="AT987" s="169"/>
    </row>
    <row r="988" spans="10:46"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169"/>
      <c r="AN988" s="169"/>
      <c r="AO988" s="169"/>
      <c r="AP988" s="169"/>
      <c r="AQ988" s="169"/>
      <c r="AR988" s="169"/>
      <c r="AS988" s="169"/>
      <c r="AT988" s="169"/>
    </row>
    <row r="989" spans="10:46"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169"/>
      <c r="AN989" s="169"/>
      <c r="AO989" s="169"/>
      <c r="AP989" s="169"/>
      <c r="AQ989" s="169"/>
      <c r="AR989" s="169"/>
      <c r="AS989" s="169"/>
      <c r="AT989" s="169"/>
    </row>
    <row r="990" spans="10:46"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169"/>
      <c r="AN990" s="169"/>
      <c r="AO990" s="169"/>
      <c r="AP990" s="169"/>
      <c r="AQ990" s="169"/>
      <c r="AR990" s="169"/>
      <c r="AS990" s="169"/>
      <c r="AT990" s="169"/>
    </row>
    <row r="991" spans="10:46"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169"/>
      <c r="AN991" s="169"/>
      <c r="AO991" s="169"/>
      <c r="AP991" s="169"/>
      <c r="AQ991" s="169"/>
      <c r="AR991" s="169"/>
      <c r="AS991" s="169"/>
      <c r="AT991" s="169"/>
    </row>
    <row r="992" spans="10:46"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169"/>
      <c r="AN992" s="169"/>
      <c r="AO992" s="169"/>
      <c r="AP992" s="169"/>
      <c r="AQ992" s="169"/>
      <c r="AR992" s="169"/>
      <c r="AS992" s="169"/>
      <c r="AT992" s="169"/>
    </row>
    <row r="993" spans="10:46"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169"/>
      <c r="AN993" s="169"/>
      <c r="AO993" s="169"/>
      <c r="AP993" s="169"/>
      <c r="AQ993" s="169"/>
      <c r="AR993" s="169"/>
      <c r="AS993" s="169"/>
      <c r="AT993" s="169"/>
    </row>
    <row r="994" spans="10:46"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169"/>
      <c r="AN994" s="169"/>
      <c r="AO994" s="169"/>
      <c r="AP994" s="169"/>
      <c r="AQ994" s="169"/>
      <c r="AR994" s="169"/>
      <c r="AS994" s="169"/>
      <c r="AT994" s="169"/>
    </row>
    <row r="995" spans="10:46"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169"/>
      <c r="AN995" s="169"/>
      <c r="AO995" s="169"/>
      <c r="AP995" s="169"/>
      <c r="AQ995" s="169"/>
      <c r="AR995" s="169"/>
      <c r="AS995" s="169"/>
      <c r="AT995" s="169"/>
    </row>
    <row r="996" spans="10:46"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169"/>
      <c r="AN996" s="169"/>
      <c r="AO996" s="169"/>
      <c r="AP996" s="169"/>
      <c r="AQ996" s="169"/>
      <c r="AR996" s="169"/>
      <c r="AS996" s="169"/>
      <c r="AT996" s="169"/>
    </row>
    <row r="997" spans="10:46"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169"/>
      <c r="AN997" s="169"/>
      <c r="AO997" s="169"/>
      <c r="AP997" s="169"/>
      <c r="AQ997" s="169"/>
      <c r="AR997" s="169"/>
      <c r="AS997" s="169"/>
      <c r="AT997" s="169"/>
    </row>
    <row r="998" spans="10:46"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169"/>
      <c r="AN998" s="169"/>
      <c r="AO998" s="169"/>
      <c r="AP998" s="169"/>
      <c r="AQ998" s="169"/>
      <c r="AR998" s="169"/>
      <c r="AS998" s="169"/>
      <c r="AT998" s="169"/>
    </row>
    <row r="999" spans="10:46"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169"/>
      <c r="AN999" s="169"/>
      <c r="AO999" s="169"/>
      <c r="AP999" s="169"/>
      <c r="AQ999" s="169"/>
      <c r="AR999" s="169"/>
      <c r="AS999" s="169"/>
      <c r="AT999" s="169"/>
    </row>
    <row r="1000" spans="10:46"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169"/>
      <c r="AN1000" s="169"/>
      <c r="AO1000" s="169"/>
      <c r="AP1000" s="169"/>
      <c r="AQ1000" s="169"/>
      <c r="AR1000" s="169"/>
      <c r="AS1000" s="169"/>
      <c r="AT1000" s="169"/>
    </row>
    <row r="1001" spans="10:46"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169"/>
      <c r="AN1001" s="169"/>
      <c r="AO1001" s="169"/>
      <c r="AP1001" s="169"/>
      <c r="AQ1001" s="169"/>
      <c r="AR1001" s="169"/>
      <c r="AS1001" s="169"/>
      <c r="AT1001" s="169"/>
    </row>
    <row r="1002" spans="10:46"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169"/>
      <c r="AN1002" s="169"/>
      <c r="AO1002" s="169"/>
      <c r="AP1002" s="169"/>
      <c r="AQ1002" s="169"/>
      <c r="AR1002" s="169"/>
      <c r="AS1002" s="169"/>
      <c r="AT1002" s="169"/>
    </row>
    <row r="1003" spans="10:46"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169"/>
      <c r="AN1003" s="169"/>
      <c r="AO1003" s="169"/>
      <c r="AP1003" s="169"/>
      <c r="AQ1003" s="169"/>
      <c r="AR1003" s="169"/>
      <c r="AS1003" s="169"/>
      <c r="AT1003" s="169"/>
    </row>
    <row r="1004" spans="10:46"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169"/>
      <c r="AN1004" s="169"/>
      <c r="AO1004" s="169"/>
      <c r="AP1004" s="169"/>
      <c r="AQ1004" s="169"/>
      <c r="AR1004" s="169"/>
      <c r="AS1004" s="169"/>
      <c r="AT1004" s="169"/>
    </row>
    <row r="1005" spans="10:46"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169"/>
      <c r="AN1005" s="169"/>
      <c r="AO1005" s="169"/>
      <c r="AP1005" s="169"/>
      <c r="AQ1005" s="169"/>
      <c r="AR1005" s="169"/>
      <c r="AS1005" s="169"/>
      <c r="AT1005" s="169"/>
    </row>
    <row r="1006" spans="10:46"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169"/>
      <c r="AN1006" s="169"/>
      <c r="AO1006" s="169"/>
      <c r="AP1006" s="169"/>
      <c r="AQ1006" s="169"/>
      <c r="AR1006" s="169"/>
      <c r="AS1006" s="169"/>
      <c r="AT1006" s="169"/>
    </row>
    <row r="1007" spans="10:46"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169"/>
      <c r="AN1007" s="169"/>
      <c r="AO1007" s="169"/>
      <c r="AP1007" s="169"/>
      <c r="AQ1007" s="169"/>
      <c r="AR1007" s="169"/>
      <c r="AS1007" s="169"/>
      <c r="AT1007" s="169"/>
    </row>
    <row r="1008" spans="10:46"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169"/>
      <c r="AN1008" s="169"/>
      <c r="AO1008" s="169"/>
      <c r="AP1008" s="169"/>
      <c r="AQ1008" s="169"/>
      <c r="AR1008" s="169"/>
      <c r="AS1008" s="169"/>
      <c r="AT1008" s="169"/>
    </row>
    <row r="1009" spans="10:46"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169"/>
      <c r="AN1009" s="169"/>
      <c r="AO1009" s="169"/>
      <c r="AP1009" s="169"/>
      <c r="AQ1009" s="169"/>
      <c r="AR1009" s="169"/>
      <c r="AS1009" s="169"/>
      <c r="AT1009" s="169"/>
    </row>
    <row r="1010" spans="10:46"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169"/>
      <c r="AN1010" s="169"/>
      <c r="AO1010" s="169"/>
      <c r="AP1010" s="169"/>
      <c r="AQ1010" s="169"/>
      <c r="AR1010" s="169"/>
      <c r="AS1010" s="169"/>
      <c r="AT1010" s="169"/>
    </row>
    <row r="1011" spans="10:46"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169"/>
      <c r="AN1011" s="169"/>
      <c r="AO1011" s="169"/>
      <c r="AP1011" s="169"/>
      <c r="AQ1011" s="169"/>
      <c r="AR1011" s="169"/>
      <c r="AS1011" s="169"/>
      <c r="AT1011" s="169"/>
    </row>
    <row r="1012" spans="10:46"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169"/>
      <c r="AN1012" s="169"/>
      <c r="AO1012" s="169"/>
      <c r="AP1012" s="169"/>
      <c r="AQ1012" s="169"/>
      <c r="AR1012" s="169"/>
      <c r="AS1012" s="169"/>
      <c r="AT1012" s="169"/>
    </row>
    <row r="1013" spans="10:46"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169"/>
      <c r="AN1013" s="169"/>
      <c r="AO1013" s="169"/>
      <c r="AP1013" s="169"/>
      <c r="AQ1013" s="169"/>
      <c r="AR1013" s="169"/>
      <c r="AS1013" s="169"/>
      <c r="AT1013" s="169"/>
    </row>
    <row r="1014" spans="10:46"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169"/>
      <c r="AN1014" s="169"/>
      <c r="AO1014" s="169"/>
      <c r="AP1014" s="169"/>
      <c r="AQ1014" s="169"/>
      <c r="AR1014" s="169"/>
      <c r="AS1014" s="169"/>
      <c r="AT1014" s="169"/>
    </row>
    <row r="1015" spans="10:46"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169"/>
      <c r="AN1015" s="169"/>
      <c r="AO1015" s="169"/>
      <c r="AP1015" s="169"/>
      <c r="AQ1015" s="169"/>
      <c r="AR1015" s="169"/>
      <c r="AS1015" s="169"/>
      <c r="AT1015" s="169"/>
    </row>
    <row r="1016" spans="10:46"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  <c r="AL1016" s="64"/>
      <c r="AM1016" s="169"/>
      <c r="AN1016" s="169"/>
      <c r="AO1016" s="169"/>
      <c r="AP1016" s="169"/>
      <c r="AQ1016" s="169"/>
      <c r="AR1016" s="169"/>
      <c r="AS1016" s="169"/>
      <c r="AT1016" s="169"/>
    </row>
    <row r="1017" spans="10:46"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  <c r="AD1017" s="64"/>
      <c r="AE1017" s="64"/>
      <c r="AF1017" s="64"/>
      <c r="AG1017" s="64"/>
      <c r="AH1017" s="64"/>
      <c r="AI1017" s="64"/>
      <c r="AJ1017" s="64"/>
      <c r="AK1017" s="64"/>
      <c r="AL1017" s="64"/>
      <c r="AM1017" s="169"/>
      <c r="AN1017" s="169"/>
      <c r="AO1017" s="169"/>
      <c r="AP1017" s="169"/>
      <c r="AQ1017" s="169"/>
      <c r="AR1017" s="169"/>
      <c r="AS1017" s="169"/>
      <c r="AT1017" s="169"/>
    </row>
    <row r="1018" spans="10:46"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  <c r="AD1018" s="64"/>
      <c r="AE1018" s="64"/>
      <c r="AF1018" s="64"/>
      <c r="AG1018" s="64"/>
      <c r="AH1018" s="64"/>
      <c r="AI1018" s="64"/>
      <c r="AJ1018" s="64"/>
      <c r="AK1018" s="64"/>
      <c r="AL1018" s="64"/>
      <c r="AM1018" s="169"/>
      <c r="AN1018" s="169"/>
      <c r="AO1018" s="169"/>
      <c r="AP1018" s="169"/>
      <c r="AQ1018" s="169"/>
      <c r="AR1018" s="169"/>
      <c r="AS1018" s="169"/>
      <c r="AT1018" s="169"/>
    </row>
    <row r="1019" spans="10:46"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  <c r="AD1019" s="64"/>
      <c r="AE1019" s="64"/>
      <c r="AF1019" s="64"/>
      <c r="AG1019" s="64"/>
      <c r="AH1019" s="64"/>
      <c r="AI1019" s="64"/>
      <c r="AJ1019" s="64"/>
      <c r="AK1019" s="64"/>
      <c r="AL1019" s="64"/>
      <c r="AM1019" s="169"/>
      <c r="AN1019" s="169"/>
      <c r="AO1019" s="169"/>
      <c r="AP1019" s="169"/>
      <c r="AQ1019" s="169"/>
      <c r="AR1019" s="169"/>
      <c r="AS1019" s="169"/>
      <c r="AT1019" s="169"/>
    </row>
    <row r="1020" spans="10:46"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  <c r="AD1020" s="64"/>
      <c r="AE1020" s="64"/>
      <c r="AF1020" s="64"/>
      <c r="AG1020" s="64"/>
      <c r="AH1020" s="64"/>
      <c r="AI1020" s="64"/>
      <c r="AJ1020" s="64"/>
      <c r="AK1020" s="64"/>
      <c r="AL1020" s="64"/>
      <c r="AM1020" s="169"/>
      <c r="AN1020" s="169"/>
      <c r="AO1020" s="169"/>
      <c r="AP1020" s="169"/>
      <c r="AQ1020" s="169"/>
      <c r="AR1020" s="169"/>
      <c r="AS1020" s="169"/>
      <c r="AT1020" s="169"/>
    </row>
    <row r="1021" spans="10:46"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  <c r="AD1021" s="64"/>
      <c r="AE1021" s="64"/>
      <c r="AF1021" s="64"/>
      <c r="AG1021" s="64"/>
      <c r="AH1021" s="64"/>
      <c r="AI1021" s="64"/>
      <c r="AJ1021" s="64"/>
      <c r="AK1021" s="64"/>
      <c r="AL1021" s="64"/>
      <c r="AM1021" s="169"/>
      <c r="AN1021" s="169"/>
      <c r="AO1021" s="169"/>
      <c r="AP1021" s="169"/>
      <c r="AQ1021" s="169"/>
      <c r="AR1021" s="169"/>
      <c r="AS1021" s="169"/>
      <c r="AT1021" s="169"/>
    </row>
    <row r="1022" spans="10:46"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 s="64"/>
      <c r="AE1022" s="64"/>
      <c r="AF1022" s="64"/>
      <c r="AG1022" s="64"/>
      <c r="AH1022" s="64"/>
      <c r="AI1022" s="64"/>
      <c r="AJ1022" s="64"/>
      <c r="AK1022" s="64"/>
      <c r="AL1022" s="64"/>
      <c r="AM1022" s="169"/>
      <c r="AN1022" s="169"/>
      <c r="AO1022" s="169"/>
      <c r="AP1022" s="169"/>
      <c r="AQ1022" s="169"/>
      <c r="AR1022" s="169"/>
      <c r="AS1022" s="169"/>
      <c r="AT1022" s="169"/>
    </row>
    <row r="1023" spans="10:46"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  <c r="AD1023" s="64"/>
      <c r="AE1023" s="64"/>
      <c r="AF1023" s="64"/>
      <c r="AG1023" s="64"/>
      <c r="AH1023" s="64"/>
      <c r="AI1023" s="64"/>
      <c r="AJ1023" s="64"/>
      <c r="AK1023" s="64"/>
      <c r="AL1023" s="64"/>
      <c r="AM1023" s="169"/>
      <c r="AN1023" s="169"/>
      <c r="AO1023" s="169"/>
      <c r="AP1023" s="169"/>
      <c r="AQ1023" s="169"/>
      <c r="AR1023" s="169"/>
      <c r="AS1023" s="169"/>
      <c r="AT1023" s="169"/>
    </row>
    <row r="1024" spans="10:46"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  <c r="AD1024" s="64"/>
      <c r="AE1024" s="64"/>
      <c r="AF1024" s="64"/>
      <c r="AG1024" s="64"/>
      <c r="AH1024" s="64"/>
      <c r="AI1024" s="64"/>
      <c r="AJ1024" s="64"/>
      <c r="AK1024" s="64"/>
      <c r="AL1024" s="64"/>
      <c r="AM1024" s="169"/>
      <c r="AN1024" s="169"/>
      <c r="AO1024" s="169"/>
      <c r="AP1024" s="169"/>
      <c r="AQ1024" s="169"/>
      <c r="AR1024" s="169"/>
      <c r="AS1024" s="169"/>
      <c r="AT1024" s="169"/>
    </row>
    <row r="1025" spans="10:46"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  <c r="AD1025" s="64"/>
      <c r="AE1025" s="64"/>
      <c r="AF1025" s="64"/>
      <c r="AG1025" s="64"/>
      <c r="AH1025" s="64"/>
      <c r="AI1025" s="64"/>
      <c r="AJ1025" s="64"/>
      <c r="AK1025" s="64"/>
      <c r="AL1025" s="64"/>
      <c r="AM1025" s="169"/>
      <c r="AN1025" s="169"/>
      <c r="AO1025" s="169"/>
      <c r="AP1025" s="169"/>
      <c r="AQ1025" s="169"/>
      <c r="AR1025" s="169"/>
      <c r="AS1025" s="169"/>
      <c r="AT1025" s="169"/>
    </row>
    <row r="1026" spans="10:46"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  <c r="AB1026" s="64"/>
      <c r="AC1026" s="64"/>
      <c r="AD1026" s="64"/>
      <c r="AE1026" s="64"/>
      <c r="AF1026" s="64"/>
      <c r="AG1026" s="64"/>
      <c r="AH1026" s="64"/>
      <c r="AI1026" s="64"/>
      <c r="AJ1026" s="64"/>
      <c r="AK1026" s="64"/>
      <c r="AL1026" s="64"/>
      <c r="AM1026" s="169"/>
      <c r="AN1026" s="169"/>
      <c r="AO1026" s="169"/>
      <c r="AP1026" s="169"/>
      <c r="AQ1026" s="169"/>
      <c r="AR1026" s="169"/>
      <c r="AS1026" s="169"/>
      <c r="AT1026" s="169"/>
    </row>
    <row r="1027" spans="10:46"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  <c r="AA1027" s="64"/>
      <c r="AB1027" s="64"/>
      <c r="AC1027" s="64"/>
      <c r="AD1027" s="64"/>
      <c r="AE1027" s="64"/>
      <c r="AF1027" s="64"/>
      <c r="AG1027" s="64"/>
      <c r="AH1027" s="64"/>
      <c r="AI1027" s="64"/>
      <c r="AJ1027" s="64"/>
      <c r="AK1027" s="64"/>
      <c r="AL1027" s="64"/>
      <c r="AM1027" s="169"/>
      <c r="AN1027" s="169"/>
      <c r="AO1027" s="169"/>
      <c r="AP1027" s="169"/>
      <c r="AQ1027" s="169"/>
      <c r="AR1027" s="169"/>
      <c r="AS1027" s="169"/>
      <c r="AT1027" s="169"/>
    </row>
    <row r="1028" spans="10:46"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  <c r="AB1028" s="64"/>
      <c r="AC1028" s="64"/>
      <c r="AD1028" s="64"/>
      <c r="AE1028" s="64"/>
      <c r="AF1028" s="64"/>
      <c r="AG1028" s="64"/>
      <c r="AH1028" s="64"/>
      <c r="AI1028" s="64"/>
      <c r="AJ1028" s="64"/>
      <c r="AK1028" s="64"/>
      <c r="AL1028" s="64"/>
      <c r="AM1028" s="169"/>
      <c r="AN1028" s="169"/>
      <c r="AO1028" s="169"/>
      <c r="AP1028" s="169"/>
      <c r="AQ1028" s="169"/>
      <c r="AR1028" s="169"/>
      <c r="AS1028" s="169"/>
      <c r="AT1028" s="169"/>
    </row>
    <row r="1029" spans="10:46"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  <c r="AA1029" s="64"/>
      <c r="AB1029" s="64"/>
      <c r="AC1029" s="64"/>
      <c r="AD1029" s="64"/>
      <c r="AE1029" s="64"/>
      <c r="AF1029" s="64"/>
      <c r="AG1029" s="64"/>
      <c r="AH1029" s="64"/>
      <c r="AI1029" s="64"/>
      <c r="AJ1029" s="64"/>
      <c r="AK1029" s="64"/>
      <c r="AL1029" s="64"/>
      <c r="AM1029" s="169"/>
      <c r="AN1029" s="169"/>
      <c r="AO1029" s="169"/>
      <c r="AP1029" s="169"/>
      <c r="AQ1029" s="169"/>
      <c r="AR1029" s="169"/>
      <c r="AS1029" s="169"/>
      <c r="AT1029" s="169"/>
    </row>
    <row r="1030" spans="10:46"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  <c r="AA1030" s="64"/>
      <c r="AB1030" s="64"/>
      <c r="AC1030" s="64"/>
      <c r="AD1030" s="64"/>
      <c r="AE1030" s="64"/>
      <c r="AF1030" s="64"/>
      <c r="AG1030" s="64"/>
      <c r="AH1030" s="64"/>
      <c r="AI1030" s="64"/>
      <c r="AJ1030" s="64"/>
      <c r="AK1030" s="64"/>
      <c r="AL1030" s="64"/>
      <c r="AM1030" s="169"/>
      <c r="AN1030" s="169"/>
      <c r="AO1030" s="169"/>
      <c r="AP1030" s="169"/>
      <c r="AQ1030" s="169"/>
      <c r="AR1030" s="169"/>
      <c r="AS1030" s="169"/>
      <c r="AT1030" s="169"/>
    </row>
    <row r="1031" spans="10:46"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  <c r="AA1031" s="64"/>
      <c r="AB1031" s="64"/>
      <c r="AC1031" s="64"/>
      <c r="AD1031" s="64"/>
      <c r="AE1031" s="64"/>
      <c r="AF1031" s="64"/>
      <c r="AG1031" s="64"/>
      <c r="AH1031" s="64"/>
      <c r="AI1031" s="64"/>
      <c r="AJ1031" s="64"/>
      <c r="AK1031" s="64"/>
      <c r="AL1031" s="64"/>
      <c r="AM1031" s="169"/>
      <c r="AN1031" s="169"/>
      <c r="AO1031" s="169"/>
      <c r="AP1031" s="169"/>
      <c r="AQ1031" s="169"/>
      <c r="AR1031" s="169"/>
      <c r="AS1031" s="169"/>
      <c r="AT1031" s="169"/>
    </row>
    <row r="1032" spans="10:46"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  <c r="AB1032" s="64"/>
      <c r="AC1032" s="64"/>
      <c r="AD1032" s="64"/>
      <c r="AE1032" s="64"/>
      <c r="AF1032" s="64"/>
      <c r="AG1032" s="64"/>
      <c r="AH1032" s="64"/>
      <c r="AI1032" s="64"/>
      <c r="AJ1032" s="64"/>
      <c r="AK1032" s="64"/>
      <c r="AL1032" s="64"/>
      <c r="AM1032" s="169"/>
      <c r="AN1032" s="169"/>
      <c r="AO1032" s="169"/>
      <c r="AP1032" s="169"/>
      <c r="AQ1032" s="169"/>
      <c r="AR1032" s="169"/>
      <c r="AS1032" s="169"/>
      <c r="AT1032" s="169"/>
    </row>
    <row r="1033" spans="10:46"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  <c r="AA1033" s="64"/>
      <c r="AB1033" s="64"/>
      <c r="AC1033" s="64"/>
      <c r="AD1033" s="64"/>
      <c r="AE1033" s="64"/>
      <c r="AF1033" s="64"/>
      <c r="AG1033" s="64"/>
      <c r="AH1033" s="64"/>
      <c r="AI1033" s="64"/>
      <c r="AJ1033" s="64"/>
      <c r="AK1033" s="64"/>
      <c r="AL1033" s="64"/>
      <c r="AM1033" s="169"/>
      <c r="AN1033" s="169"/>
      <c r="AO1033" s="169"/>
      <c r="AP1033" s="169"/>
      <c r="AQ1033" s="169"/>
      <c r="AR1033" s="169"/>
      <c r="AS1033" s="169"/>
      <c r="AT1033" s="169"/>
    </row>
    <row r="1034" spans="10:46"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  <c r="AA1034" s="64"/>
      <c r="AB1034" s="64"/>
      <c r="AC1034" s="64"/>
      <c r="AD1034" s="64"/>
      <c r="AE1034" s="64"/>
      <c r="AF1034" s="64"/>
      <c r="AG1034" s="64"/>
      <c r="AH1034" s="64"/>
      <c r="AI1034" s="64"/>
      <c r="AJ1034" s="64"/>
      <c r="AK1034" s="64"/>
      <c r="AL1034" s="64"/>
      <c r="AM1034" s="169"/>
      <c r="AN1034" s="169"/>
      <c r="AO1034" s="169"/>
      <c r="AP1034" s="169"/>
      <c r="AQ1034" s="169"/>
      <c r="AR1034" s="169"/>
      <c r="AS1034" s="169"/>
      <c r="AT1034" s="169"/>
    </row>
    <row r="1035" spans="10:46"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  <c r="AB1035" s="64"/>
      <c r="AC1035" s="64"/>
      <c r="AD1035" s="64"/>
      <c r="AE1035" s="64"/>
      <c r="AF1035" s="64"/>
      <c r="AG1035" s="64"/>
      <c r="AH1035" s="64"/>
      <c r="AI1035" s="64"/>
      <c r="AJ1035" s="64"/>
      <c r="AK1035" s="64"/>
      <c r="AL1035" s="64"/>
      <c r="AM1035" s="169"/>
      <c r="AN1035" s="169"/>
      <c r="AO1035" s="169"/>
      <c r="AP1035" s="169"/>
      <c r="AQ1035" s="169"/>
      <c r="AR1035" s="169"/>
      <c r="AS1035" s="169"/>
      <c r="AT1035" s="169"/>
    </row>
    <row r="1036" spans="10:46"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  <c r="W1036" s="64"/>
      <c r="X1036" s="64"/>
      <c r="Y1036" s="64"/>
      <c r="Z1036" s="64"/>
      <c r="AA1036" s="64"/>
      <c r="AB1036" s="64"/>
      <c r="AC1036" s="64"/>
      <c r="AD1036" s="64"/>
      <c r="AE1036" s="64"/>
      <c r="AF1036" s="64"/>
      <c r="AG1036" s="64"/>
      <c r="AH1036" s="64"/>
      <c r="AI1036" s="64"/>
      <c r="AJ1036" s="64"/>
      <c r="AK1036" s="64"/>
      <c r="AL1036" s="64"/>
      <c r="AM1036" s="169"/>
      <c r="AN1036" s="169"/>
      <c r="AO1036" s="169"/>
      <c r="AP1036" s="169"/>
      <c r="AQ1036" s="169"/>
      <c r="AR1036" s="169"/>
      <c r="AS1036" s="169"/>
      <c r="AT1036" s="169"/>
    </row>
    <row r="1037" spans="10:46"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  <c r="W1037" s="64"/>
      <c r="X1037" s="64"/>
      <c r="Y1037" s="64"/>
      <c r="Z1037" s="64"/>
      <c r="AA1037" s="64"/>
      <c r="AB1037" s="64"/>
      <c r="AC1037" s="64"/>
      <c r="AD1037" s="64"/>
      <c r="AE1037" s="64"/>
      <c r="AF1037" s="64"/>
      <c r="AG1037" s="64"/>
      <c r="AH1037" s="64"/>
      <c r="AI1037" s="64"/>
      <c r="AJ1037" s="64"/>
      <c r="AK1037" s="64"/>
      <c r="AL1037" s="64"/>
      <c r="AM1037" s="169"/>
      <c r="AN1037" s="169"/>
      <c r="AO1037" s="169"/>
      <c r="AP1037" s="169"/>
      <c r="AQ1037" s="169"/>
      <c r="AR1037" s="169"/>
      <c r="AS1037" s="169"/>
      <c r="AT1037" s="169"/>
    </row>
    <row r="1038" spans="10:46">
      <c r="J1038" s="64"/>
      <c r="K1038" s="64"/>
      <c r="L1038" s="64"/>
      <c r="M1038" s="64"/>
      <c r="N1038" s="64"/>
      <c r="O1038" s="64"/>
      <c r="P1038" s="64"/>
      <c r="Q1038" s="64"/>
      <c r="R1038" s="64"/>
      <c r="S1038" s="64"/>
      <c r="T1038" s="64"/>
      <c r="U1038" s="64"/>
      <c r="V1038" s="64"/>
      <c r="W1038" s="64"/>
      <c r="X1038" s="64"/>
      <c r="Y1038" s="64"/>
      <c r="Z1038" s="64"/>
      <c r="AA1038" s="64"/>
      <c r="AB1038" s="64"/>
      <c r="AC1038" s="64"/>
      <c r="AD1038" s="64"/>
      <c r="AE1038" s="64"/>
      <c r="AF1038" s="64"/>
      <c r="AG1038" s="64"/>
      <c r="AH1038" s="64"/>
      <c r="AI1038" s="64"/>
      <c r="AJ1038" s="64"/>
      <c r="AK1038" s="64"/>
      <c r="AL1038" s="64"/>
      <c r="AM1038" s="169"/>
      <c r="AN1038" s="169"/>
      <c r="AO1038" s="169"/>
      <c r="AP1038" s="169"/>
      <c r="AQ1038" s="169"/>
      <c r="AR1038" s="169"/>
      <c r="AS1038" s="169"/>
      <c r="AT1038" s="169"/>
    </row>
    <row r="1039" spans="10:46">
      <c r="J1039" s="64"/>
      <c r="K1039" s="64"/>
      <c r="L1039" s="64"/>
      <c r="M1039" s="64"/>
      <c r="N1039" s="64"/>
      <c r="O1039" s="64"/>
      <c r="P1039" s="64"/>
      <c r="Q1039" s="64"/>
      <c r="R1039" s="64"/>
      <c r="S1039" s="64"/>
      <c r="T1039" s="64"/>
      <c r="U1039" s="64"/>
      <c r="V1039" s="64"/>
      <c r="W1039" s="64"/>
      <c r="X1039" s="64"/>
      <c r="Y1039" s="64"/>
      <c r="Z1039" s="64"/>
      <c r="AA1039" s="64"/>
      <c r="AB1039" s="64"/>
      <c r="AC1039" s="64"/>
      <c r="AD1039" s="64"/>
      <c r="AE1039" s="64"/>
      <c r="AF1039" s="64"/>
      <c r="AG1039" s="64"/>
      <c r="AH1039" s="64"/>
      <c r="AI1039" s="64"/>
      <c r="AJ1039" s="64"/>
      <c r="AK1039" s="64"/>
      <c r="AL1039" s="64"/>
      <c r="AM1039" s="169"/>
      <c r="AN1039" s="169"/>
      <c r="AO1039" s="169"/>
      <c r="AP1039" s="169"/>
      <c r="AQ1039" s="169"/>
      <c r="AR1039" s="169"/>
      <c r="AS1039" s="169"/>
      <c r="AT1039" s="169"/>
    </row>
    <row r="1040" spans="10:46">
      <c r="J1040" s="64"/>
      <c r="K1040" s="64"/>
      <c r="L1040" s="64"/>
      <c r="M1040" s="64"/>
      <c r="N1040" s="64"/>
      <c r="O1040" s="64"/>
      <c r="P1040" s="64"/>
      <c r="Q1040" s="64"/>
      <c r="R1040" s="64"/>
      <c r="S1040" s="64"/>
      <c r="T1040" s="64"/>
      <c r="U1040" s="64"/>
      <c r="V1040" s="64"/>
      <c r="W1040" s="64"/>
      <c r="X1040" s="64"/>
      <c r="Y1040" s="64"/>
      <c r="Z1040" s="64"/>
      <c r="AA1040" s="64"/>
      <c r="AB1040" s="64"/>
      <c r="AC1040" s="64"/>
      <c r="AD1040" s="64"/>
      <c r="AE1040" s="64"/>
      <c r="AF1040" s="64"/>
      <c r="AG1040" s="64"/>
      <c r="AH1040" s="64"/>
      <c r="AI1040" s="64"/>
      <c r="AJ1040" s="64"/>
      <c r="AK1040" s="64"/>
      <c r="AL1040" s="64"/>
      <c r="AM1040" s="169"/>
      <c r="AN1040" s="169"/>
      <c r="AO1040" s="169"/>
      <c r="AP1040" s="169"/>
      <c r="AQ1040" s="169"/>
      <c r="AR1040" s="169"/>
      <c r="AS1040" s="169"/>
      <c r="AT1040" s="169"/>
    </row>
    <row r="1041" spans="10:46">
      <c r="J1041" s="64"/>
      <c r="K1041" s="64"/>
      <c r="L1041" s="64"/>
      <c r="M1041" s="64"/>
      <c r="N1041" s="64"/>
      <c r="O1041" s="64"/>
      <c r="P1041" s="64"/>
      <c r="Q1041" s="64"/>
      <c r="R1041" s="64"/>
      <c r="S1041" s="64"/>
      <c r="T1041" s="64"/>
      <c r="U1041" s="64"/>
      <c r="V1041" s="64"/>
      <c r="W1041" s="64"/>
      <c r="X1041" s="64"/>
      <c r="Y1041" s="64"/>
      <c r="Z1041" s="64"/>
      <c r="AA1041" s="64"/>
      <c r="AB1041" s="64"/>
      <c r="AC1041" s="64"/>
      <c r="AD1041" s="64"/>
      <c r="AE1041" s="64"/>
      <c r="AF1041" s="64"/>
      <c r="AG1041" s="64"/>
      <c r="AH1041" s="64"/>
      <c r="AI1041" s="64"/>
      <c r="AJ1041" s="64"/>
      <c r="AK1041" s="64"/>
      <c r="AL1041" s="64"/>
      <c r="AM1041" s="169"/>
      <c r="AN1041" s="169"/>
      <c r="AO1041" s="169"/>
      <c r="AP1041" s="169"/>
      <c r="AQ1041" s="169"/>
      <c r="AR1041" s="169"/>
      <c r="AS1041" s="169"/>
      <c r="AT1041" s="169"/>
    </row>
    <row r="1042" spans="10:46">
      <c r="J1042" s="64"/>
      <c r="K1042" s="64"/>
      <c r="L1042" s="64"/>
      <c r="M1042" s="64"/>
      <c r="N1042" s="64"/>
      <c r="O1042" s="64"/>
      <c r="P1042" s="64"/>
      <c r="Q1042" s="64"/>
      <c r="R1042" s="64"/>
      <c r="S1042" s="64"/>
      <c r="T1042" s="64"/>
      <c r="U1042" s="64"/>
      <c r="V1042" s="64"/>
      <c r="W1042" s="64"/>
      <c r="X1042" s="64"/>
      <c r="Y1042" s="64"/>
      <c r="Z1042" s="64"/>
      <c r="AA1042" s="64"/>
      <c r="AB1042" s="64"/>
      <c r="AC1042" s="64"/>
      <c r="AD1042" s="64"/>
      <c r="AE1042" s="64"/>
      <c r="AF1042" s="64"/>
      <c r="AG1042" s="64"/>
      <c r="AH1042" s="64"/>
      <c r="AI1042" s="64"/>
      <c r="AJ1042" s="64"/>
      <c r="AK1042" s="64"/>
      <c r="AL1042" s="64"/>
      <c r="AM1042" s="169"/>
      <c r="AN1042" s="169"/>
      <c r="AO1042" s="169"/>
      <c r="AP1042" s="169"/>
      <c r="AQ1042" s="169"/>
      <c r="AR1042" s="169"/>
      <c r="AS1042" s="169"/>
      <c r="AT1042" s="169"/>
    </row>
    <row r="1043" spans="10:46">
      <c r="J1043" s="64"/>
      <c r="K1043" s="64"/>
      <c r="L1043" s="64"/>
      <c r="M1043" s="64"/>
      <c r="N1043" s="64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  <c r="AA1043" s="64"/>
      <c r="AB1043" s="64"/>
      <c r="AC1043" s="64"/>
      <c r="AD1043" s="64"/>
      <c r="AE1043" s="64"/>
      <c r="AF1043" s="64"/>
      <c r="AG1043" s="64"/>
      <c r="AH1043" s="64"/>
      <c r="AI1043" s="64"/>
      <c r="AJ1043" s="64"/>
      <c r="AK1043" s="64"/>
      <c r="AL1043" s="64"/>
      <c r="AM1043" s="169"/>
      <c r="AN1043" s="169"/>
      <c r="AO1043" s="169"/>
      <c r="AP1043" s="169"/>
      <c r="AQ1043" s="169"/>
      <c r="AR1043" s="169"/>
      <c r="AS1043" s="169"/>
      <c r="AT1043" s="169"/>
    </row>
    <row r="1044" spans="10:46"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  <c r="V1044" s="64"/>
      <c r="W1044" s="64"/>
      <c r="X1044" s="64"/>
      <c r="Y1044" s="64"/>
      <c r="Z1044" s="64"/>
      <c r="AA1044" s="64"/>
      <c r="AB1044" s="64"/>
      <c r="AC1044" s="64"/>
      <c r="AD1044" s="64"/>
      <c r="AE1044" s="64"/>
      <c r="AF1044" s="64"/>
      <c r="AG1044" s="64"/>
      <c r="AH1044" s="64"/>
      <c r="AI1044" s="64"/>
      <c r="AJ1044" s="64"/>
      <c r="AK1044" s="64"/>
      <c r="AL1044" s="64"/>
      <c r="AM1044" s="169"/>
      <c r="AN1044" s="169"/>
      <c r="AO1044" s="169"/>
      <c r="AP1044" s="169"/>
      <c r="AQ1044" s="169"/>
      <c r="AR1044" s="169"/>
      <c r="AS1044" s="169"/>
      <c r="AT1044" s="169"/>
    </row>
    <row r="1045" spans="10:46">
      <c r="J1045" s="64"/>
      <c r="K1045" s="64"/>
      <c r="L1045" s="64"/>
      <c r="M1045" s="64"/>
      <c r="N1045" s="64"/>
      <c r="O1045" s="64"/>
      <c r="P1045" s="64"/>
      <c r="Q1045" s="64"/>
      <c r="R1045" s="64"/>
      <c r="S1045" s="64"/>
      <c r="T1045" s="64"/>
      <c r="U1045" s="64"/>
      <c r="V1045" s="64"/>
      <c r="W1045" s="64"/>
      <c r="X1045" s="64"/>
      <c r="Y1045" s="64"/>
      <c r="Z1045" s="64"/>
      <c r="AA1045" s="64"/>
      <c r="AB1045" s="64"/>
      <c r="AC1045" s="64"/>
      <c r="AD1045" s="64"/>
      <c r="AE1045" s="64"/>
      <c r="AF1045" s="64"/>
      <c r="AG1045" s="64"/>
      <c r="AH1045" s="64"/>
      <c r="AI1045" s="64"/>
      <c r="AJ1045" s="64"/>
      <c r="AK1045" s="64"/>
      <c r="AL1045" s="64"/>
      <c r="AM1045" s="169"/>
      <c r="AN1045" s="169"/>
      <c r="AO1045" s="169"/>
      <c r="AP1045" s="169"/>
      <c r="AQ1045" s="169"/>
      <c r="AR1045" s="169"/>
      <c r="AS1045" s="169"/>
      <c r="AT1045" s="169"/>
    </row>
    <row r="1046" spans="10:46">
      <c r="J1046" s="64"/>
      <c r="K1046" s="64"/>
      <c r="L1046" s="64"/>
      <c r="M1046" s="64"/>
      <c r="N1046" s="64"/>
      <c r="O1046" s="64"/>
      <c r="P1046" s="64"/>
      <c r="Q1046" s="64"/>
      <c r="R1046" s="64"/>
      <c r="S1046" s="64"/>
      <c r="T1046" s="64"/>
      <c r="U1046" s="64"/>
      <c r="V1046" s="64"/>
      <c r="W1046" s="64"/>
      <c r="X1046" s="64"/>
      <c r="Y1046" s="64"/>
      <c r="Z1046" s="64"/>
      <c r="AA1046" s="64"/>
      <c r="AB1046" s="64"/>
      <c r="AC1046" s="64"/>
      <c r="AD1046" s="64"/>
      <c r="AE1046" s="64"/>
      <c r="AF1046" s="64"/>
      <c r="AG1046" s="64"/>
      <c r="AH1046" s="64"/>
      <c r="AI1046" s="64"/>
      <c r="AJ1046" s="64"/>
      <c r="AK1046" s="64"/>
      <c r="AL1046" s="64"/>
      <c r="AM1046" s="169"/>
      <c r="AN1046" s="169"/>
      <c r="AO1046" s="169"/>
      <c r="AP1046" s="169"/>
      <c r="AQ1046" s="169"/>
      <c r="AR1046" s="169"/>
      <c r="AS1046" s="169"/>
      <c r="AT1046" s="169"/>
    </row>
    <row r="1047" spans="10:46">
      <c r="J1047" s="64"/>
      <c r="K1047" s="64"/>
      <c r="L1047" s="64"/>
      <c r="M1047" s="64"/>
      <c r="N1047" s="64"/>
      <c r="O1047" s="64"/>
      <c r="P1047" s="64"/>
      <c r="Q1047" s="64"/>
      <c r="R1047" s="64"/>
      <c r="S1047" s="64"/>
      <c r="T1047" s="64"/>
      <c r="U1047" s="64"/>
      <c r="V1047" s="64"/>
      <c r="W1047" s="64"/>
      <c r="X1047" s="64"/>
      <c r="Y1047" s="64"/>
      <c r="Z1047" s="64"/>
      <c r="AA1047" s="64"/>
      <c r="AB1047" s="64"/>
      <c r="AC1047" s="64"/>
      <c r="AD1047" s="64"/>
      <c r="AE1047" s="64"/>
      <c r="AF1047" s="64"/>
      <c r="AG1047" s="64"/>
      <c r="AH1047" s="64"/>
      <c r="AI1047" s="64"/>
      <c r="AJ1047" s="64"/>
      <c r="AK1047" s="64"/>
      <c r="AL1047" s="64"/>
      <c r="AM1047" s="169"/>
      <c r="AN1047" s="169"/>
      <c r="AO1047" s="169"/>
      <c r="AP1047" s="169"/>
      <c r="AQ1047" s="169"/>
      <c r="AR1047" s="169"/>
      <c r="AS1047" s="169"/>
      <c r="AT1047" s="169"/>
    </row>
    <row r="1048" spans="10:46">
      <c r="J1048" s="64"/>
      <c r="K1048" s="64"/>
      <c r="L1048" s="64"/>
      <c r="M1048" s="64"/>
      <c r="N1048" s="64"/>
      <c r="O1048" s="64"/>
      <c r="P1048" s="64"/>
      <c r="Q1048" s="64"/>
      <c r="R1048" s="64"/>
      <c r="S1048" s="64"/>
      <c r="T1048" s="64"/>
      <c r="U1048" s="64"/>
      <c r="V1048" s="64"/>
      <c r="W1048" s="64"/>
      <c r="X1048" s="64"/>
      <c r="Y1048" s="64"/>
      <c r="Z1048" s="64"/>
      <c r="AA1048" s="64"/>
      <c r="AB1048" s="64"/>
      <c r="AC1048" s="64"/>
      <c r="AD1048" s="64"/>
      <c r="AE1048" s="64"/>
      <c r="AF1048" s="64"/>
      <c r="AG1048" s="64"/>
      <c r="AH1048" s="64"/>
      <c r="AI1048" s="64"/>
      <c r="AJ1048" s="64"/>
      <c r="AK1048" s="64"/>
      <c r="AL1048" s="64"/>
      <c r="AM1048" s="169"/>
      <c r="AN1048" s="169"/>
      <c r="AO1048" s="169"/>
      <c r="AP1048" s="169"/>
      <c r="AQ1048" s="169"/>
      <c r="AR1048" s="169"/>
      <c r="AS1048" s="169"/>
      <c r="AT1048" s="169"/>
    </row>
    <row r="1049" spans="10:46">
      <c r="J1049" s="64"/>
      <c r="K1049" s="64"/>
      <c r="L1049" s="64"/>
      <c r="M1049" s="64"/>
      <c r="N1049" s="64"/>
      <c r="O1049" s="64"/>
      <c r="P1049" s="64"/>
      <c r="Q1049" s="64"/>
      <c r="R1049" s="64"/>
      <c r="S1049" s="64"/>
      <c r="T1049" s="64"/>
      <c r="U1049" s="64"/>
      <c r="V1049" s="64"/>
      <c r="W1049" s="64"/>
      <c r="X1049" s="64"/>
      <c r="Y1049" s="64"/>
      <c r="Z1049" s="64"/>
      <c r="AA1049" s="64"/>
      <c r="AB1049" s="64"/>
      <c r="AC1049" s="64"/>
      <c r="AD1049" s="64"/>
      <c r="AE1049" s="64"/>
      <c r="AF1049" s="64"/>
      <c r="AG1049" s="64"/>
      <c r="AH1049" s="64"/>
      <c r="AI1049" s="64"/>
      <c r="AJ1049" s="64"/>
      <c r="AK1049" s="64"/>
      <c r="AL1049" s="64"/>
      <c r="AM1049" s="169"/>
      <c r="AN1049" s="169"/>
      <c r="AO1049" s="169"/>
      <c r="AP1049" s="169"/>
      <c r="AQ1049" s="169"/>
      <c r="AR1049" s="169"/>
      <c r="AS1049" s="169"/>
      <c r="AT1049" s="169"/>
    </row>
    <row r="1050" spans="10:46">
      <c r="J1050" s="64"/>
      <c r="K1050" s="64"/>
      <c r="L1050" s="64"/>
      <c r="M1050" s="64"/>
      <c r="N1050" s="64"/>
      <c r="O1050" s="64"/>
      <c r="P1050" s="64"/>
      <c r="Q1050" s="64"/>
      <c r="R1050" s="64"/>
      <c r="S1050" s="64"/>
      <c r="T1050" s="64"/>
      <c r="U1050" s="64"/>
      <c r="V1050" s="64"/>
      <c r="W1050" s="64"/>
      <c r="X1050" s="64"/>
      <c r="Y1050" s="64"/>
      <c r="Z1050" s="64"/>
      <c r="AA1050" s="64"/>
      <c r="AB1050" s="64"/>
      <c r="AC1050" s="64"/>
      <c r="AD1050" s="64"/>
      <c r="AE1050" s="64"/>
      <c r="AF1050" s="64"/>
      <c r="AG1050" s="64"/>
      <c r="AH1050" s="64"/>
      <c r="AI1050" s="64"/>
      <c r="AJ1050" s="64"/>
      <c r="AK1050" s="64"/>
      <c r="AL1050" s="64"/>
      <c r="AM1050" s="169"/>
      <c r="AN1050" s="169"/>
      <c r="AO1050" s="169"/>
      <c r="AP1050" s="169"/>
      <c r="AQ1050" s="169"/>
      <c r="AR1050" s="169"/>
      <c r="AS1050" s="169"/>
      <c r="AT1050" s="169"/>
    </row>
    <row r="1051" spans="10:46">
      <c r="J1051" s="64"/>
      <c r="K1051" s="64"/>
      <c r="L1051" s="64"/>
      <c r="M1051" s="64"/>
      <c r="N1051" s="64"/>
      <c r="O1051" s="64"/>
      <c r="P1051" s="64"/>
      <c r="Q1051" s="64"/>
      <c r="R1051" s="64"/>
      <c r="S1051" s="64"/>
      <c r="T1051" s="64"/>
      <c r="U1051" s="64"/>
      <c r="V1051" s="64"/>
      <c r="W1051" s="64"/>
      <c r="X1051" s="64"/>
      <c r="Y1051" s="64"/>
      <c r="Z1051" s="64"/>
      <c r="AA1051" s="64"/>
      <c r="AB1051" s="64"/>
      <c r="AC1051" s="64"/>
      <c r="AD1051" s="64"/>
      <c r="AE1051" s="64"/>
      <c r="AF1051" s="64"/>
      <c r="AG1051" s="64"/>
      <c r="AH1051" s="64"/>
      <c r="AI1051" s="64"/>
      <c r="AJ1051" s="64"/>
      <c r="AK1051" s="64"/>
      <c r="AL1051" s="64"/>
      <c r="AM1051" s="169"/>
      <c r="AN1051" s="169"/>
      <c r="AO1051" s="169"/>
      <c r="AP1051" s="169"/>
      <c r="AQ1051" s="169"/>
      <c r="AR1051" s="169"/>
      <c r="AS1051" s="169"/>
      <c r="AT1051" s="169"/>
    </row>
    <row r="1052" spans="10:46">
      <c r="J1052" s="64"/>
      <c r="K1052" s="64"/>
      <c r="L1052" s="64"/>
      <c r="M1052" s="64"/>
      <c r="N1052" s="64"/>
      <c r="O1052" s="64"/>
      <c r="P1052" s="64"/>
      <c r="Q1052" s="64"/>
      <c r="R1052" s="64"/>
      <c r="S1052" s="64"/>
      <c r="T1052" s="64"/>
      <c r="U1052" s="64"/>
      <c r="V1052" s="64"/>
      <c r="W1052" s="64"/>
      <c r="X1052" s="64"/>
      <c r="Y1052" s="64"/>
      <c r="Z1052" s="64"/>
      <c r="AA1052" s="64"/>
      <c r="AB1052" s="64"/>
      <c r="AC1052" s="64"/>
      <c r="AD1052" s="64"/>
      <c r="AE1052" s="64"/>
      <c r="AF1052" s="64"/>
      <c r="AG1052" s="64"/>
      <c r="AH1052" s="64"/>
      <c r="AI1052" s="64"/>
      <c r="AJ1052" s="64"/>
      <c r="AK1052" s="64"/>
      <c r="AL1052" s="64"/>
      <c r="AM1052" s="169"/>
      <c r="AN1052" s="169"/>
      <c r="AO1052" s="169"/>
      <c r="AP1052" s="169"/>
      <c r="AQ1052" s="169"/>
      <c r="AR1052" s="169"/>
      <c r="AS1052" s="169"/>
      <c r="AT1052" s="169"/>
    </row>
    <row r="1053" spans="10:46">
      <c r="J1053" s="64"/>
      <c r="K1053" s="64"/>
      <c r="L1053" s="64"/>
      <c r="M1053" s="64"/>
      <c r="N1053" s="64"/>
      <c r="O1053" s="64"/>
      <c r="P1053" s="64"/>
      <c r="Q1053" s="64"/>
      <c r="R1053" s="64"/>
      <c r="S1053" s="64"/>
      <c r="T1053" s="64"/>
      <c r="U1053" s="64"/>
      <c r="V1053" s="64"/>
      <c r="W1053" s="64"/>
      <c r="X1053" s="64"/>
      <c r="Y1053" s="64"/>
      <c r="Z1053" s="64"/>
      <c r="AA1053" s="64"/>
      <c r="AB1053" s="64"/>
      <c r="AC1053" s="64"/>
      <c r="AD1053" s="64"/>
      <c r="AE1053" s="64"/>
      <c r="AF1053" s="64"/>
      <c r="AG1053" s="64"/>
      <c r="AH1053" s="64"/>
      <c r="AI1053" s="64"/>
      <c r="AJ1053" s="64"/>
      <c r="AK1053" s="64"/>
      <c r="AL1053" s="64"/>
      <c r="AM1053" s="169"/>
      <c r="AN1053" s="169"/>
      <c r="AO1053" s="169"/>
      <c r="AP1053" s="169"/>
      <c r="AQ1053" s="169"/>
      <c r="AR1053" s="169"/>
      <c r="AS1053" s="169"/>
      <c r="AT1053" s="169"/>
    </row>
    <row r="1054" spans="10:46">
      <c r="J1054" s="64"/>
      <c r="K1054" s="64"/>
      <c r="L1054" s="64"/>
      <c r="M1054" s="64"/>
      <c r="N1054" s="64"/>
      <c r="O1054" s="64"/>
      <c r="P1054" s="64"/>
      <c r="Q1054" s="64"/>
      <c r="R1054" s="64"/>
      <c r="S1054" s="64"/>
      <c r="T1054" s="64"/>
      <c r="U1054" s="64"/>
      <c r="V1054" s="64"/>
      <c r="W1054" s="64"/>
      <c r="X1054" s="64"/>
      <c r="Y1054" s="64"/>
      <c r="Z1054" s="64"/>
      <c r="AA1054" s="64"/>
      <c r="AB1054" s="64"/>
      <c r="AC1054" s="64"/>
      <c r="AD1054" s="64"/>
      <c r="AE1054" s="64"/>
      <c r="AF1054" s="64"/>
      <c r="AG1054" s="64"/>
      <c r="AH1054" s="64"/>
      <c r="AI1054" s="64"/>
      <c r="AJ1054" s="64"/>
      <c r="AK1054" s="64"/>
      <c r="AL1054" s="64"/>
      <c r="AM1054" s="169"/>
      <c r="AN1054" s="169"/>
      <c r="AO1054" s="169"/>
      <c r="AP1054" s="169"/>
      <c r="AQ1054" s="169"/>
      <c r="AR1054" s="169"/>
      <c r="AS1054" s="169"/>
      <c r="AT1054" s="169"/>
    </row>
    <row r="1055" spans="10:46">
      <c r="J1055" s="64"/>
      <c r="K1055" s="64"/>
      <c r="L1055" s="64"/>
      <c r="M1055" s="64"/>
      <c r="N1055" s="64"/>
      <c r="O1055" s="64"/>
      <c r="P1055" s="64"/>
      <c r="Q1055" s="64"/>
      <c r="R1055" s="64"/>
      <c r="S1055" s="64"/>
      <c r="T1055" s="64"/>
      <c r="U1055" s="64"/>
      <c r="V1055" s="64"/>
      <c r="W1055" s="64"/>
      <c r="X1055" s="64"/>
      <c r="Y1055" s="64"/>
      <c r="Z1055" s="64"/>
      <c r="AA1055" s="64"/>
      <c r="AB1055" s="64"/>
      <c r="AC1055" s="64"/>
      <c r="AD1055" s="64"/>
      <c r="AE1055" s="64"/>
      <c r="AF1055" s="64"/>
      <c r="AG1055" s="64"/>
      <c r="AH1055" s="64"/>
      <c r="AI1055" s="64"/>
      <c r="AJ1055" s="64"/>
      <c r="AK1055" s="64"/>
      <c r="AL1055" s="64"/>
      <c r="AM1055" s="169"/>
      <c r="AN1055" s="169"/>
      <c r="AO1055" s="169"/>
      <c r="AP1055" s="169"/>
      <c r="AQ1055" s="169"/>
      <c r="AR1055" s="169"/>
      <c r="AS1055" s="169"/>
      <c r="AT1055" s="169"/>
    </row>
    <row r="1056" spans="10:46">
      <c r="J1056" s="64"/>
      <c r="K1056" s="64"/>
      <c r="L1056" s="64"/>
      <c r="M1056" s="64"/>
      <c r="N1056" s="64"/>
      <c r="O1056" s="64"/>
      <c r="P1056" s="64"/>
      <c r="Q1056" s="64"/>
      <c r="R1056" s="64"/>
      <c r="S1056" s="64"/>
      <c r="T1056" s="64"/>
      <c r="U1056" s="64"/>
      <c r="V1056" s="64"/>
      <c r="W1056" s="64"/>
      <c r="X1056" s="64"/>
      <c r="Y1056" s="64"/>
      <c r="Z1056" s="64"/>
      <c r="AA1056" s="64"/>
      <c r="AB1056" s="64"/>
      <c r="AC1056" s="64"/>
      <c r="AD1056" s="64"/>
      <c r="AE1056" s="64"/>
      <c r="AF1056" s="64"/>
      <c r="AG1056" s="64"/>
      <c r="AH1056" s="64"/>
      <c r="AI1056" s="64"/>
      <c r="AJ1056" s="64"/>
      <c r="AK1056" s="64"/>
      <c r="AL1056" s="64"/>
      <c r="AM1056" s="169"/>
      <c r="AN1056" s="169"/>
      <c r="AO1056" s="169"/>
      <c r="AP1056" s="169"/>
      <c r="AQ1056" s="169"/>
      <c r="AR1056" s="169"/>
      <c r="AS1056" s="169"/>
      <c r="AT1056" s="169"/>
    </row>
    <row r="1057" spans="10:46">
      <c r="J1057" s="64"/>
      <c r="K1057" s="64"/>
      <c r="L1057" s="64"/>
      <c r="M1057" s="64"/>
      <c r="N1057" s="64"/>
      <c r="O1057" s="64"/>
      <c r="P1057" s="64"/>
      <c r="Q1057" s="64"/>
      <c r="R1057" s="64"/>
      <c r="S1057" s="64"/>
      <c r="T1057" s="64"/>
      <c r="U1057" s="64"/>
      <c r="V1057" s="64"/>
      <c r="W1057" s="64"/>
      <c r="X1057" s="64"/>
      <c r="Y1057" s="64"/>
      <c r="Z1057" s="64"/>
      <c r="AA1057" s="64"/>
      <c r="AB1057" s="64"/>
      <c r="AC1057" s="64"/>
      <c r="AD1057" s="64"/>
      <c r="AE1057" s="64"/>
      <c r="AF1057" s="64"/>
      <c r="AG1057" s="64"/>
      <c r="AH1057" s="64"/>
      <c r="AI1057" s="64"/>
      <c r="AJ1057" s="64"/>
      <c r="AK1057" s="64"/>
      <c r="AL1057" s="64"/>
      <c r="AM1057" s="169"/>
      <c r="AN1057" s="169"/>
      <c r="AO1057" s="169"/>
      <c r="AP1057" s="169"/>
      <c r="AQ1057" s="169"/>
      <c r="AR1057" s="169"/>
      <c r="AS1057" s="169"/>
      <c r="AT1057" s="169"/>
    </row>
    <row r="1058" spans="10:46">
      <c r="J1058" s="64"/>
      <c r="K1058" s="64"/>
      <c r="L1058" s="64"/>
      <c r="M1058" s="64"/>
      <c r="N1058" s="64"/>
      <c r="O1058" s="64"/>
      <c r="P1058" s="64"/>
      <c r="Q1058" s="64"/>
      <c r="R1058" s="64"/>
      <c r="S1058" s="64"/>
      <c r="T1058" s="64"/>
      <c r="U1058" s="64"/>
      <c r="V1058" s="64"/>
      <c r="W1058" s="64"/>
      <c r="X1058" s="64"/>
      <c r="Y1058" s="64"/>
      <c r="Z1058" s="64"/>
      <c r="AA1058" s="64"/>
      <c r="AB1058" s="64"/>
      <c r="AC1058" s="64"/>
      <c r="AD1058" s="64"/>
      <c r="AE1058" s="64"/>
      <c r="AF1058" s="64"/>
      <c r="AG1058" s="64"/>
      <c r="AH1058" s="64"/>
      <c r="AI1058" s="64"/>
      <c r="AJ1058" s="64"/>
      <c r="AK1058" s="64"/>
      <c r="AL1058" s="64"/>
      <c r="AM1058" s="169"/>
      <c r="AN1058" s="169"/>
      <c r="AO1058" s="169"/>
      <c r="AP1058" s="169"/>
      <c r="AQ1058" s="169"/>
      <c r="AR1058" s="169"/>
      <c r="AS1058" s="169"/>
      <c r="AT1058" s="169"/>
    </row>
    <row r="1059" spans="10:46">
      <c r="J1059" s="64"/>
      <c r="K1059" s="64"/>
      <c r="L1059" s="64"/>
      <c r="M1059" s="64"/>
      <c r="N1059" s="64"/>
      <c r="O1059" s="64"/>
      <c r="P1059" s="64"/>
      <c r="Q1059" s="64"/>
      <c r="R1059" s="64"/>
      <c r="S1059" s="64"/>
      <c r="T1059" s="64"/>
      <c r="U1059" s="64"/>
      <c r="V1059" s="64"/>
      <c r="W1059" s="64"/>
      <c r="X1059" s="64"/>
      <c r="Y1059" s="64"/>
      <c r="Z1059" s="64"/>
      <c r="AA1059" s="64"/>
      <c r="AB1059" s="64"/>
      <c r="AC1059" s="64"/>
      <c r="AD1059" s="64"/>
      <c r="AE1059" s="64"/>
      <c r="AF1059" s="64"/>
      <c r="AG1059" s="64"/>
      <c r="AH1059" s="64"/>
      <c r="AI1059" s="64"/>
      <c r="AJ1059" s="64"/>
      <c r="AK1059" s="64"/>
      <c r="AL1059" s="64"/>
      <c r="AM1059" s="169"/>
      <c r="AN1059" s="169"/>
      <c r="AO1059" s="169"/>
      <c r="AP1059" s="169"/>
      <c r="AQ1059" s="169"/>
      <c r="AR1059" s="169"/>
      <c r="AS1059" s="169"/>
      <c r="AT1059" s="169"/>
    </row>
    <row r="1060" spans="10:46">
      <c r="J1060" s="64"/>
      <c r="K1060" s="64"/>
      <c r="L1060" s="64"/>
      <c r="M1060" s="64"/>
      <c r="N1060" s="64"/>
      <c r="O1060" s="64"/>
      <c r="P1060" s="64"/>
      <c r="Q1060" s="64"/>
      <c r="R1060" s="64"/>
      <c r="S1060" s="64"/>
      <c r="T1060" s="64"/>
      <c r="U1060" s="64"/>
      <c r="V1060" s="64"/>
      <c r="W1060" s="64"/>
      <c r="X1060" s="64"/>
      <c r="Y1060" s="64"/>
      <c r="Z1060" s="64"/>
      <c r="AA1060" s="64"/>
      <c r="AB1060" s="64"/>
      <c r="AC1060" s="64"/>
      <c r="AD1060" s="64"/>
      <c r="AE1060" s="64"/>
      <c r="AF1060" s="64"/>
      <c r="AG1060" s="64"/>
      <c r="AH1060" s="64"/>
      <c r="AI1060" s="64"/>
      <c r="AJ1060" s="64"/>
      <c r="AK1060" s="64"/>
      <c r="AL1060" s="64"/>
      <c r="AM1060" s="169"/>
      <c r="AN1060" s="169"/>
      <c r="AO1060" s="169"/>
      <c r="AP1060" s="169"/>
      <c r="AQ1060" s="169"/>
      <c r="AR1060" s="169"/>
      <c r="AS1060" s="169"/>
      <c r="AT1060" s="169"/>
    </row>
    <row r="1061" spans="10:46">
      <c r="J1061" s="64"/>
      <c r="K1061" s="64"/>
      <c r="L1061" s="64"/>
      <c r="M1061" s="64"/>
      <c r="N1061" s="64"/>
      <c r="O1061" s="64"/>
      <c r="P1061" s="64"/>
      <c r="Q1061" s="64"/>
      <c r="R1061" s="64"/>
      <c r="S1061" s="64"/>
      <c r="T1061" s="64"/>
      <c r="U1061" s="64"/>
      <c r="V1061" s="64"/>
      <c r="W1061" s="64"/>
      <c r="X1061" s="64"/>
      <c r="Y1061" s="64"/>
      <c r="Z1061" s="64"/>
      <c r="AA1061" s="64"/>
      <c r="AB1061" s="64"/>
      <c r="AC1061" s="64"/>
      <c r="AD1061" s="64"/>
      <c r="AE1061" s="64"/>
      <c r="AF1061" s="64"/>
      <c r="AG1061" s="64"/>
      <c r="AH1061" s="64"/>
      <c r="AI1061" s="64"/>
      <c r="AJ1061" s="64"/>
      <c r="AK1061" s="64"/>
      <c r="AL1061" s="64"/>
      <c r="AM1061" s="169"/>
      <c r="AN1061" s="169"/>
      <c r="AO1061" s="169"/>
      <c r="AP1061" s="169"/>
      <c r="AQ1061" s="169"/>
      <c r="AR1061" s="169"/>
      <c r="AS1061" s="169"/>
      <c r="AT1061" s="169"/>
    </row>
    <row r="1062" spans="10:46">
      <c r="J1062" s="64"/>
      <c r="K1062" s="64"/>
      <c r="L1062" s="64"/>
      <c r="M1062" s="64"/>
      <c r="N1062" s="64"/>
      <c r="O1062" s="64"/>
      <c r="P1062" s="64"/>
      <c r="Q1062" s="64"/>
      <c r="R1062" s="64"/>
      <c r="S1062" s="64"/>
      <c r="T1062" s="64"/>
      <c r="U1062" s="64"/>
      <c r="V1062" s="64"/>
      <c r="W1062" s="64"/>
      <c r="X1062" s="64"/>
      <c r="Y1062" s="64"/>
      <c r="Z1062" s="64"/>
      <c r="AA1062" s="64"/>
      <c r="AB1062" s="64"/>
      <c r="AC1062" s="64"/>
      <c r="AD1062" s="64"/>
      <c r="AE1062" s="64"/>
      <c r="AF1062" s="64"/>
      <c r="AG1062" s="64"/>
      <c r="AH1062" s="64"/>
      <c r="AI1062" s="64"/>
      <c r="AJ1062" s="64"/>
      <c r="AK1062" s="64"/>
      <c r="AL1062" s="64"/>
      <c r="AM1062" s="169"/>
      <c r="AN1062" s="169"/>
      <c r="AO1062" s="169"/>
      <c r="AP1062" s="169"/>
      <c r="AQ1062" s="169"/>
      <c r="AR1062" s="169"/>
      <c r="AS1062" s="169"/>
      <c r="AT1062" s="169"/>
    </row>
    <row r="1063" spans="10:46">
      <c r="J1063" s="64"/>
      <c r="K1063" s="64"/>
      <c r="L1063" s="64"/>
      <c r="M1063" s="64"/>
      <c r="N1063" s="64"/>
      <c r="O1063" s="64"/>
      <c r="P1063" s="64"/>
      <c r="Q1063" s="64"/>
      <c r="R1063" s="64"/>
      <c r="S1063" s="64"/>
      <c r="T1063" s="64"/>
      <c r="U1063" s="64"/>
      <c r="V1063" s="64"/>
      <c r="W1063" s="64"/>
      <c r="X1063" s="64"/>
      <c r="Y1063" s="64"/>
      <c r="Z1063" s="64"/>
      <c r="AA1063" s="64"/>
      <c r="AB1063" s="64"/>
      <c r="AC1063" s="64"/>
      <c r="AD1063" s="64"/>
      <c r="AE1063" s="64"/>
      <c r="AF1063" s="64"/>
      <c r="AG1063" s="64"/>
      <c r="AH1063" s="64"/>
      <c r="AI1063" s="64"/>
      <c r="AJ1063" s="64"/>
      <c r="AK1063" s="64"/>
      <c r="AL1063" s="64"/>
      <c r="AM1063" s="169"/>
      <c r="AN1063" s="169"/>
      <c r="AO1063" s="169"/>
      <c r="AP1063" s="169"/>
      <c r="AQ1063" s="169"/>
      <c r="AR1063" s="169"/>
      <c r="AS1063" s="169"/>
      <c r="AT1063" s="169"/>
    </row>
    <row r="1064" spans="10:46">
      <c r="J1064" s="64"/>
      <c r="K1064" s="64"/>
      <c r="L1064" s="64"/>
      <c r="M1064" s="64"/>
      <c r="N1064" s="64"/>
      <c r="O1064" s="64"/>
      <c r="P1064" s="64"/>
      <c r="Q1064" s="64"/>
      <c r="R1064" s="64"/>
      <c r="S1064" s="64"/>
      <c r="T1064" s="64"/>
      <c r="U1064" s="64"/>
      <c r="V1064" s="64"/>
      <c r="W1064" s="64"/>
      <c r="X1064" s="64"/>
      <c r="Y1064" s="64"/>
      <c r="Z1064" s="64"/>
      <c r="AA1064" s="64"/>
      <c r="AB1064" s="64"/>
      <c r="AC1064" s="64"/>
      <c r="AD1064" s="64"/>
      <c r="AE1064" s="64"/>
      <c r="AF1064" s="64"/>
      <c r="AG1064" s="64"/>
      <c r="AH1064" s="64"/>
      <c r="AI1064" s="64"/>
      <c r="AJ1064" s="64"/>
      <c r="AK1064" s="64"/>
      <c r="AL1064" s="64"/>
      <c r="AM1064" s="169"/>
      <c r="AN1064" s="169"/>
      <c r="AO1064" s="169"/>
      <c r="AP1064" s="169"/>
      <c r="AQ1064" s="169"/>
      <c r="AR1064" s="169"/>
      <c r="AS1064" s="169"/>
      <c r="AT1064" s="169"/>
    </row>
    <row r="1065" spans="10:46">
      <c r="J1065" s="64"/>
      <c r="K1065" s="64"/>
      <c r="L1065" s="64"/>
      <c r="M1065" s="64"/>
      <c r="N1065" s="64"/>
      <c r="O1065" s="64"/>
      <c r="P1065" s="64"/>
      <c r="Q1065" s="64"/>
      <c r="R1065" s="64"/>
      <c r="S1065" s="64"/>
      <c r="T1065" s="64"/>
      <c r="U1065" s="64"/>
      <c r="V1065" s="64"/>
      <c r="W1065" s="64"/>
      <c r="X1065" s="64"/>
      <c r="Y1065" s="64"/>
      <c r="Z1065" s="64"/>
      <c r="AA1065" s="64"/>
      <c r="AB1065" s="64"/>
      <c r="AC1065" s="64"/>
      <c r="AD1065" s="64"/>
      <c r="AE1065" s="64"/>
      <c r="AF1065" s="64"/>
      <c r="AG1065" s="64"/>
      <c r="AH1065" s="64"/>
      <c r="AI1065" s="64"/>
      <c r="AJ1065" s="64"/>
      <c r="AK1065" s="64"/>
      <c r="AL1065" s="64"/>
      <c r="AM1065" s="169"/>
      <c r="AN1065" s="169"/>
      <c r="AO1065" s="169"/>
      <c r="AP1065" s="169"/>
      <c r="AQ1065" s="169"/>
      <c r="AR1065" s="169"/>
      <c r="AS1065" s="169"/>
      <c r="AT1065" s="169"/>
    </row>
    <row r="1066" spans="10:46">
      <c r="J1066" s="64"/>
      <c r="K1066" s="64"/>
      <c r="L1066" s="64"/>
      <c r="M1066" s="64"/>
      <c r="N1066" s="64"/>
      <c r="O1066" s="64"/>
      <c r="P1066" s="64"/>
      <c r="Q1066" s="64"/>
      <c r="R1066" s="64"/>
      <c r="S1066" s="64"/>
      <c r="T1066" s="64"/>
      <c r="U1066" s="64"/>
      <c r="V1066" s="64"/>
      <c r="W1066" s="64"/>
      <c r="X1066" s="64"/>
      <c r="Y1066" s="64"/>
      <c r="Z1066" s="64"/>
      <c r="AA1066" s="64"/>
      <c r="AB1066" s="64"/>
      <c r="AC1066" s="64"/>
      <c r="AD1066" s="64"/>
      <c r="AE1066" s="64"/>
      <c r="AF1066" s="64"/>
      <c r="AG1066" s="64"/>
      <c r="AH1066" s="64"/>
      <c r="AI1066" s="64"/>
      <c r="AJ1066" s="64"/>
      <c r="AK1066" s="64"/>
      <c r="AL1066" s="64"/>
      <c r="AM1066" s="169"/>
      <c r="AN1066" s="169"/>
      <c r="AO1066" s="169"/>
      <c r="AP1066" s="169"/>
      <c r="AQ1066" s="169"/>
      <c r="AR1066" s="169"/>
      <c r="AS1066" s="169"/>
      <c r="AT1066" s="169"/>
    </row>
    <row r="1067" spans="10:46">
      <c r="J1067" s="64"/>
      <c r="K1067" s="64"/>
      <c r="L1067" s="64"/>
      <c r="M1067" s="64"/>
      <c r="N1067" s="64"/>
      <c r="O1067" s="64"/>
      <c r="P1067" s="64"/>
      <c r="Q1067" s="64"/>
      <c r="R1067" s="64"/>
      <c r="S1067" s="64"/>
      <c r="T1067" s="64"/>
      <c r="U1067" s="64"/>
      <c r="V1067" s="64"/>
      <c r="W1067" s="64"/>
      <c r="X1067" s="64"/>
      <c r="Y1067" s="64"/>
      <c r="Z1067" s="64"/>
      <c r="AA1067" s="64"/>
      <c r="AB1067" s="64"/>
      <c r="AC1067" s="64"/>
      <c r="AD1067" s="64"/>
      <c r="AE1067" s="64"/>
      <c r="AF1067" s="64"/>
      <c r="AG1067" s="64"/>
      <c r="AH1067" s="64"/>
      <c r="AI1067" s="64"/>
      <c r="AJ1067" s="64"/>
      <c r="AK1067" s="64"/>
      <c r="AL1067" s="64"/>
      <c r="AM1067" s="169"/>
      <c r="AN1067" s="169"/>
      <c r="AO1067" s="169"/>
      <c r="AP1067" s="169"/>
      <c r="AQ1067" s="169"/>
      <c r="AR1067" s="169"/>
      <c r="AS1067" s="169"/>
      <c r="AT1067" s="169"/>
    </row>
    <row r="1068" spans="10:46">
      <c r="J1068" s="64"/>
      <c r="K1068" s="64"/>
      <c r="L1068" s="64"/>
      <c r="M1068" s="64"/>
      <c r="N1068" s="64"/>
      <c r="O1068" s="64"/>
      <c r="P1068" s="64"/>
      <c r="Q1068" s="64"/>
      <c r="R1068" s="64"/>
      <c r="S1068" s="64"/>
      <c r="T1068" s="64"/>
      <c r="U1068" s="64"/>
      <c r="V1068" s="64"/>
      <c r="W1068" s="64"/>
      <c r="X1068" s="64"/>
      <c r="Y1068" s="64"/>
      <c r="Z1068" s="64"/>
      <c r="AA1068" s="64"/>
      <c r="AB1068" s="64"/>
      <c r="AC1068" s="64"/>
      <c r="AD1068" s="64"/>
      <c r="AE1068" s="64"/>
      <c r="AF1068" s="64"/>
      <c r="AG1068" s="64"/>
      <c r="AH1068" s="64"/>
      <c r="AI1068" s="64"/>
      <c r="AJ1068" s="64"/>
      <c r="AK1068" s="64"/>
      <c r="AL1068" s="64"/>
      <c r="AM1068" s="169"/>
      <c r="AN1068" s="169"/>
      <c r="AO1068" s="169"/>
      <c r="AP1068" s="169"/>
      <c r="AQ1068" s="169"/>
      <c r="AR1068" s="169"/>
      <c r="AS1068" s="169"/>
      <c r="AT1068" s="169"/>
    </row>
    <row r="1069" spans="10:46">
      <c r="J1069" s="64"/>
      <c r="K1069" s="64"/>
      <c r="L1069" s="64"/>
      <c r="M1069" s="64"/>
      <c r="N1069" s="64"/>
      <c r="O1069" s="64"/>
      <c r="P1069" s="64"/>
      <c r="Q1069" s="64"/>
      <c r="R1069" s="64"/>
      <c r="S1069" s="64"/>
      <c r="T1069" s="64"/>
      <c r="U1069" s="64"/>
      <c r="V1069" s="64"/>
      <c r="W1069" s="64"/>
      <c r="X1069" s="64"/>
      <c r="Y1069" s="64"/>
      <c r="Z1069" s="64"/>
      <c r="AA1069" s="64"/>
      <c r="AB1069" s="64"/>
      <c r="AC1069" s="64"/>
      <c r="AD1069" s="64"/>
      <c r="AE1069" s="64"/>
      <c r="AF1069" s="64"/>
      <c r="AG1069" s="64"/>
      <c r="AH1069" s="64"/>
      <c r="AI1069" s="64"/>
      <c r="AJ1069" s="64"/>
      <c r="AK1069" s="64"/>
      <c r="AL1069" s="64"/>
      <c r="AM1069" s="169"/>
      <c r="AN1069" s="169"/>
      <c r="AO1069" s="169"/>
      <c r="AP1069" s="169"/>
      <c r="AQ1069" s="169"/>
      <c r="AR1069" s="169"/>
      <c r="AS1069" s="169"/>
      <c r="AT1069" s="169"/>
    </row>
    <row r="1070" spans="10:46">
      <c r="J1070" s="64"/>
      <c r="K1070" s="64"/>
      <c r="L1070" s="64"/>
      <c r="M1070" s="64"/>
      <c r="N1070" s="64"/>
      <c r="O1070" s="64"/>
      <c r="P1070" s="64"/>
      <c r="Q1070" s="64"/>
      <c r="R1070" s="64"/>
      <c r="S1070" s="64"/>
      <c r="T1070" s="64"/>
      <c r="U1070" s="64"/>
      <c r="V1070" s="64"/>
      <c r="W1070" s="64"/>
      <c r="X1070" s="64"/>
      <c r="Y1070" s="64"/>
      <c r="Z1070" s="64"/>
      <c r="AA1070" s="64"/>
      <c r="AB1070" s="64"/>
      <c r="AC1070" s="64"/>
      <c r="AD1070" s="64"/>
      <c r="AE1070" s="64"/>
      <c r="AF1070" s="64"/>
      <c r="AG1070" s="64"/>
      <c r="AH1070" s="64"/>
      <c r="AI1070" s="64"/>
      <c r="AJ1070" s="64"/>
      <c r="AK1070" s="64"/>
      <c r="AL1070" s="64"/>
      <c r="AM1070" s="169"/>
      <c r="AN1070" s="169"/>
      <c r="AO1070" s="169"/>
      <c r="AP1070" s="169"/>
      <c r="AQ1070" s="169"/>
      <c r="AR1070" s="169"/>
      <c r="AS1070" s="169"/>
      <c r="AT1070" s="169"/>
    </row>
    <row r="1071" spans="10:46">
      <c r="J1071" s="64"/>
      <c r="K1071" s="64"/>
      <c r="L1071" s="64"/>
      <c r="M1071" s="64"/>
      <c r="N1071" s="64"/>
      <c r="O1071" s="64"/>
      <c r="P1071" s="64"/>
      <c r="Q1071" s="64"/>
      <c r="R1071" s="64"/>
      <c r="S1071" s="64"/>
      <c r="T1071" s="64"/>
      <c r="U1071" s="64"/>
      <c r="V1071" s="64"/>
      <c r="W1071" s="64"/>
      <c r="X1071" s="64"/>
      <c r="Y1071" s="64"/>
      <c r="Z1071" s="64"/>
      <c r="AA1071" s="64"/>
      <c r="AB1071" s="64"/>
      <c r="AC1071" s="64"/>
      <c r="AD1071" s="64"/>
      <c r="AE1071" s="64"/>
      <c r="AF1071" s="64"/>
      <c r="AG1071" s="64"/>
      <c r="AH1071" s="64"/>
      <c r="AI1071" s="64"/>
      <c r="AJ1071" s="64"/>
      <c r="AK1071" s="64"/>
      <c r="AL1071" s="64"/>
      <c r="AM1071" s="169"/>
      <c r="AN1071" s="169"/>
      <c r="AO1071" s="169"/>
      <c r="AP1071" s="169"/>
      <c r="AQ1071" s="169"/>
      <c r="AR1071" s="169"/>
      <c r="AS1071" s="169"/>
      <c r="AT1071" s="169"/>
    </row>
    <row r="1072" spans="10:46">
      <c r="J1072" s="64"/>
      <c r="K1072" s="64"/>
      <c r="L1072" s="64"/>
      <c r="M1072" s="64"/>
      <c r="N1072" s="64"/>
      <c r="O1072" s="64"/>
      <c r="P1072" s="64"/>
      <c r="Q1072" s="64"/>
      <c r="R1072" s="64"/>
      <c r="S1072" s="64"/>
      <c r="T1072" s="64"/>
      <c r="U1072" s="64"/>
      <c r="V1072" s="64"/>
      <c r="W1072" s="64"/>
      <c r="X1072" s="64"/>
      <c r="Y1072" s="64"/>
      <c r="Z1072" s="64"/>
      <c r="AA1072" s="64"/>
      <c r="AB1072" s="64"/>
      <c r="AC1072" s="64"/>
      <c r="AD1072" s="64"/>
      <c r="AE1072" s="64"/>
      <c r="AF1072" s="64"/>
      <c r="AG1072" s="64"/>
      <c r="AH1072" s="64"/>
      <c r="AI1072" s="64"/>
      <c r="AJ1072" s="64"/>
      <c r="AK1072" s="64"/>
      <c r="AL1072" s="64"/>
      <c r="AM1072" s="169"/>
      <c r="AN1072" s="169"/>
      <c r="AO1072" s="169"/>
      <c r="AP1072" s="169"/>
      <c r="AQ1072" s="169"/>
      <c r="AR1072" s="169"/>
      <c r="AS1072" s="169"/>
      <c r="AT1072" s="169"/>
    </row>
    <row r="1073" spans="10:46">
      <c r="J1073" s="64"/>
      <c r="K1073" s="64"/>
      <c r="L1073" s="64"/>
      <c r="M1073" s="64"/>
      <c r="N1073" s="64"/>
      <c r="O1073" s="64"/>
      <c r="P1073" s="64"/>
      <c r="Q1073" s="64"/>
      <c r="R1073" s="64"/>
      <c r="S1073" s="64"/>
      <c r="T1073" s="64"/>
      <c r="U1073" s="64"/>
      <c r="V1073" s="64"/>
      <c r="W1073" s="64"/>
      <c r="X1073" s="64"/>
      <c r="Y1073" s="64"/>
      <c r="Z1073" s="64"/>
      <c r="AA1073" s="64"/>
      <c r="AB1073" s="64"/>
      <c r="AC1073" s="64"/>
      <c r="AD1073" s="64"/>
      <c r="AE1073" s="64"/>
      <c r="AF1073" s="64"/>
      <c r="AG1073" s="64"/>
      <c r="AH1073" s="64"/>
      <c r="AI1073" s="64"/>
      <c r="AJ1073" s="64"/>
      <c r="AK1073" s="64"/>
      <c r="AL1073" s="64"/>
      <c r="AM1073" s="169"/>
      <c r="AN1073" s="169"/>
      <c r="AO1073" s="169"/>
      <c r="AP1073" s="169"/>
      <c r="AQ1073" s="169"/>
      <c r="AR1073" s="169"/>
      <c r="AS1073" s="169"/>
      <c r="AT1073" s="169"/>
    </row>
    <row r="1074" spans="10:46">
      <c r="J1074" s="64"/>
      <c r="K1074" s="64"/>
      <c r="L1074" s="64"/>
      <c r="M1074" s="64"/>
      <c r="N1074" s="64"/>
      <c r="O1074" s="64"/>
      <c r="P1074" s="64"/>
      <c r="Q1074" s="64"/>
      <c r="R1074" s="64"/>
      <c r="S1074" s="64"/>
      <c r="T1074" s="64"/>
      <c r="U1074" s="64"/>
      <c r="V1074" s="64"/>
      <c r="W1074" s="64"/>
      <c r="X1074" s="64"/>
      <c r="Y1074" s="64"/>
      <c r="Z1074" s="64"/>
      <c r="AA1074" s="64"/>
      <c r="AB1074" s="64"/>
      <c r="AC1074" s="64"/>
      <c r="AD1074" s="64"/>
      <c r="AE1074" s="64"/>
      <c r="AF1074" s="64"/>
      <c r="AG1074" s="64"/>
      <c r="AH1074" s="64"/>
      <c r="AI1074" s="64"/>
      <c r="AJ1074" s="64"/>
      <c r="AK1074" s="64"/>
      <c r="AL1074" s="64"/>
      <c r="AM1074" s="169"/>
      <c r="AN1074" s="169"/>
      <c r="AO1074" s="169"/>
      <c r="AP1074" s="169"/>
      <c r="AQ1074" s="169"/>
      <c r="AR1074" s="169"/>
      <c r="AS1074" s="169"/>
      <c r="AT1074" s="169"/>
    </row>
    <row r="1075" spans="10:46">
      <c r="J1075" s="64"/>
      <c r="K1075" s="64"/>
      <c r="L1075" s="64"/>
      <c r="M1075" s="64"/>
      <c r="N1075" s="64"/>
      <c r="O1075" s="64"/>
      <c r="P1075" s="64"/>
      <c r="Q1075" s="64"/>
      <c r="R1075" s="64"/>
      <c r="S1075" s="64"/>
      <c r="T1075" s="64"/>
      <c r="U1075" s="64"/>
      <c r="V1075" s="64"/>
      <c r="W1075" s="64"/>
      <c r="X1075" s="64"/>
      <c r="Y1075" s="64"/>
      <c r="Z1075" s="64"/>
      <c r="AA1075" s="64"/>
      <c r="AB1075" s="64"/>
      <c r="AC1075" s="64"/>
      <c r="AD1075" s="64"/>
      <c r="AE1075" s="64"/>
      <c r="AF1075" s="64"/>
      <c r="AG1075" s="64"/>
      <c r="AH1075" s="64"/>
      <c r="AI1075" s="64"/>
      <c r="AJ1075" s="64"/>
      <c r="AK1075" s="64"/>
      <c r="AL1075" s="64"/>
      <c r="AM1075" s="169"/>
      <c r="AN1075" s="169"/>
      <c r="AO1075" s="169"/>
      <c r="AP1075" s="169"/>
      <c r="AQ1075" s="169"/>
      <c r="AR1075" s="169"/>
      <c r="AS1075" s="169"/>
      <c r="AT1075" s="169"/>
    </row>
    <row r="1076" spans="10:46">
      <c r="J1076" s="64"/>
      <c r="K1076" s="64"/>
      <c r="L1076" s="64"/>
      <c r="M1076" s="64"/>
      <c r="N1076" s="64"/>
      <c r="O1076" s="64"/>
      <c r="P1076" s="64"/>
      <c r="Q1076" s="64"/>
      <c r="R1076" s="64"/>
      <c r="S1076" s="64"/>
      <c r="T1076" s="64"/>
      <c r="U1076" s="64"/>
      <c r="V1076" s="64"/>
      <c r="W1076" s="64"/>
      <c r="X1076" s="64"/>
      <c r="Y1076" s="64"/>
      <c r="Z1076" s="64"/>
      <c r="AA1076" s="64"/>
      <c r="AB1076" s="64"/>
      <c r="AC1076" s="64"/>
      <c r="AD1076" s="64"/>
      <c r="AE1076" s="64"/>
      <c r="AF1076" s="64"/>
      <c r="AG1076" s="64"/>
      <c r="AH1076" s="64"/>
      <c r="AI1076" s="64"/>
      <c r="AJ1076" s="64"/>
      <c r="AK1076" s="64"/>
      <c r="AL1076" s="64"/>
      <c r="AM1076" s="169"/>
      <c r="AN1076" s="169"/>
      <c r="AO1076" s="169"/>
      <c r="AP1076" s="169"/>
      <c r="AQ1076" s="169"/>
      <c r="AR1076" s="169"/>
      <c r="AS1076" s="169"/>
      <c r="AT1076" s="169"/>
    </row>
    <row r="1077" spans="10:46">
      <c r="J1077" s="64"/>
      <c r="K1077" s="64"/>
      <c r="L1077" s="64"/>
      <c r="M1077" s="64"/>
      <c r="N1077" s="64"/>
      <c r="O1077" s="64"/>
      <c r="P1077" s="64"/>
      <c r="Q1077" s="64"/>
      <c r="R1077" s="64"/>
      <c r="S1077" s="64"/>
      <c r="T1077" s="64"/>
      <c r="U1077" s="64"/>
      <c r="V1077" s="64"/>
      <c r="W1077" s="64"/>
      <c r="X1077" s="64"/>
      <c r="Y1077" s="64"/>
      <c r="Z1077" s="64"/>
      <c r="AA1077" s="64"/>
      <c r="AB1077" s="64"/>
      <c r="AC1077" s="64"/>
      <c r="AD1077" s="64"/>
      <c r="AE1077" s="64"/>
      <c r="AF1077" s="64"/>
      <c r="AG1077" s="64"/>
      <c r="AH1077" s="64"/>
      <c r="AI1077" s="64"/>
      <c r="AJ1077" s="64"/>
      <c r="AK1077" s="64"/>
      <c r="AL1077" s="64"/>
      <c r="AM1077" s="169"/>
      <c r="AN1077" s="169"/>
      <c r="AO1077" s="169"/>
      <c r="AP1077" s="169"/>
      <c r="AQ1077" s="169"/>
      <c r="AR1077" s="169"/>
      <c r="AS1077" s="169"/>
      <c r="AT1077" s="169"/>
    </row>
    <row r="1078" spans="10:46">
      <c r="J1078" s="64"/>
      <c r="K1078" s="64"/>
      <c r="L1078" s="64"/>
      <c r="M1078" s="64"/>
      <c r="N1078" s="64"/>
      <c r="O1078" s="64"/>
      <c r="P1078" s="64"/>
      <c r="Q1078" s="64"/>
      <c r="R1078" s="64"/>
      <c r="S1078" s="64"/>
      <c r="T1078" s="64"/>
      <c r="U1078" s="64"/>
      <c r="V1078" s="64"/>
      <c r="W1078" s="64"/>
      <c r="X1078" s="64"/>
      <c r="Y1078" s="64"/>
      <c r="Z1078" s="64"/>
      <c r="AA1078" s="64"/>
      <c r="AB1078" s="64"/>
      <c r="AC1078" s="64"/>
      <c r="AD1078" s="64"/>
      <c r="AE1078" s="64"/>
      <c r="AF1078" s="64"/>
      <c r="AG1078" s="64"/>
      <c r="AH1078" s="64"/>
      <c r="AI1078" s="64"/>
      <c r="AJ1078" s="64"/>
      <c r="AK1078" s="64"/>
      <c r="AL1078" s="64"/>
      <c r="AM1078" s="169"/>
      <c r="AN1078" s="169"/>
      <c r="AO1078" s="169"/>
      <c r="AP1078" s="169"/>
      <c r="AQ1078" s="169"/>
      <c r="AR1078" s="169"/>
      <c r="AS1078" s="169"/>
      <c r="AT1078" s="169"/>
    </row>
    <row r="1079" spans="10:46">
      <c r="J1079" s="64"/>
      <c r="K1079" s="64"/>
      <c r="L1079" s="64"/>
      <c r="M1079" s="64"/>
      <c r="N1079" s="64"/>
      <c r="O1079" s="64"/>
      <c r="P1079" s="64"/>
      <c r="Q1079" s="64"/>
      <c r="R1079" s="64"/>
      <c r="S1079" s="64"/>
      <c r="T1079" s="64"/>
      <c r="U1079" s="64"/>
      <c r="V1079" s="64"/>
      <c r="W1079" s="64"/>
      <c r="X1079" s="64"/>
      <c r="Y1079" s="64"/>
      <c r="Z1079" s="64"/>
      <c r="AA1079" s="64"/>
      <c r="AB1079" s="64"/>
      <c r="AC1079" s="64"/>
      <c r="AD1079" s="64"/>
      <c r="AE1079" s="64"/>
      <c r="AF1079" s="64"/>
      <c r="AG1079" s="64"/>
      <c r="AH1079" s="64"/>
      <c r="AI1079" s="64"/>
      <c r="AJ1079" s="64"/>
      <c r="AK1079" s="64"/>
      <c r="AL1079" s="64"/>
      <c r="AM1079" s="169"/>
      <c r="AN1079" s="169"/>
      <c r="AO1079" s="169"/>
      <c r="AP1079" s="169"/>
      <c r="AQ1079" s="169"/>
      <c r="AR1079" s="169"/>
      <c r="AS1079" s="169"/>
      <c r="AT1079" s="169"/>
    </row>
    <row r="1080" spans="10:46">
      <c r="J1080" s="64"/>
      <c r="K1080" s="64"/>
      <c r="L1080" s="64"/>
      <c r="M1080" s="64"/>
      <c r="N1080" s="64"/>
      <c r="O1080" s="64"/>
      <c r="P1080" s="64"/>
      <c r="Q1080" s="64"/>
      <c r="R1080" s="64"/>
      <c r="S1080" s="64"/>
      <c r="T1080" s="64"/>
      <c r="U1080" s="64"/>
      <c r="V1080" s="64"/>
      <c r="W1080" s="64"/>
      <c r="X1080" s="64"/>
      <c r="Y1080" s="64"/>
      <c r="Z1080" s="64"/>
      <c r="AA1080" s="64"/>
      <c r="AB1080" s="64"/>
      <c r="AC1080" s="64"/>
      <c r="AD1080" s="64"/>
      <c r="AE1080" s="64"/>
      <c r="AF1080" s="64"/>
      <c r="AG1080" s="64"/>
      <c r="AH1080" s="64"/>
      <c r="AI1080" s="64"/>
      <c r="AJ1080" s="64"/>
      <c r="AK1080" s="64"/>
      <c r="AL1080" s="64"/>
      <c r="AM1080" s="169"/>
      <c r="AN1080" s="169"/>
      <c r="AO1080" s="169"/>
      <c r="AP1080" s="169"/>
      <c r="AQ1080" s="169"/>
      <c r="AR1080" s="169"/>
      <c r="AS1080" s="169"/>
      <c r="AT1080" s="169"/>
    </row>
    <row r="1081" spans="10:46">
      <c r="J1081" s="64"/>
      <c r="K1081" s="64"/>
      <c r="L1081" s="64"/>
      <c r="M1081" s="64"/>
      <c r="N1081" s="64"/>
      <c r="O1081" s="64"/>
      <c r="P1081" s="64"/>
      <c r="Q1081" s="64"/>
      <c r="R1081" s="64"/>
      <c r="S1081" s="64"/>
      <c r="T1081" s="64"/>
      <c r="U1081" s="64"/>
      <c r="V1081" s="64"/>
      <c r="W1081" s="64"/>
      <c r="X1081" s="64"/>
      <c r="Y1081" s="64"/>
      <c r="Z1081" s="64"/>
      <c r="AA1081" s="64"/>
      <c r="AB1081" s="64"/>
      <c r="AC1081" s="64"/>
      <c r="AD1081" s="64"/>
      <c r="AE1081" s="64"/>
      <c r="AF1081" s="64"/>
      <c r="AG1081" s="64"/>
      <c r="AH1081" s="64"/>
      <c r="AI1081" s="64"/>
      <c r="AJ1081" s="64"/>
      <c r="AK1081" s="64"/>
      <c r="AL1081" s="64"/>
      <c r="AM1081" s="169"/>
      <c r="AN1081" s="169"/>
      <c r="AO1081" s="169"/>
      <c r="AP1081" s="169"/>
      <c r="AQ1081" s="169"/>
      <c r="AR1081" s="169"/>
      <c r="AS1081" s="169"/>
      <c r="AT1081" s="169"/>
    </row>
    <row r="1082" spans="10:46">
      <c r="J1082" s="64"/>
      <c r="K1082" s="64"/>
      <c r="L1082" s="64"/>
      <c r="M1082" s="64"/>
      <c r="N1082" s="64"/>
      <c r="O1082" s="64"/>
      <c r="P1082" s="64"/>
      <c r="Q1082" s="64"/>
      <c r="R1082" s="64"/>
      <c r="S1082" s="64"/>
      <c r="T1082" s="64"/>
      <c r="U1082" s="64"/>
      <c r="V1082" s="64"/>
      <c r="W1082" s="64"/>
      <c r="X1082" s="64"/>
      <c r="Y1082" s="64"/>
      <c r="Z1082" s="64"/>
      <c r="AA1082" s="64"/>
      <c r="AB1082" s="64"/>
      <c r="AC1082" s="64"/>
      <c r="AD1082" s="64"/>
      <c r="AE1082" s="64"/>
      <c r="AF1082" s="64"/>
      <c r="AG1082" s="64"/>
      <c r="AH1082" s="64"/>
      <c r="AI1082" s="64"/>
      <c r="AJ1082" s="64"/>
      <c r="AK1082" s="64"/>
      <c r="AL1082" s="64"/>
      <c r="AM1082" s="169"/>
      <c r="AN1082" s="169"/>
      <c r="AO1082" s="169"/>
      <c r="AP1082" s="169"/>
      <c r="AQ1082" s="169"/>
      <c r="AR1082" s="169"/>
      <c r="AS1082" s="169"/>
      <c r="AT1082" s="169"/>
    </row>
    <row r="1083" spans="10:46">
      <c r="J1083" s="64"/>
      <c r="K1083" s="64"/>
      <c r="L1083" s="64"/>
      <c r="M1083" s="64"/>
      <c r="N1083" s="64"/>
      <c r="O1083" s="64"/>
      <c r="P1083" s="64"/>
      <c r="Q1083" s="64"/>
      <c r="R1083" s="64"/>
      <c r="S1083" s="64"/>
      <c r="T1083" s="64"/>
      <c r="U1083" s="64"/>
      <c r="V1083" s="64"/>
      <c r="W1083" s="64"/>
      <c r="X1083" s="64"/>
      <c r="Y1083" s="64"/>
      <c r="Z1083" s="64"/>
      <c r="AA1083" s="64"/>
      <c r="AB1083" s="64"/>
      <c r="AC1083" s="64"/>
      <c r="AD1083" s="64"/>
      <c r="AE1083" s="64"/>
      <c r="AF1083" s="64"/>
      <c r="AG1083" s="64"/>
      <c r="AH1083" s="64"/>
      <c r="AI1083" s="64"/>
      <c r="AJ1083" s="64"/>
      <c r="AK1083" s="64"/>
      <c r="AL1083" s="64"/>
      <c r="AM1083" s="169"/>
      <c r="AN1083" s="169"/>
      <c r="AO1083" s="169"/>
      <c r="AP1083" s="169"/>
      <c r="AQ1083" s="169"/>
      <c r="AR1083" s="169"/>
      <c r="AS1083" s="169"/>
      <c r="AT1083" s="169"/>
    </row>
    <row r="1084" spans="10:46">
      <c r="J1084" s="64"/>
      <c r="K1084" s="64"/>
      <c r="L1084" s="64"/>
      <c r="M1084" s="64"/>
      <c r="N1084" s="64"/>
      <c r="O1084" s="64"/>
      <c r="P1084" s="64"/>
      <c r="Q1084" s="64"/>
      <c r="R1084" s="64"/>
      <c r="S1084" s="64"/>
      <c r="T1084" s="64"/>
      <c r="U1084" s="64"/>
      <c r="V1084" s="64"/>
      <c r="W1084" s="64"/>
      <c r="X1084" s="64"/>
      <c r="Y1084" s="64"/>
      <c r="Z1084" s="64"/>
      <c r="AA1084" s="64"/>
      <c r="AB1084" s="64"/>
      <c r="AC1084" s="64"/>
      <c r="AD1084" s="64"/>
      <c r="AE1084" s="64"/>
      <c r="AF1084" s="64"/>
      <c r="AG1084" s="64"/>
      <c r="AH1084" s="64"/>
      <c r="AI1084" s="64"/>
      <c r="AJ1084" s="64"/>
      <c r="AK1084" s="64"/>
      <c r="AL1084" s="64"/>
      <c r="AM1084" s="169"/>
      <c r="AN1084" s="169"/>
      <c r="AO1084" s="169"/>
      <c r="AP1084" s="169"/>
      <c r="AQ1084" s="169"/>
      <c r="AR1084" s="169"/>
      <c r="AS1084" s="169"/>
      <c r="AT1084" s="169"/>
    </row>
    <row r="1085" spans="10:46">
      <c r="J1085" s="64"/>
      <c r="K1085" s="64"/>
      <c r="L1085" s="64"/>
      <c r="M1085" s="64"/>
      <c r="N1085" s="64"/>
      <c r="O1085" s="64"/>
      <c r="P1085" s="64"/>
      <c r="Q1085" s="64"/>
      <c r="R1085" s="64"/>
      <c r="S1085" s="64"/>
      <c r="T1085" s="64"/>
      <c r="U1085" s="64"/>
      <c r="V1085" s="64"/>
      <c r="W1085" s="64"/>
      <c r="X1085" s="64"/>
      <c r="Y1085" s="64"/>
      <c r="Z1085" s="64"/>
      <c r="AA1085" s="64"/>
      <c r="AB1085" s="64"/>
      <c r="AC1085" s="64"/>
      <c r="AD1085" s="64"/>
      <c r="AE1085" s="64"/>
      <c r="AF1085" s="64"/>
      <c r="AG1085" s="64"/>
      <c r="AH1085" s="64"/>
      <c r="AI1085" s="64"/>
      <c r="AJ1085" s="64"/>
      <c r="AK1085" s="64"/>
      <c r="AL1085" s="64"/>
      <c r="AM1085" s="169"/>
      <c r="AN1085" s="169"/>
      <c r="AO1085" s="169"/>
      <c r="AP1085" s="169"/>
      <c r="AQ1085" s="169"/>
      <c r="AR1085" s="169"/>
      <c r="AS1085" s="169"/>
      <c r="AT1085" s="169"/>
    </row>
    <row r="1086" spans="10:46">
      <c r="J1086" s="64"/>
      <c r="K1086" s="64"/>
      <c r="L1086" s="64"/>
      <c r="M1086" s="64"/>
      <c r="N1086" s="64"/>
      <c r="O1086" s="64"/>
      <c r="P1086" s="64"/>
      <c r="Q1086" s="64"/>
      <c r="R1086" s="64"/>
      <c r="S1086" s="64"/>
      <c r="T1086" s="64"/>
      <c r="U1086" s="64"/>
      <c r="V1086" s="64"/>
      <c r="W1086" s="64"/>
      <c r="X1086" s="64"/>
      <c r="Y1086" s="64"/>
      <c r="Z1086" s="64"/>
      <c r="AA1086" s="64"/>
      <c r="AB1086" s="64"/>
      <c r="AC1086" s="64"/>
      <c r="AD1086" s="64"/>
      <c r="AE1086" s="64"/>
      <c r="AF1086" s="64"/>
      <c r="AG1086" s="64"/>
      <c r="AH1086" s="64"/>
      <c r="AI1086" s="64"/>
      <c r="AJ1086" s="64"/>
      <c r="AK1086" s="64"/>
      <c r="AL1086" s="64"/>
      <c r="AM1086" s="169"/>
      <c r="AN1086" s="169"/>
      <c r="AO1086" s="169"/>
      <c r="AP1086" s="169"/>
      <c r="AQ1086" s="169"/>
      <c r="AR1086" s="169"/>
      <c r="AS1086" s="169"/>
      <c r="AT1086" s="169"/>
    </row>
    <row r="1087" spans="10:46">
      <c r="J1087" s="64"/>
      <c r="K1087" s="64"/>
      <c r="L1087" s="64"/>
      <c r="M1087" s="64"/>
      <c r="N1087" s="64"/>
      <c r="O1087" s="64"/>
      <c r="P1087" s="64"/>
      <c r="Q1087" s="64"/>
      <c r="R1087" s="64"/>
      <c r="S1087" s="64"/>
      <c r="T1087" s="64"/>
      <c r="U1087" s="64"/>
      <c r="V1087" s="64"/>
      <c r="W1087" s="64"/>
      <c r="X1087" s="64"/>
      <c r="Y1087" s="64"/>
      <c r="Z1087" s="64"/>
      <c r="AA1087" s="64"/>
      <c r="AB1087" s="64"/>
      <c r="AC1087" s="64"/>
      <c r="AD1087" s="64"/>
      <c r="AE1087" s="64"/>
      <c r="AF1087" s="64"/>
      <c r="AG1087" s="64"/>
      <c r="AH1087" s="64"/>
      <c r="AI1087" s="64"/>
      <c r="AJ1087" s="64"/>
      <c r="AK1087" s="64"/>
      <c r="AL1087" s="64"/>
      <c r="AM1087" s="169"/>
      <c r="AN1087" s="169"/>
      <c r="AO1087" s="169"/>
      <c r="AP1087" s="169"/>
      <c r="AQ1087" s="169"/>
      <c r="AR1087" s="169"/>
      <c r="AS1087" s="169"/>
      <c r="AT1087" s="169"/>
    </row>
    <row r="1088" spans="10:46">
      <c r="J1088" s="64"/>
      <c r="K1088" s="64"/>
      <c r="L1088" s="64"/>
      <c r="M1088" s="64"/>
      <c r="N1088" s="64"/>
      <c r="O1088" s="64"/>
      <c r="P1088" s="64"/>
      <c r="Q1088" s="64"/>
      <c r="R1088" s="64"/>
      <c r="S1088" s="64"/>
      <c r="T1088" s="64"/>
      <c r="U1088" s="64"/>
      <c r="V1088" s="64"/>
      <c r="W1088" s="64"/>
      <c r="X1088" s="64"/>
      <c r="Y1088" s="64"/>
      <c r="Z1088" s="64"/>
      <c r="AA1088" s="64"/>
      <c r="AB1088" s="64"/>
      <c r="AC1088" s="64"/>
      <c r="AD1088" s="64"/>
      <c r="AE1088" s="64"/>
      <c r="AF1088" s="64"/>
      <c r="AG1088" s="64"/>
      <c r="AH1088" s="64"/>
      <c r="AI1088" s="64"/>
      <c r="AJ1088" s="64"/>
      <c r="AK1088" s="64"/>
      <c r="AL1088" s="64"/>
      <c r="AM1088" s="169"/>
      <c r="AN1088" s="169"/>
      <c r="AO1088" s="169"/>
      <c r="AP1088" s="169"/>
      <c r="AQ1088" s="169"/>
      <c r="AR1088" s="169"/>
      <c r="AS1088" s="169"/>
      <c r="AT1088" s="169"/>
    </row>
    <row r="1089" spans="10:46">
      <c r="J1089" s="64"/>
      <c r="K1089" s="64"/>
      <c r="L1089" s="64"/>
      <c r="M1089" s="64"/>
      <c r="N1089" s="64"/>
      <c r="O1089" s="64"/>
      <c r="P1089" s="64"/>
      <c r="Q1089" s="64"/>
      <c r="R1089" s="64"/>
      <c r="S1089" s="64"/>
      <c r="T1089" s="64"/>
      <c r="U1089" s="64"/>
      <c r="V1089" s="64"/>
      <c r="W1089" s="64"/>
      <c r="X1089" s="64"/>
      <c r="Y1089" s="64"/>
      <c r="Z1089" s="64"/>
      <c r="AA1089" s="64"/>
      <c r="AB1089" s="64"/>
      <c r="AC1089" s="64"/>
      <c r="AD1089" s="64"/>
      <c r="AE1089" s="64"/>
      <c r="AF1089" s="64"/>
      <c r="AG1089" s="64"/>
      <c r="AH1089" s="64"/>
      <c r="AI1089" s="64"/>
      <c r="AJ1089" s="64"/>
      <c r="AK1089" s="64"/>
      <c r="AL1089" s="64"/>
      <c r="AM1089" s="169"/>
      <c r="AN1089" s="169"/>
      <c r="AO1089" s="169"/>
      <c r="AP1089" s="169"/>
      <c r="AQ1089" s="169"/>
      <c r="AR1089" s="169"/>
      <c r="AS1089" s="169"/>
      <c r="AT1089" s="169"/>
    </row>
    <row r="1090" spans="10:46">
      <c r="J1090" s="64"/>
      <c r="K1090" s="64"/>
      <c r="L1090" s="64"/>
      <c r="M1090" s="64"/>
      <c r="N1090" s="64"/>
      <c r="O1090" s="64"/>
      <c r="P1090" s="64"/>
      <c r="Q1090" s="64"/>
      <c r="R1090" s="64"/>
      <c r="S1090" s="64"/>
      <c r="T1090" s="64"/>
      <c r="U1090" s="64"/>
      <c r="V1090" s="64"/>
      <c r="W1090" s="64"/>
      <c r="X1090" s="64"/>
      <c r="Y1090" s="64"/>
      <c r="Z1090" s="64"/>
      <c r="AA1090" s="64"/>
      <c r="AB1090" s="64"/>
      <c r="AC1090" s="64"/>
      <c r="AD1090" s="64"/>
      <c r="AE1090" s="64"/>
      <c r="AF1090" s="64"/>
      <c r="AG1090" s="64"/>
      <c r="AH1090" s="64"/>
      <c r="AI1090" s="64"/>
      <c r="AJ1090" s="64"/>
      <c r="AK1090" s="64"/>
      <c r="AL1090" s="64"/>
      <c r="AM1090" s="169"/>
      <c r="AN1090" s="169"/>
      <c r="AO1090" s="169"/>
      <c r="AP1090" s="169"/>
      <c r="AQ1090" s="169"/>
      <c r="AR1090" s="169"/>
      <c r="AS1090" s="169"/>
      <c r="AT1090" s="169"/>
    </row>
    <row r="1091" spans="10:46">
      <c r="J1091" s="64"/>
      <c r="K1091" s="64"/>
      <c r="L1091" s="64"/>
      <c r="M1091" s="64"/>
      <c r="N1091" s="64"/>
      <c r="O1091" s="64"/>
      <c r="P1091" s="64"/>
      <c r="Q1091" s="64"/>
      <c r="R1091" s="64"/>
      <c r="S1091" s="64"/>
      <c r="T1091" s="64"/>
      <c r="U1091" s="64"/>
      <c r="V1091" s="64"/>
      <c r="W1091" s="64"/>
      <c r="X1091" s="64"/>
      <c r="Y1091" s="64"/>
      <c r="Z1091" s="64"/>
      <c r="AA1091" s="64"/>
      <c r="AB1091" s="64"/>
      <c r="AC1091" s="64"/>
      <c r="AD1091" s="64"/>
      <c r="AE1091" s="64"/>
      <c r="AF1091" s="64"/>
      <c r="AG1091" s="64"/>
      <c r="AH1091" s="64"/>
      <c r="AI1091" s="64"/>
      <c r="AJ1091" s="64"/>
      <c r="AK1091" s="64"/>
      <c r="AL1091" s="64"/>
      <c r="AM1091" s="169"/>
      <c r="AN1091" s="169"/>
      <c r="AO1091" s="169"/>
      <c r="AP1091" s="169"/>
      <c r="AQ1091" s="169"/>
      <c r="AR1091" s="169"/>
      <c r="AS1091" s="169"/>
      <c r="AT1091" s="169"/>
    </row>
    <row r="1092" spans="10:46">
      <c r="J1092" s="64"/>
      <c r="K1092" s="64"/>
      <c r="L1092" s="64"/>
      <c r="M1092" s="64"/>
      <c r="N1092" s="64"/>
      <c r="O1092" s="64"/>
      <c r="P1092" s="64"/>
      <c r="Q1092" s="64"/>
      <c r="R1092" s="64"/>
      <c r="S1092" s="64"/>
      <c r="T1092" s="64"/>
      <c r="U1092" s="64"/>
      <c r="V1092" s="64"/>
      <c r="W1092" s="64"/>
      <c r="X1092" s="64"/>
      <c r="Y1092" s="64"/>
      <c r="Z1092" s="64"/>
      <c r="AA1092" s="64"/>
      <c r="AB1092" s="64"/>
      <c r="AC1092" s="64"/>
      <c r="AD1092" s="64"/>
      <c r="AE1092" s="64"/>
      <c r="AF1092" s="64"/>
      <c r="AG1092" s="64"/>
      <c r="AH1092" s="64"/>
      <c r="AI1092" s="64"/>
      <c r="AJ1092" s="64"/>
      <c r="AK1092" s="64"/>
      <c r="AL1092" s="64"/>
      <c r="AM1092" s="169"/>
      <c r="AN1092" s="169"/>
      <c r="AO1092" s="169"/>
      <c r="AP1092" s="169"/>
      <c r="AQ1092" s="169"/>
      <c r="AR1092" s="169"/>
      <c r="AS1092" s="169"/>
      <c r="AT1092" s="169"/>
    </row>
    <row r="1093" spans="10:46">
      <c r="J1093" s="64"/>
      <c r="K1093" s="64"/>
      <c r="L1093" s="64"/>
      <c r="M1093" s="64"/>
      <c r="N1093" s="64"/>
      <c r="O1093" s="64"/>
      <c r="P1093" s="64"/>
      <c r="Q1093" s="64"/>
      <c r="R1093" s="64"/>
      <c r="S1093" s="64"/>
      <c r="T1093" s="64"/>
      <c r="U1093" s="64"/>
      <c r="V1093" s="64"/>
      <c r="W1093" s="64"/>
      <c r="X1093" s="64"/>
      <c r="Y1093" s="64"/>
      <c r="Z1093" s="64"/>
      <c r="AA1093" s="64"/>
      <c r="AB1093" s="64"/>
      <c r="AC1093" s="64"/>
      <c r="AD1093" s="64"/>
      <c r="AE1093" s="64"/>
      <c r="AF1093" s="64"/>
      <c r="AG1093" s="64"/>
      <c r="AH1093" s="64"/>
      <c r="AI1093" s="64"/>
      <c r="AJ1093" s="64"/>
      <c r="AK1093" s="64"/>
      <c r="AL1093" s="64"/>
      <c r="AM1093" s="169"/>
      <c r="AN1093" s="169"/>
      <c r="AO1093" s="169"/>
      <c r="AP1093" s="169"/>
      <c r="AQ1093" s="169"/>
      <c r="AR1093" s="169"/>
      <c r="AS1093" s="169"/>
      <c r="AT1093" s="169"/>
    </row>
    <row r="1094" spans="10:46">
      <c r="J1094" s="64"/>
      <c r="K1094" s="64"/>
      <c r="L1094" s="64"/>
      <c r="M1094" s="64"/>
      <c r="N1094" s="64"/>
      <c r="O1094" s="64"/>
      <c r="P1094" s="64"/>
      <c r="Q1094" s="64"/>
      <c r="R1094" s="64"/>
      <c r="S1094" s="64"/>
      <c r="T1094" s="64"/>
      <c r="U1094" s="64"/>
      <c r="V1094" s="64"/>
      <c r="W1094" s="64"/>
      <c r="X1094" s="64"/>
      <c r="Y1094" s="64"/>
      <c r="Z1094" s="64"/>
      <c r="AA1094" s="64"/>
      <c r="AB1094" s="64"/>
      <c r="AC1094" s="64"/>
      <c r="AD1094" s="64"/>
      <c r="AE1094" s="64"/>
      <c r="AF1094" s="64"/>
      <c r="AG1094" s="64"/>
      <c r="AH1094" s="64"/>
      <c r="AI1094" s="64"/>
      <c r="AJ1094" s="64"/>
      <c r="AK1094" s="64"/>
      <c r="AL1094" s="64"/>
      <c r="AM1094" s="169"/>
      <c r="AN1094" s="169"/>
      <c r="AO1094" s="169"/>
      <c r="AP1094" s="169"/>
      <c r="AQ1094" s="169"/>
      <c r="AR1094" s="169"/>
      <c r="AS1094" s="169"/>
      <c r="AT1094" s="169"/>
    </row>
    <row r="1095" spans="10:46">
      <c r="J1095" s="64"/>
      <c r="K1095" s="64"/>
      <c r="L1095" s="64"/>
      <c r="M1095" s="64"/>
      <c r="N1095" s="64"/>
      <c r="O1095" s="64"/>
      <c r="P1095" s="64"/>
      <c r="Q1095" s="64"/>
      <c r="R1095" s="64"/>
      <c r="S1095" s="64"/>
      <c r="T1095" s="64"/>
      <c r="U1095" s="64"/>
      <c r="V1095" s="64"/>
      <c r="W1095" s="64"/>
      <c r="X1095" s="64"/>
      <c r="Y1095" s="64"/>
      <c r="Z1095" s="64"/>
      <c r="AA1095" s="64"/>
      <c r="AB1095" s="64"/>
      <c r="AC1095" s="64"/>
      <c r="AD1095" s="64"/>
      <c r="AE1095" s="64"/>
      <c r="AF1095" s="64"/>
      <c r="AG1095" s="64"/>
      <c r="AH1095" s="64"/>
      <c r="AI1095" s="64"/>
      <c r="AJ1095" s="64"/>
      <c r="AK1095" s="64"/>
      <c r="AL1095" s="64"/>
      <c r="AM1095" s="169"/>
      <c r="AN1095" s="169"/>
      <c r="AO1095" s="169"/>
      <c r="AP1095" s="169"/>
      <c r="AQ1095" s="169"/>
      <c r="AR1095" s="169"/>
      <c r="AS1095" s="169"/>
      <c r="AT1095" s="169"/>
    </row>
    <row r="1096" spans="10:46">
      <c r="J1096" s="64"/>
      <c r="K1096" s="64"/>
      <c r="L1096" s="64"/>
      <c r="M1096" s="64"/>
      <c r="N1096" s="64"/>
      <c r="O1096" s="64"/>
      <c r="P1096" s="64"/>
      <c r="Q1096" s="64"/>
      <c r="R1096" s="64"/>
      <c r="S1096" s="64"/>
      <c r="T1096" s="64"/>
      <c r="U1096" s="64"/>
      <c r="V1096" s="64"/>
      <c r="W1096" s="64"/>
      <c r="X1096" s="64"/>
      <c r="Y1096" s="64"/>
      <c r="Z1096" s="64"/>
      <c r="AA1096" s="64"/>
      <c r="AB1096" s="64"/>
      <c r="AC1096" s="64"/>
      <c r="AD1096" s="64"/>
      <c r="AE1096" s="64"/>
      <c r="AF1096" s="64"/>
      <c r="AG1096" s="64"/>
      <c r="AH1096" s="64"/>
      <c r="AI1096" s="64"/>
      <c r="AJ1096" s="64"/>
      <c r="AK1096" s="64"/>
      <c r="AL1096" s="64"/>
      <c r="AM1096" s="169"/>
      <c r="AN1096" s="169"/>
      <c r="AO1096" s="169"/>
      <c r="AP1096" s="169"/>
      <c r="AQ1096" s="169"/>
      <c r="AR1096" s="169"/>
      <c r="AS1096" s="169"/>
      <c r="AT1096" s="169"/>
    </row>
    <row r="1097" spans="10:46">
      <c r="J1097" s="64"/>
      <c r="K1097" s="64"/>
      <c r="L1097" s="64"/>
      <c r="M1097" s="64"/>
      <c r="N1097" s="64"/>
      <c r="O1097" s="64"/>
      <c r="P1097" s="64"/>
      <c r="Q1097" s="64"/>
      <c r="R1097" s="64"/>
      <c r="S1097" s="64"/>
      <c r="T1097" s="64"/>
      <c r="U1097" s="64"/>
      <c r="V1097" s="64"/>
      <c r="W1097" s="64"/>
      <c r="X1097" s="64"/>
      <c r="Y1097" s="64"/>
      <c r="Z1097" s="64"/>
      <c r="AA1097" s="64"/>
      <c r="AB1097" s="64"/>
      <c r="AC1097" s="64"/>
      <c r="AD1097" s="64"/>
      <c r="AE1097" s="64"/>
      <c r="AF1097" s="64"/>
      <c r="AG1097" s="64"/>
      <c r="AH1097" s="64"/>
      <c r="AI1097" s="64"/>
      <c r="AJ1097" s="64"/>
      <c r="AK1097" s="64"/>
      <c r="AL1097" s="64"/>
      <c r="AM1097" s="169"/>
      <c r="AN1097" s="169"/>
      <c r="AO1097" s="169"/>
      <c r="AP1097" s="169"/>
      <c r="AQ1097" s="169"/>
      <c r="AR1097" s="169"/>
      <c r="AS1097" s="169"/>
      <c r="AT1097" s="169"/>
    </row>
    <row r="1098" spans="10:46">
      <c r="J1098" s="64"/>
      <c r="K1098" s="64"/>
      <c r="L1098" s="64"/>
      <c r="M1098" s="64"/>
      <c r="N1098" s="64"/>
      <c r="O1098" s="64"/>
      <c r="P1098" s="64"/>
      <c r="Q1098" s="64"/>
      <c r="R1098" s="64"/>
      <c r="S1098" s="64"/>
      <c r="T1098" s="64"/>
      <c r="U1098" s="64"/>
      <c r="V1098" s="64"/>
      <c r="W1098" s="64"/>
      <c r="X1098" s="64"/>
      <c r="Y1098" s="64"/>
      <c r="Z1098" s="64"/>
      <c r="AA1098" s="64"/>
      <c r="AB1098" s="64"/>
      <c r="AC1098" s="64"/>
      <c r="AD1098" s="64"/>
      <c r="AE1098" s="64"/>
      <c r="AF1098" s="64"/>
      <c r="AG1098" s="64"/>
      <c r="AH1098" s="64"/>
      <c r="AI1098" s="64"/>
      <c r="AJ1098" s="64"/>
      <c r="AK1098" s="64"/>
      <c r="AL1098" s="64"/>
      <c r="AM1098" s="169"/>
      <c r="AN1098" s="169"/>
      <c r="AO1098" s="169"/>
      <c r="AP1098" s="169"/>
      <c r="AQ1098" s="169"/>
      <c r="AR1098" s="169"/>
      <c r="AS1098" s="169"/>
      <c r="AT1098" s="169"/>
    </row>
    <row r="1099" spans="10:46">
      <c r="J1099" s="64"/>
      <c r="K1099" s="64"/>
      <c r="L1099" s="64"/>
      <c r="M1099" s="64"/>
      <c r="N1099" s="64"/>
      <c r="O1099" s="64"/>
      <c r="P1099" s="64"/>
      <c r="Q1099" s="64"/>
      <c r="R1099" s="64"/>
      <c r="S1099" s="64"/>
      <c r="T1099" s="64"/>
      <c r="U1099" s="64"/>
      <c r="V1099" s="64"/>
      <c r="W1099" s="64"/>
      <c r="X1099" s="64"/>
      <c r="Y1099" s="64"/>
      <c r="Z1099" s="64"/>
      <c r="AA1099" s="64"/>
      <c r="AB1099" s="64"/>
      <c r="AC1099" s="64"/>
      <c r="AD1099" s="64"/>
      <c r="AE1099" s="64"/>
      <c r="AF1099" s="64"/>
      <c r="AG1099" s="64"/>
      <c r="AH1099" s="64"/>
      <c r="AI1099" s="64"/>
      <c r="AJ1099" s="64"/>
      <c r="AK1099" s="64"/>
      <c r="AL1099" s="64"/>
      <c r="AM1099" s="169"/>
      <c r="AN1099" s="169"/>
      <c r="AO1099" s="169"/>
      <c r="AP1099" s="169"/>
      <c r="AQ1099" s="169"/>
      <c r="AR1099" s="169"/>
      <c r="AS1099" s="169"/>
      <c r="AT1099" s="169"/>
    </row>
    <row r="1100" spans="10:46">
      <c r="J1100" s="64"/>
      <c r="K1100" s="64"/>
      <c r="L1100" s="64"/>
      <c r="M1100" s="64"/>
      <c r="N1100" s="64"/>
      <c r="O1100" s="64"/>
      <c r="P1100" s="64"/>
      <c r="Q1100" s="64"/>
      <c r="R1100" s="64"/>
      <c r="S1100" s="64"/>
      <c r="T1100" s="64"/>
      <c r="U1100" s="64"/>
      <c r="V1100" s="64"/>
      <c r="W1100" s="64"/>
      <c r="X1100" s="64"/>
      <c r="Y1100" s="64"/>
      <c r="Z1100" s="64"/>
      <c r="AA1100" s="64"/>
      <c r="AB1100" s="64"/>
      <c r="AC1100" s="64"/>
      <c r="AD1100" s="64"/>
      <c r="AE1100" s="64"/>
      <c r="AF1100" s="64"/>
      <c r="AG1100" s="64"/>
      <c r="AH1100" s="64"/>
      <c r="AI1100" s="64"/>
      <c r="AJ1100" s="64"/>
      <c r="AK1100" s="64"/>
      <c r="AL1100" s="64"/>
      <c r="AM1100" s="169"/>
      <c r="AN1100" s="169"/>
      <c r="AO1100" s="169"/>
      <c r="AP1100" s="169"/>
      <c r="AQ1100" s="169"/>
      <c r="AR1100" s="169"/>
      <c r="AS1100" s="169"/>
      <c r="AT1100" s="169"/>
    </row>
    <row r="1101" spans="10:46">
      <c r="J1101" s="64"/>
      <c r="K1101" s="64"/>
      <c r="L1101" s="64"/>
      <c r="M1101" s="64"/>
      <c r="N1101" s="64"/>
      <c r="O1101" s="64"/>
      <c r="P1101" s="64"/>
      <c r="Q1101" s="64"/>
      <c r="R1101" s="64"/>
      <c r="S1101" s="64"/>
      <c r="T1101" s="64"/>
      <c r="U1101" s="64"/>
      <c r="V1101" s="64"/>
      <c r="W1101" s="64"/>
      <c r="X1101" s="64"/>
      <c r="Y1101" s="64"/>
      <c r="Z1101" s="64"/>
      <c r="AA1101" s="64"/>
      <c r="AB1101" s="64"/>
      <c r="AC1101" s="64"/>
      <c r="AD1101" s="64"/>
      <c r="AE1101" s="64"/>
      <c r="AF1101" s="64"/>
      <c r="AG1101" s="64"/>
      <c r="AH1101" s="64"/>
      <c r="AI1101" s="64"/>
      <c r="AJ1101" s="64"/>
      <c r="AK1101" s="64"/>
      <c r="AL1101" s="64"/>
      <c r="AM1101" s="169"/>
      <c r="AN1101" s="169"/>
      <c r="AO1101" s="169"/>
      <c r="AP1101" s="169"/>
      <c r="AQ1101" s="169"/>
      <c r="AR1101" s="169"/>
      <c r="AS1101" s="169"/>
      <c r="AT1101" s="169"/>
    </row>
    <row r="1102" spans="10:46">
      <c r="J1102" s="64"/>
      <c r="K1102" s="64"/>
      <c r="L1102" s="64"/>
      <c r="M1102" s="64"/>
      <c r="N1102" s="64"/>
      <c r="O1102" s="64"/>
      <c r="P1102" s="64"/>
      <c r="Q1102" s="64"/>
      <c r="R1102" s="64"/>
      <c r="S1102" s="64"/>
      <c r="T1102" s="64"/>
      <c r="U1102" s="64"/>
      <c r="V1102" s="64"/>
      <c r="W1102" s="64"/>
      <c r="X1102" s="64"/>
      <c r="Y1102" s="64"/>
      <c r="Z1102" s="64"/>
      <c r="AA1102" s="64"/>
      <c r="AB1102" s="64"/>
      <c r="AC1102" s="64"/>
      <c r="AD1102" s="64"/>
      <c r="AE1102" s="64"/>
      <c r="AF1102" s="64"/>
      <c r="AG1102" s="64"/>
      <c r="AH1102" s="64"/>
      <c r="AI1102" s="64"/>
      <c r="AJ1102" s="64"/>
      <c r="AK1102" s="64"/>
      <c r="AL1102" s="64"/>
      <c r="AM1102" s="169"/>
      <c r="AN1102" s="169"/>
      <c r="AO1102" s="169"/>
      <c r="AP1102" s="169"/>
      <c r="AQ1102" s="169"/>
      <c r="AR1102" s="169"/>
      <c r="AS1102" s="169"/>
      <c r="AT1102" s="169"/>
    </row>
    <row r="1103" spans="10:46">
      <c r="J1103" s="64"/>
      <c r="K1103" s="64"/>
      <c r="L1103" s="64"/>
      <c r="M1103" s="64"/>
      <c r="N1103" s="64"/>
      <c r="O1103" s="64"/>
      <c r="P1103" s="64"/>
      <c r="Q1103" s="64"/>
      <c r="R1103" s="64"/>
      <c r="S1103" s="64"/>
      <c r="T1103" s="64"/>
      <c r="U1103" s="64"/>
      <c r="V1103" s="64"/>
      <c r="W1103" s="64"/>
      <c r="X1103" s="64"/>
      <c r="Y1103" s="64"/>
      <c r="Z1103" s="64"/>
      <c r="AA1103" s="64"/>
      <c r="AB1103" s="64"/>
      <c r="AC1103" s="64"/>
      <c r="AD1103" s="64"/>
      <c r="AE1103" s="64"/>
      <c r="AF1103" s="64"/>
      <c r="AG1103" s="64"/>
      <c r="AH1103" s="64"/>
      <c r="AI1103" s="64"/>
      <c r="AJ1103" s="64"/>
      <c r="AK1103" s="64"/>
      <c r="AL1103" s="64"/>
      <c r="AM1103" s="169"/>
      <c r="AN1103" s="169"/>
      <c r="AO1103" s="169"/>
      <c r="AP1103" s="169"/>
      <c r="AQ1103" s="169"/>
      <c r="AR1103" s="169"/>
      <c r="AS1103" s="169"/>
      <c r="AT1103" s="169"/>
    </row>
    <row r="1104" spans="10:46">
      <c r="J1104" s="64"/>
      <c r="K1104" s="64"/>
      <c r="L1104" s="64"/>
      <c r="M1104" s="64"/>
      <c r="N1104" s="64"/>
      <c r="O1104" s="64"/>
      <c r="P1104" s="64"/>
      <c r="Q1104" s="64"/>
      <c r="R1104" s="64"/>
      <c r="S1104" s="64"/>
      <c r="T1104" s="64"/>
      <c r="U1104" s="64"/>
      <c r="V1104" s="64"/>
      <c r="W1104" s="64"/>
      <c r="X1104" s="64"/>
      <c r="Y1104" s="64"/>
      <c r="Z1104" s="64"/>
      <c r="AA1104" s="64"/>
      <c r="AB1104" s="64"/>
      <c r="AC1104" s="64"/>
      <c r="AD1104" s="64"/>
      <c r="AE1104" s="64"/>
      <c r="AF1104" s="64"/>
      <c r="AG1104" s="64"/>
      <c r="AH1104" s="64"/>
      <c r="AI1104" s="64"/>
      <c r="AJ1104" s="64"/>
      <c r="AK1104" s="64"/>
      <c r="AL1104" s="64"/>
      <c r="AM1104" s="169"/>
      <c r="AN1104" s="169"/>
      <c r="AO1104" s="169"/>
      <c r="AP1104" s="169"/>
      <c r="AQ1104" s="169"/>
      <c r="AR1104" s="169"/>
      <c r="AS1104" s="169"/>
      <c r="AT1104" s="169"/>
    </row>
    <row r="1105" spans="10:46">
      <c r="J1105" s="64"/>
      <c r="K1105" s="64"/>
      <c r="L1105" s="64"/>
      <c r="M1105" s="64"/>
      <c r="N1105" s="64"/>
      <c r="O1105" s="64"/>
      <c r="P1105" s="64"/>
      <c r="Q1105" s="64"/>
      <c r="R1105" s="64"/>
      <c r="S1105" s="64"/>
      <c r="T1105" s="64"/>
      <c r="U1105" s="64"/>
      <c r="V1105" s="64"/>
      <c r="W1105" s="64"/>
      <c r="X1105" s="64"/>
      <c r="Y1105" s="64"/>
      <c r="Z1105" s="64"/>
      <c r="AA1105" s="64"/>
      <c r="AB1105" s="64"/>
      <c r="AC1105" s="64"/>
      <c r="AD1105" s="64"/>
      <c r="AE1105" s="64"/>
      <c r="AF1105" s="64"/>
      <c r="AG1105" s="64"/>
      <c r="AH1105" s="64"/>
      <c r="AI1105" s="64"/>
      <c r="AJ1105" s="64"/>
      <c r="AK1105" s="64"/>
      <c r="AL1105" s="64"/>
      <c r="AM1105" s="169"/>
      <c r="AN1105" s="169"/>
      <c r="AO1105" s="169"/>
      <c r="AP1105" s="169"/>
      <c r="AQ1105" s="169"/>
      <c r="AR1105" s="169"/>
      <c r="AS1105" s="169"/>
      <c r="AT1105" s="169"/>
    </row>
    <row r="1106" spans="10:46">
      <c r="J1106" s="64"/>
      <c r="K1106" s="64"/>
      <c r="L1106" s="64"/>
      <c r="M1106" s="64"/>
      <c r="N1106" s="64"/>
      <c r="O1106" s="64"/>
      <c r="P1106" s="64"/>
      <c r="Q1106" s="64"/>
      <c r="R1106" s="64"/>
      <c r="S1106" s="64"/>
      <c r="T1106" s="64"/>
      <c r="U1106" s="64"/>
      <c r="V1106" s="64"/>
      <c r="W1106" s="64"/>
      <c r="X1106" s="64"/>
      <c r="Y1106" s="64"/>
      <c r="Z1106" s="64"/>
      <c r="AA1106" s="64"/>
      <c r="AB1106" s="64"/>
      <c r="AC1106" s="64"/>
      <c r="AD1106" s="64"/>
      <c r="AE1106" s="64"/>
      <c r="AF1106" s="64"/>
      <c r="AG1106" s="64"/>
      <c r="AH1106" s="64"/>
      <c r="AI1106" s="64"/>
      <c r="AJ1106" s="64"/>
      <c r="AK1106" s="64"/>
      <c r="AL1106" s="64"/>
      <c r="AM1106" s="169"/>
      <c r="AN1106" s="169"/>
      <c r="AO1106" s="169"/>
      <c r="AP1106" s="169"/>
      <c r="AQ1106" s="169"/>
      <c r="AR1106" s="169"/>
      <c r="AS1106" s="169"/>
      <c r="AT1106" s="169"/>
    </row>
    <row r="1107" spans="10:46">
      <c r="J1107" s="64"/>
      <c r="K1107" s="64"/>
      <c r="L1107" s="64"/>
      <c r="M1107" s="64"/>
      <c r="N1107" s="64"/>
      <c r="O1107" s="64"/>
      <c r="P1107" s="64"/>
      <c r="Q1107" s="64"/>
      <c r="R1107" s="64"/>
      <c r="S1107" s="64"/>
      <c r="T1107" s="64"/>
      <c r="U1107" s="64"/>
      <c r="V1107" s="64"/>
      <c r="W1107" s="64"/>
      <c r="X1107" s="64"/>
      <c r="Y1107" s="64"/>
      <c r="Z1107" s="64"/>
      <c r="AA1107" s="64"/>
      <c r="AB1107" s="64"/>
      <c r="AC1107" s="64"/>
      <c r="AD1107" s="64"/>
      <c r="AE1107" s="64"/>
      <c r="AF1107" s="64"/>
      <c r="AG1107" s="64"/>
      <c r="AH1107" s="64"/>
      <c r="AI1107" s="64"/>
      <c r="AJ1107" s="64"/>
      <c r="AK1107" s="64"/>
      <c r="AL1107" s="64"/>
      <c r="AM1107" s="169"/>
      <c r="AN1107" s="169"/>
      <c r="AO1107" s="169"/>
      <c r="AP1107" s="169"/>
      <c r="AQ1107" s="169"/>
      <c r="AR1107" s="169"/>
      <c r="AS1107" s="169"/>
      <c r="AT1107" s="169"/>
    </row>
    <row r="1108" spans="10:46">
      <c r="J1108" s="64"/>
      <c r="K1108" s="64"/>
      <c r="L1108" s="64"/>
      <c r="M1108" s="64"/>
      <c r="N1108" s="64"/>
      <c r="O1108" s="64"/>
      <c r="P1108" s="64"/>
      <c r="Q1108" s="64"/>
      <c r="R1108" s="64"/>
      <c r="S1108" s="64"/>
      <c r="T1108" s="64"/>
      <c r="U1108" s="64"/>
      <c r="V1108" s="64"/>
      <c r="W1108" s="64"/>
      <c r="X1108" s="64"/>
      <c r="Y1108" s="64"/>
      <c r="Z1108" s="64"/>
      <c r="AA1108" s="64"/>
      <c r="AB1108" s="64"/>
      <c r="AC1108" s="64"/>
      <c r="AD1108" s="64"/>
      <c r="AE1108" s="64"/>
      <c r="AF1108" s="64"/>
      <c r="AG1108" s="64"/>
      <c r="AH1108" s="64"/>
      <c r="AI1108" s="64"/>
      <c r="AJ1108" s="64"/>
      <c r="AK1108" s="64"/>
      <c r="AL1108" s="64"/>
      <c r="AM1108" s="169"/>
      <c r="AN1108" s="169"/>
      <c r="AO1108" s="169"/>
      <c r="AP1108" s="169"/>
      <c r="AQ1108" s="169"/>
      <c r="AR1108" s="169"/>
      <c r="AS1108" s="169"/>
      <c r="AT1108" s="169"/>
    </row>
    <row r="1109" spans="10:46">
      <c r="J1109" s="64"/>
      <c r="K1109" s="64"/>
      <c r="L1109" s="64"/>
      <c r="M1109" s="64"/>
      <c r="N1109" s="64"/>
      <c r="O1109" s="64"/>
      <c r="P1109" s="64"/>
      <c r="Q1109" s="64"/>
      <c r="R1109" s="64"/>
      <c r="S1109" s="64"/>
      <c r="T1109" s="64"/>
      <c r="U1109" s="64"/>
      <c r="V1109" s="64"/>
      <c r="W1109" s="64"/>
      <c r="X1109" s="64"/>
      <c r="Y1109" s="64"/>
      <c r="Z1109" s="64"/>
      <c r="AA1109" s="64"/>
      <c r="AB1109" s="64"/>
      <c r="AC1109" s="64"/>
      <c r="AD1109" s="64"/>
      <c r="AE1109" s="64"/>
      <c r="AF1109" s="64"/>
      <c r="AG1109" s="64"/>
      <c r="AH1109" s="64"/>
      <c r="AI1109" s="64"/>
      <c r="AJ1109" s="64"/>
      <c r="AK1109" s="64"/>
      <c r="AL1109" s="64"/>
      <c r="AM1109" s="169"/>
      <c r="AN1109" s="169"/>
      <c r="AO1109" s="169"/>
      <c r="AP1109" s="169"/>
      <c r="AQ1109" s="169"/>
      <c r="AR1109" s="169"/>
      <c r="AS1109" s="169"/>
      <c r="AT1109" s="169"/>
    </row>
    <row r="1110" spans="10:46">
      <c r="J1110" s="64"/>
      <c r="K1110" s="64"/>
      <c r="L1110" s="64"/>
      <c r="M1110" s="64"/>
      <c r="N1110" s="64"/>
      <c r="O1110" s="64"/>
      <c r="P1110" s="64"/>
      <c r="Q1110" s="64"/>
      <c r="R1110" s="64"/>
      <c r="S1110" s="64"/>
      <c r="T1110" s="64"/>
      <c r="U1110" s="64"/>
      <c r="V1110" s="64"/>
      <c r="W1110" s="64"/>
      <c r="X1110" s="64"/>
      <c r="Y1110" s="64"/>
      <c r="Z1110" s="64"/>
      <c r="AA1110" s="64"/>
      <c r="AB1110" s="64"/>
      <c r="AC1110" s="64"/>
      <c r="AD1110" s="64"/>
      <c r="AE1110" s="64"/>
      <c r="AF1110" s="64"/>
      <c r="AG1110" s="64"/>
      <c r="AH1110" s="64"/>
      <c r="AI1110" s="64"/>
      <c r="AJ1110" s="64"/>
      <c r="AK1110" s="64"/>
      <c r="AL1110" s="64"/>
      <c r="AM1110" s="169"/>
      <c r="AN1110" s="169"/>
      <c r="AO1110" s="169"/>
      <c r="AP1110" s="169"/>
      <c r="AQ1110" s="169"/>
      <c r="AR1110" s="169"/>
      <c r="AS1110" s="169"/>
      <c r="AT1110" s="169"/>
    </row>
    <row r="1111" spans="10:46">
      <c r="J1111" s="64"/>
      <c r="K1111" s="64"/>
      <c r="L1111" s="64"/>
      <c r="M1111" s="64"/>
      <c r="N1111" s="64"/>
      <c r="O1111" s="64"/>
      <c r="P1111" s="64"/>
      <c r="Q1111" s="64"/>
      <c r="R1111" s="64"/>
      <c r="S1111" s="64"/>
      <c r="T1111" s="64"/>
      <c r="U1111" s="64"/>
      <c r="V1111" s="64"/>
      <c r="W1111" s="64"/>
      <c r="X1111" s="64"/>
      <c r="Y1111" s="64"/>
      <c r="Z1111" s="64"/>
      <c r="AA1111" s="64"/>
      <c r="AB1111" s="64"/>
      <c r="AC1111" s="64"/>
      <c r="AD1111" s="64"/>
      <c r="AE1111" s="64"/>
      <c r="AF1111" s="64"/>
      <c r="AG1111" s="64"/>
      <c r="AH1111" s="64"/>
      <c r="AI1111" s="64"/>
      <c r="AJ1111" s="64"/>
      <c r="AK1111" s="64"/>
      <c r="AL1111" s="64"/>
      <c r="AM1111" s="169"/>
      <c r="AN1111" s="169"/>
      <c r="AO1111" s="169"/>
      <c r="AP1111" s="169"/>
      <c r="AQ1111" s="169"/>
      <c r="AR1111" s="169"/>
      <c r="AS1111" s="169"/>
      <c r="AT1111" s="169"/>
    </row>
    <row r="1112" spans="10:46">
      <c r="J1112" s="64"/>
      <c r="K1112" s="64"/>
      <c r="L1112" s="64"/>
      <c r="M1112" s="64"/>
      <c r="N1112" s="64"/>
      <c r="O1112" s="64"/>
      <c r="P1112" s="64"/>
      <c r="Q1112" s="64"/>
      <c r="R1112" s="64"/>
      <c r="S1112" s="64"/>
      <c r="T1112" s="64"/>
      <c r="U1112" s="64"/>
      <c r="V1112" s="64"/>
      <c r="W1112" s="64"/>
      <c r="X1112" s="64"/>
      <c r="Y1112" s="64"/>
      <c r="Z1112" s="64"/>
      <c r="AA1112" s="64"/>
      <c r="AB1112" s="64"/>
      <c r="AC1112" s="64"/>
      <c r="AD1112" s="64"/>
      <c r="AE1112" s="64"/>
      <c r="AF1112" s="64"/>
      <c r="AG1112" s="64"/>
      <c r="AH1112" s="64"/>
      <c r="AI1112" s="64"/>
      <c r="AJ1112" s="64"/>
      <c r="AK1112" s="64"/>
      <c r="AL1112" s="64"/>
      <c r="AM1112" s="169"/>
      <c r="AN1112" s="169"/>
      <c r="AO1112" s="169"/>
      <c r="AP1112" s="169"/>
      <c r="AQ1112" s="169"/>
      <c r="AR1112" s="169"/>
      <c r="AS1112" s="169"/>
      <c r="AT1112" s="169"/>
    </row>
    <row r="1113" spans="10:46">
      <c r="J1113" s="64"/>
      <c r="K1113" s="64"/>
      <c r="L1113" s="64"/>
      <c r="M1113" s="64"/>
      <c r="N1113" s="64"/>
      <c r="O1113" s="64"/>
      <c r="P1113" s="64"/>
      <c r="Q1113" s="64"/>
      <c r="R1113" s="64"/>
      <c r="S1113" s="64"/>
      <c r="T1113" s="64"/>
      <c r="U1113" s="64"/>
      <c r="V1113" s="64"/>
      <c r="W1113" s="64"/>
      <c r="X1113" s="64"/>
      <c r="Y1113" s="64"/>
      <c r="Z1113" s="64"/>
      <c r="AA1113" s="64"/>
      <c r="AB1113" s="64"/>
      <c r="AC1113" s="64"/>
      <c r="AD1113" s="64"/>
      <c r="AE1113" s="64"/>
      <c r="AF1113" s="64"/>
      <c r="AG1113" s="64"/>
      <c r="AH1113" s="64"/>
      <c r="AI1113" s="64"/>
      <c r="AJ1113" s="64"/>
      <c r="AK1113" s="64"/>
      <c r="AL1113" s="64"/>
      <c r="AM1113" s="169"/>
      <c r="AN1113" s="169"/>
      <c r="AO1113" s="169"/>
      <c r="AP1113" s="169"/>
      <c r="AQ1113" s="169"/>
      <c r="AR1113" s="169"/>
      <c r="AS1113" s="169"/>
      <c r="AT1113" s="169"/>
    </row>
    <row r="1114" spans="10:46">
      <c r="J1114" s="64"/>
      <c r="K1114" s="64"/>
      <c r="L1114" s="64"/>
      <c r="M1114" s="64"/>
      <c r="N1114" s="64"/>
      <c r="O1114" s="64"/>
      <c r="P1114" s="64"/>
      <c r="Q1114" s="64"/>
      <c r="R1114" s="64"/>
      <c r="S1114" s="64"/>
      <c r="T1114" s="64"/>
      <c r="U1114" s="64"/>
      <c r="V1114" s="64"/>
      <c r="W1114" s="64"/>
      <c r="X1114" s="64"/>
      <c r="Y1114" s="64"/>
      <c r="Z1114" s="64"/>
      <c r="AA1114" s="64"/>
      <c r="AB1114" s="64"/>
      <c r="AC1114" s="64"/>
      <c r="AD1114" s="64"/>
      <c r="AE1114" s="64"/>
      <c r="AF1114" s="64"/>
      <c r="AG1114" s="64"/>
      <c r="AH1114" s="64"/>
      <c r="AI1114" s="64"/>
      <c r="AJ1114" s="64"/>
      <c r="AK1114" s="64"/>
      <c r="AL1114" s="64"/>
      <c r="AM1114" s="169"/>
      <c r="AN1114" s="169"/>
      <c r="AO1114" s="169"/>
      <c r="AP1114" s="169"/>
      <c r="AQ1114" s="169"/>
      <c r="AR1114" s="169"/>
      <c r="AS1114" s="169"/>
      <c r="AT1114" s="169"/>
    </row>
    <row r="1115" spans="10:46">
      <c r="J1115" s="64"/>
      <c r="K1115" s="64"/>
      <c r="L1115" s="64"/>
      <c r="M1115" s="64"/>
      <c r="N1115" s="64"/>
      <c r="O1115" s="64"/>
      <c r="P1115" s="64"/>
      <c r="Q1115" s="64"/>
      <c r="R1115" s="64"/>
      <c r="S1115" s="64"/>
      <c r="T1115" s="64"/>
      <c r="U1115" s="64"/>
      <c r="V1115" s="64"/>
      <c r="W1115" s="64"/>
      <c r="X1115" s="64"/>
      <c r="Y1115" s="64"/>
      <c r="Z1115" s="64"/>
      <c r="AA1115" s="64"/>
      <c r="AB1115" s="64"/>
      <c r="AC1115" s="64"/>
      <c r="AD1115" s="64"/>
      <c r="AE1115" s="64"/>
      <c r="AF1115" s="64"/>
      <c r="AG1115" s="64"/>
      <c r="AH1115" s="64"/>
      <c r="AI1115" s="64"/>
      <c r="AJ1115" s="64"/>
      <c r="AK1115" s="64"/>
      <c r="AL1115" s="64"/>
      <c r="AM1115" s="169"/>
      <c r="AN1115" s="169"/>
      <c r="AO1115" s="169"/>
      <c r="AP1115" s="169"/>
      <c r="AQ1115" s="169"/>
      <c r="AR1115" s="169"/>
      <c r="AS1115" s="169"/>
      <c r="AT1115" s="169"/>
    </row>
    <row r="1116" spans="10:46">
      <c r="J1116" s="64"/>
      <c r="K1116" s="64"/>
      <c r="L1116" s="64"/>
      <c r="M1116" s="64"/>
      <c r="N1116" s="64"/>
      <c r="O1116" s="64"/>
      <c r="P1116" s="64"/>
      <c r="Q1116" s="64"/>
      <c r="R1116" s="64"/>
      <c r="S1116" s="64"/>
      <c r="T1116" s="64"/>
      <c r="U1116" s="64"/>
      <c r="V1116" s="64"/>
      <c r="W1116" s="64"/>
      <c r="X1116" s="64"/>
      <c r="Y1116" s="64"/>
      <c r="Z1116" s="64"/>
      <c r="AA1116" s="64"/>
      <c r="AB1116" s="64"/>
      <c r="AC1116" s="64"/>
      <c r="AD1116" s="64"/>
      <c r="AE1116" s="64"/>
      <c r="AF1116" s="64"/>
      <c r="AG1116" s="64"/>
      <c r="AH1116" s="64"/>
      <c r="AI1116" s="64"/>
      <c r="AJ1116" s="64"/>
      <c r="AK1116" s="64"/>
      <c r="AL1116" s="64"/>
      <c r="AM1116" s="169"/>
      <c r="AN1116" s="169"/>
      <c r="AO1116" s="169"/>
      <c r="AP1116" s="169"/>
      <c r="AQ1116" s="169"/>
      <c r="AR1116" s="169"/>
      <c r="AS1116" s="169"/>
      <c r="AT1116" s="169"/>
    </row>
    <row r="1117" spans="10:46">
      <c r="J1117" s="64"/>
      <c r="K1117" s="64"/>
      <c r="L1117" s="64"/>
      <c r="M1117" s="64"/>
      <c r="N1117" s="64"/>
      <c r="O1117" s="64"/>
      <c r="P1117" s="64"/>
      <c r="Q1117" s="64"/>
      <c r="R1117" s="64"/>
      <c r="S1117" s="64"/>
      <c r="T1117" s="64"/>
      <c r="U1117" s="64"/>
      <c r="V1117" s="64"/>
      <c r="W1117" s="64"/>
      <c r="X1117" s="64"/>
      <c r="Y1117" s="64"/>
      <c r="Z1117" s="64"/>
      <c r="AA1117" s="64"/>
      <c r="AB1117" s="64"/>
      <c r="AC1117" s="64"/>
      <c r="AD1117" s="64"/>
      <c r="AE1117" s="64"/>
      <c r="AF1117" s="64"/>
      <c r="AG1117" s="64"/>
      <c r="AH1117" s="64"/>
      <c r="AI1117" s="64"/>
      <c r="AJ1117" s="64"/>
      <c r="AK1117" s="64"/>
      <c r="AL1117" s="64"/>
      <c r="AM1117" s="169"/>
      <c r="AN1117" s="169"/>
      <c r="AO1117" s="169"/>
      <c r="AP1117" s="169"/>
      <c r="AQ1117" s="169"/>
      <c r="AR1117" s="169"/>
      <c r="AS1117" s="169"/>
      <c r="AT1117" s="169"/>
    </row>
    <row r="1118" spans="10:46">
      <c r="J1118" s="64"/>
      <c r="K1118" s="64"/>
      <c r="L1118" s="64"/>
      <c r="M1118" s="64"/>
      <c r="N1118" s="64"/>
      <c r="O1118" s="64"/>
      <c r="P1118" s="64"/>
      <c r="Q1118" s="64"/>
      <c r="R1118" s="64"/>
      <c r="S1118" s="64"/>
      <c r="T1118" s="64"/>
      <c r="U1118" s="64"/>
      <c r="V1118" s="64"/>
      <c r="W1118" s="64"/>
      <c r="X1118" s="64"/>
      <c r="Y1118" s="64"/>
      <c r="Z1118" s="64"/>
      <c r="AA1118" s="64"/>
      <c r="AB1118" s="64"/>
      <c r="AC1118" s="64"/>
      <c r="AD1118" s="64"/>
      <c r="AE1118" s="64"/>
      <c r="AF1118" s="64"/>
      <c r="AG1118" s="64"/>
      <c r="AH1118" s="64"/>
      <c r="AI1118" s="64"/>
      <c r="AJ1118" s="64"/>
      <c r="AK1118" s="64"/>
      <c r="AL1118" s="64"/>
      <c r="AM1118" s="169"/>
      <c r="AN1118" s="169"/>
      <c r="AO1118" s="169"/>
      <c r="AP1118" s="169"/>
      <c r="AQ1118" s="169"/>
      <c r="AR1118" s="169"/>
      <c r="AS1118" s="169"/>
      <c r="AT1118" s="169"/>
    </row>
    <row r="1119" spans="10:46">
      <c r="J1119" s="64"/>
      <c r="K1119" s="64"/>
      <c r="L1119" s="64"/>
      <c r="M1119" s="64"/>
      <c r="N1119" s="64"/>
      <c r="O1119" s="64"/>
      <c r="P1119" s="64"/>
      <c r="Q1119" s="64"/>
      <c r="R1119" s="64"/>
      <c r="S1119" s="64"/>
      <c r="T1119" s="64"/>
      <c r="U1119" s="64"/>
      <c r="V1119" s="64"/>
      <c r="W1119" s="64"/>
      <c r="X1119" s="64"/>
      <c r="Y1119" s="64"/>
      <c r="Z1119" s="64"/>
      <c r="AA1119" s="64"/>
      <c r="AB1119" s="64"/>
      <c r="AC1119" s="64"/>
      <c r="AD1119" s="64"/>
      <c r="AE1119" s="64"/>
      <c r="AF1119" s="64"/>
      <c r="AG1119" s="64"/>
      <c r="AH1119" s="64"/>
      <c r="AI1119" s="64"/>
      <c r="AJ1119" s="64"/>
      <c r="AK1119" s="64"/>
      <c r="AL1119" s="64"/>
      <c r="AM1119" s="169"/>
      <c r="AN1119" s="169"/>
      <c r="AO1119" s="169"/>
      <c r="AP1119" s="169"/>
      <c r="AQ1119" s="169"/>
      <c r="AR1119" s="169"/>
      <c r="AS1119" s="169"/>
      <c r="AT1119" s="169"/>
    </row>
    <row r="1120" spans="10:46">
      <c r="J1120" s="64"/>
      <c r="K1120" s="64"/>
      <c r="L1120" s="64"/>
      <c r="M1120" s="64"/>
      <c r="N1120" s="64"/>
      <c r="O1120" s="64"/>
      <c r="P1120" s="64"/>
      <c r="Q1120" s="64"/>
      <c r="R1120" s="64"/>
      <c r="S1120" s="64"/>
      <c r="T1120" s="64"/>
      <c r="U1120" s="64"/>
      <c r="V1120" s="64"/>
      <c r="W1120" s="64"/>
      <c r="X1120" s="64"/>
      <c r="Y1120" s="64"/>
      <c r="Z1120" s="64"/>
      <c r="AA1120" s="64"/>
      <c r="AB1120" s="64"/>
      <c r="AC1120" s="64"/>
      <c r="AD1120" s="64"/>
      <c r="AE1120" s="64"/>
      <c r="AF1120" s="64"/>
      <c r="AG1120" s="64"/>
      <c r="AH1120" s="64"/>
      <c r="AI1120" s="64"/>
      <c r="AJ1120" s="64"/>
      <c r="AK1120" s="64"/>
      <c r="AL1120" s="64"/>
      <c r="AM1120" s="169"/>
      <c r="AN1120" s="169"/>
      <c r="AO1120" s="169"/>
      <c r="AP1120" s="169"/>
      <c r="AQ1120" s="169"/>
      <c r="AR1120" s="169"/>
      <c r="AS1120" s="169"/>
      <c r="AT1120" s="169"/>
    </row>
    <row r="1121" spans="10:46">
      <c r="J1121" s="64"/>
      <c r="K1121" s="64"/>
      <c r="L1121" s="64"/>
      <c r="M1121" s="64"/>
      <c r="N1121" s="64"/>
      <c r="O1121" s="64"/>
      <c r="P1121" s="64"/>
      <c r="Q1121" s="64"/>
      <c r="R1121" s="64"/>
      <c r="S1121" s="64"/>
      <c r="T1121" s="64"/>
      <c r="U1121" s="64"/>
      <c r="V1121" s="64"/>
      <c r="W1121" s="64"/>
      <c r="X1121" s="64"/>
      <c r="Y1121" s="64"/>
      <c r="Z1121" s="64"/>
      <c r="AA1121" s="64"/>
      <c r="AB1121" s="64"/>
      <c r="AC1121" s="64"/>
      <c r="AD1121" s="64"/>
      <c r="AE1121" s="64"/>
      <c r="AF1121" s="64"/>
      <c r="AG1121" s="64"/>
      <c r="AH1121" s="64"/>
      <c r="AI1121" s="64"/>
      <c r="AJ1121" s="64"/>
      <c r="AK1121" s="64"/>
      <c r="AL1121" s="64"/>
      <c r="AM1121" s="169"/>
      <c r="AN1121" s="169"/>
      <c r="AO1121" s="169"/>
      <c r="AP1121" s="169"/>
      <c r="AQ1121" s="169"/>
      <c r="AR1121" s="169"/>
      <c r="AS1121" s="169"/>
      <c r="AT1121" s="169"/>
    </row>
    <row r="1122" spans="10:46">
      <c r="J1122" s="64"/>
      <c r="K1122" s="64"/>
      <c r="L1122" s="64"/>
      <c r="M1122" s="64"/>
      <c r="N1122" s="64"/>
      <c r="O1122" s="64"/>
      <c r="P1122" s="64"/>
      <c r="Q1122" s="64"/>
      <c r="R1122" s="64"/>
      <c r="S1122" s="64"/>
      <c r="T1122" s="64"/>
      <c r="U1122" s="64"/>
      <c r="V1122" s="64"/>
      <c r="W1122" s="64"/>
      <c r="X1122" s="64"/>
      <c r="Y1122" s="64"/>
      <c r="Z1122" s="64"/>
      <c r="AA1122" s="64"/>
      <c r="AB1122" s="64"/>
      <c r="AC1122" s="64"/>
      <c r="AD1122" s="64"/>
      <c r="AE1122" s="64"/>
      <c r="AF1122" s="64"/>
      <c r="AG1122" s="64"/>
      <c r="AH1122" s="64"/>
      <c r="AI1122" s="64"/>
      <c r="AJ1122" s="64"/>
      <c r="AK1122" s="64"/>
      <c r="AL1122" s="64"/>
      <c r="AM1122" s="169"/>
      <c r="AN1122" s="169"/>
      <c r="AO1122" s="169"/>
      <c r="AP1122" s="169"/>
      <c r="AQ1122" s="169"/>
      <c r="AR1122" s="169"/>
      <c r="AS1122" s="169"/>
      <c r="AT1122" s="169"/>
    </row>
    <row r="1123" spans="10:46">
      <c r="J1123" s="64"/>
      <c r="K1123" s="64"/>
      <c r="L1123" s="64"/>
      <c r="M1123" s="64"/>
      <c r="N1123" s="64"/>
      <c r="O1123" s="64"/>
      <c r="P1123" s="64"/>
      <c r="Q1123" s="64"/>
      <c r="R1123" s="64"/>
      <c r="S1123" s="64"/>
      <c r="T1123" s="64"/>
      <c r="U1123" s="64"/>
      <c r="V1123" s="64"/>
      <c r="W1123" s="64"/>
      <c r="X1123" s="64"/>
      <c r="Y1123" s="64"/>
      <c r="Z1123" s="64"/>
      <c r="AA1123" s="64"/>
      <c r="AB1123" s="64"/>
      <c r="AC1123" s="64"/>
      <c r="AD1123" s="64"/>
      <c r="AE1123" s="64"/>
      <c r="AF1123" s="64"/>
      <c r="AG1123" s="64"/>
      <c r="AH1123" s="64"/>
      <c r="AI1123" s="64"/>
      <c r="AJ1123" s="64"/>
      <c r="AK1123" s="64"/>
      <c r="AL1123" s="64"/>
      <c r="AM1123" s="169"/>
      <c r="AN1123" s="169"/>
      <c r="AO1123" s="169"/>
      <c r="AP1123" s="169"/>
      <c r="AQ1123" s="169"/>
      <c r="AR1123" s="169"/>
      <c r="AS1123" s="169"/>
      <c r="AT1123" s="169"/>
    </row>
    <row r="1124" spans="10:46">
      <c r="J1124" s="64"/>
      <c r="K1124" s="64"/>
      <c r="L1124" s="64"/>
      <c r="M1124" s="64"/>
      <c r="N1124" s="64"/>
      <c r="O1124" s="64"/>
      <c r="P1124" s="64"/>
      <c r="Q1124" s="64"/>
      <c r="R1124" s="64"/>
      <c r="S1124" s="64"/>
      <c r="T1124" s="64"/>
      <c r="U1124" s="64"/>
      <c r="V1124" s="64"/>
      <c r="W1124" s="64"/>
      <c r="X1124" s="64"/>
      <c r="Y1124" s="64"/>
      <c r="Z1124" s="64"/>
      <c r="AA1124" s="64"/>
      <c r="AB1124" s="64"/>
      <c r="AC1124" s="64"/>
      <c r="AD1124" s="64"/>
      <c r="AE1124" s="64"/>
      <c r="AF1124" s="64"/>
      <c r="AG1124" s="64"/>
      <c r="AH1124" s="64"/>
      <c r="AI1124" s="64"/>
      <c r="AJ1124" s="64"/>
      <c r="AK1124" s="64"/>
      <c r="AL1124" s="64"/>
      <c r="AM1124" s="169"/>
      <c r="AN1124" s="169"/>
      <c r="AO1124" s="169"/>
      <c r="AP1124" s="169"/>
      <c r="AQ1124" s="169"/>
      <c r="AR1124" s="169"/>
      <c r="AS1124" s="169"/>
      <c r="AT1124" s="169"/>
    </row>
    <row r="1125" spans="10:46">
      <c r="J1125" s="64"/>
      <c r="K1125" s="64"/>
      <c r="L1125" s="64"/>
      <c r="M1125" s="64"/>
      <c r="N1125" s="64"/>
      <c r="O1125" s="64"/>
      <c r="P1125" s="64"/>
      <c r="Q1125" s="64"/>
      <c r="R1125" s="64"/>
      <c r="S1125" s="64"/>
      <c r="T1125" s="64"/>
      <c r="U1125" s="64"/>
      <c r="V1125" s="64"/>
      <c r="W1125" s="64"/>
      <c r="X1125" s="64"/>
      <c r="Y1125" s="64"/>
      <c r="Z1125" s="64"/>
      <c r="AA1125" s="64"/>
      <c r="AB1125" s="64"/>
      <c r="AC1125" s="64"/>
      <c r="AD1125" s="64"/>
      <c r="AE1125" s="64"/>
      <c r="AF1125" s="64"/>
      <c r="AG1125" s="64"/>
      <c r="AH1125" s="64"/>
      <c r="AI1125" s="64"/>
      <c r="AJ1125" s="64"/>
      <c r="AK1125" s="64"/>
      <c r="AL1125" s="64"/>
      <c r="AM1125" s="169"/>
      <c r="AN1125" s="169"/>
      <c r="AO1125" s="169"/>
      <c r="AP1125" s="169"/>
      <c r="AQ1125" s="169"/>
      <c r="AR1125" s="169"/>
      <c r="AS1125" s="169"/>
      <c r="AT1125" s="169"/>
    </row>
    <row r="1126" spans="10:46">
      <c r="J1126" s="64"/>
      <c r="K1126" s="64"/>
      <c r="L1126" s="64"/>
      <c r="M1126" s="64"/>
      <c r="N1126" s="64"/>
      <c r="O1126" s="64"/>
      <c r="P1126" s="64"/>
      <c r="Q1126" s="64"/>
      <c r="R1126" s="64"/>
      <c r="S1126" s="64"/>
      <c r="T1126" s="64"/>
      <c r="U1126" s="64"/>
      <c r="V1126" s="64"/>
      <c r="W1126" s="64"/>
      <c r="X1126" s="64"/>
      <c r="Y1126" s="64"/>
      <c r="Z1126" s="64"/>
      <c r="AA1126" s="64"/>
      <c r="AB1126" s="64"/>
      <c r="AC1126" s="64"/>
      <c r="AD1126" s="64"/>
      <c r="AE1126" s="64"/>
      <c r="AF1126" s="64"/>
      <c r="AG1126" s="64"/>
      <c r="AH1126" s="64"/>
      <c r="AI1126" s="64"/>
      <c r="AJ1126" s="64"/>
      <c r="AK1126" s="64"/>
      <c r="AL1126" s="64"/>
      <c r="AM1126" s="169"/>
      <c r="AN1126" s="169"/>
      <c r="AO1126" s="169"/>
      <c r="AP1126" s="169"/>
      <c r="AQ1126" s="169"/>
      <c r="AR1126" s="169"/>
      <c r="AS1126" s="169"/>
      <c r="AT1126" s="169"/>
    </row>
    <row r="1127" spans="10:46">
      <c r="J1127" s="64"/>
      <c r="K1127" s="64"/>
      <c r="L1127" s="64"/>
      <c r="M1127" s="64"/>
      <c r="N1127" s="64"/>
      <c r="O1127" s="64"/>
      <c r="P1127" s="64"/>
      <c r="Q1127" s="64"/>
      <c r="R1127" s="64"/>
      <c r="S1127" s="64"/>
      <c r="T1127" s="64"/>
      <c r="U1127" s="64"/>
      <c r="V1127" s="64"/>
      <c r="W1127" s="64"/>
      <c r="X1127" s="64"/>
      <c r="Y1127" s="64"/>
      <c r="Z1127" s="64"/>
      <c r="AA1127" s="64"/>
      <c r="AB1127" s="64"/>
      <c r="AC1127" s="64"/>
      <c r="AD1127" s="64"/>
      <c r="AE1127" s="64"/>
      <c r="AF1127" s="64"/>
      <c r="AG1127" s="64"/>
      <c r="AH1127" s="64"/>
      <c r="AI1127" s="64"/>
      <c r="AJ1127" s="64"/>
      <c r="AK1127" s="64"/>
      <c r="AL1127" s="64"/>
      <c r="AM1127" s="169"/>
      <c r="AN1127" s="169"/>
      <c r="AO1127" s="169"/>
      <c r="AP1127" s="169"/>
      <c r="AQ1127" s="169"/>
      <c r="AR1127" s="169"/>
      <c r="AS1127" s="169"/>
      <c r="AT1127" s="169"/>
    </row>
    <row r="1128" spans="10:46">
      <c r="J1128" s="64"/>
      <c r="K1128" s="64"/>
      <c r="L1128" s="64"/>
      <c r="M1128" s="64"/>
      <c r="N1128" s="64"/>
      <c r="O1128" s="64"/>
      <c r="P1128" s="64"/>
      <c r="Q1128" s="64"/>
      <c r="R1128" s="64"/>
      <c r="S1128" s="64"/>
      <c r="T1128" s="64"/>
      <c r="U1128" s="64"/>
      <c r="V1128" s="64"/>
      <c r="W1128" s="64"/>
      <c r="X1128" s="64"/>
      <c r="Y1128" s="64"/>
      <c r="Z1128" s="64"/>
      <c r="AA1128" s="64"/>
      <c r="AB1128" s="64"/>
      <c r="AC1128" s="64"/>
      <c r="AD1128" s="64"/>
      <c r="AE1128" s="64"/>
      <c r="AF1128" s="64"/>
      <c r="AG1128" s="64"/>
      <c r="AH1128" s="64"/>
      <c r="AI1128" s="64"/>
      <c r="AJ1128" s="64"/>
      <c r="AK1128" s="64"/>
      <c r="AL1128" s="64"/>
      <c r="AM1128" s="169"/>
      <c r="AN1128" s="169"/>
      <c r="AO1128" s="169"/>
      <c r="AP1128" s="169"/>
      <c r="AQ1128" s="169"/>
      <c r="AR1128" s="169"/>
      <c r="AS1128" s="169"/>
      <c r="AT1128" s="169"/>
    </row>
    <row r="1129" spans="10:46">
      <c r="J1129" s="64"/>
      <c r="K1129" s="64"/>
      <c r="L1129" s="64"/>
      <c r="M1129" s="64"/>
      <c r="N1129" s="64"/>
      <c r="O1129" s="64"/>
      <c r="P1129" s="64"/>
      <c r="Q1129" s="64"/>
      <c r="R1129" s="64"/>
      <c r="S1129" s="64"/>
      <c r="T1129" s="64"/>
      <c r="U1129" s="64"/>
      <c r="V1129" s="64"/>
      <c r="W1129" s="64"/>
      <c r="X1129" s="64"/>
      <c r="Y1129" s="64"/>
      <c r="Z1129" s="64"/>
      <c r="AA1129" s="64"/>
      <c r="AB1129" s="64"/>
      <c r="AC1129" s="64"/>
      <c r="AD1129" s="64"/>
      <c r="AE1129" s="64"/>
      <c r="AF1129" s="64"/>
      <c r="AG1129" s="64"/>
      <c r="AH1129" s="64"/>
      <c r="AI1129" s="64"/>
      <c r="AJ1129" s="64"/>
      <c r="AK1129" s="64"/>
      <c r="AL1129" s="64"/>
      <c r="AM1129" s="169"/>
      <c r="AN1129" s="169"/>
      <c r="AO1129" s="169"/>
      <c r="AP1129" s="169"/>
      <c r="AQ1129" s="169"/>
      <c r="AR1129" s="169"/>
      <c r="AS1129" s="169"/>
      <c r="AT1129" s="169"/>
    </row>
    <row r="1130" spans="10:46">
      <c r="J1130" s="64"/>
      <c r="K1130" s="64"/>
      <c r="L1130" s="64"/>
      <c r="M1130" s="64"/>
      <c r="N1130" s="64"/>
      <c r="O1130" s="64"/>
      <c r="P1130" s="64"/>
      <c r="Q1130" s="64"/>
      <c r="R1130" s="64"/>
      <c r="S1130" s="64"/>
      <c r="T1130" s="64"/>
      <c r="U1130" s="64"/>
      <c r="V1130" s="64"/>
      <c r="W1130" s="64"/>
      <c r="X1130" s="64"/>
      <c r="Y1130" s="64"/>
      <c r="Z1130" s="64"/>
      <c r="AA1130" s="64"/>
      <c r="AB1130" s="64"/>
      <c r="AC1130" s="64"/>
      <c r="AD1130" s="64"/>
      <c r="AE1130" s="64"/>
      <c r="AF1130" s="64"/>
      <c r="AG1130" s="64"/>
      <c r="AH1130" s="64"/>
      <c r="AI1130" s="64"/>
      <c r="AJ1130" s="64"/>
      <c r="AK1130" s="64"/>
      <c r="AL1130" s="64"/>
      <c r="AM1130" s="169"/>
      <c r="AN1130" s="169"/>
      <c r="AO1130" s="169"/>
      <c r="AP1130" s="169"/>
      <c r="AQ1130" s="169"/>
      <c r="AR1130" s="169"/>
      <c r="AS1130" s="169"/>
      <c r="AT1130" s="169"/>
    </row>
    <row r="1131" spans="10:46">
      <c r="J1131" s="64"/>
      <c r="K1131" s="64"/>
      <c r="L1131" s="64"/>
      <c r="M1131" s="64"/>
      <c r="N1131" s="64"/>
      <c r="O1131" s="64"/>
      <c r="P1131" s="64"/>
      <c r="Q1131" s="64"/>
      <c r="R1131" s="64"/>
      <c r="S1131" s="64"/>
      <c r="T1131" s="64"/>
      <c r="U1131" s="64"/>
      <c r="V1131" s="64"/>
      <c r="W1131" s="64"/>
      <c r="X1131" s="64"/>
      <c r="Y1131" s="64"/>
      <c r="Z1131" s="64"/>
      <c r="AA1131" s="64"/>
      <c r="AB1131" s="64"/>
      <c r="AC1131" s="64"/>
      <c r="AD1131" s="64"/>
      <c r="AE1131" s="64"/>
      <c r="AF1131" s="64"/>
      <c r="AG1131" s="64"/>
      <c r="AH1131" s="64"/>
      <c r="AI1131" s="64"/>
      <c r="AJ1131" s="64"/>
      <c r="AK1131" s="64"/>
      <c r="AL1131" s="64"/>
      <c r="AM1131" s="169"/>
      <c r="AN1131" s="169"/>
      <c r="AO1131" s="169"/>
      <c r="AP1131" s="169"/>
      <c r="AQ1131" s="169"/>
      <c r="AR1131" s="169"/>
      <c r="AS1131" s="169"/>
      <c r="AT1131" s="169"/>
    </row>
    <row r="1132" spans="10:46">
      <c r="J1132" s="64"/>
      <c r="K1132" s="64"/>
      <c r="L1132" s="64"/>
      <c r="M1132" s="64"/>
      <c r="N1132" s="64"/>
      <c r="O1132" s="64"/>
      <c r="P1132" s="64"/>
      <c r="Q1132" s="64"/>
      <c r="R1132" s="64"/>
      <c r="S1132" s="64"/>
      <c r="T1132" s="64"/>
      <c r="U1132" s="64"/>
      <c r="V1132" s="64"/>
      <c r="W1132" s="64"/>
      <c r="X1132" s="64"/>
      <c r="Y1132" s="64"/>
      <c r="Z1132" s="64"/>
      <c r="AA1132" s="64"/>
      <c r="AB1132" s="64"/>
      <c r="AC1132" s="64"/>
      <c r="AD1132" s="64"/>
      <c r="AE1132" s="64"/>
      <c r="AF1132" s="64"/>
      <c r="AG1132" s="64"/>
      <c r="AH1132" s="64"/>
      <c r="AI1132" s="64"/>
      <c r="AJ1132" s="64"/>
      <c r="AK1132" s="64"/>
      <c r="AL1132" s="64"/>
      <c r="AM1132" s="169"/>
      <c r="AN1132" s="169"/>
      <c r="AO1132" s="169"/>
      <c r="AP1132" s="169"/>
      <c r="AQ1132" s="169"/>
      <c r="AR1132" s="169"/>
      <c r="AS1132" s="169"/>
      <c r="AT1132" s="169"/>
    </row>
    <row r="1133" spans="10:46">
      <c r="J1133" s="64"/>
      <c r="K1133" s="64"/>
      <c r="L1133" s="64"/>
      <c r="M1133" s="64"/>
      <c r="N1133" s="64"/>
      <c r="O1133" s="64"/>
      <c r="P1133" s="64"/>
      <c r="Q1133" s="64"/>
      <c r="R1133" s="64"/>
      <c r="S1133" s="64"/>
      <c r="T1133" s="64"/>
      <c r="U1133" s="64"/>
      <c r="V1133" s="64"/>
      <c r="W1133" s="64"/>
      <c r="X1133" s="64"/>
      <c r="Y1133" s="64"/>
      <c r="Z1133" s="64"/>
      <c r="AA1133" s="64"/>
      <c r="AB1133" s="64"/>
      <c r="AC1133" s="64"/>
      <c r="AD1133" s="64"/>
      <c r="AE1133" s="64"/>
      <c r="AF1133" s="64"/>
      <c r="AG1133" s="64"/>
      <c r="AH1133" s="64"/>
      <c r="AI1133" s="64"/>
      <c r="AJ1133" s="64"/>
      <c r="AK1133" s="64"/>
      <c r="AL1133" s="64"/>
      <c r="AM1133" s="169"/>
      <c r="AN1133" s="169"/>
      <c r="AO1133" s="169"/>
      <c r="AP1133" s="169"/>
      <c r="AQ1133" s="169"/>
      <c r="AR1133" s="169"/>
      <c r="AS1133" s="169"/>
      <c r="AT1133" s="169"/>
    </row>
    <row r="1134" spans="10:46">
      <c r="J1134" s="64"/>
      <c r="K1134" s="64"/>
      <c r="L1134" s="64"/>
      <c r="M1134" s="64"/>
      <c r="N1134" s="64"/>
      <c r="O1134" s="64"/>
      <c r="P1134" s="64"/>
      <c r="Q1134" s="64"/>
      <c r="R1134" s="64"/>
      <c r="S1134" s="64"/>
      <c r="T1134" s="64"/>
      <c r="U1134" s="64"/>
      <c r="V1134" s="64"/>
      <c r="W1134" s="64"/>
      <c r="X1134" s="64"/>
      <c r="Y1134" s="64"/>
      <c r="Z1134" s="64"/>
      <c r="AA1134" s="64"/>
      <c r="AB1134" s="64"/>
      <c r="AC1134" s="64"/>
      <c r="AD1134" s="64"/>
      <c r="AE1134" s="64"/>
      <c r="AF1134" s="64"/>
      <c r="AG1134" s="64"/>
      <c r="AH1134" s="64"/>
      <c r="AI1134" s="64"/>
      <c r="AJ1134" s="64"/>
      <c r="AK1134" s="64"/>
      <c r="AL1134" s="64"/>
      <c r="AM1134" s="169"/>
      <c r="AN1134" s="169"/>
      <c r="AO1134" s="169"/>
      <c r="AP1134" s="169"/>
      <c r="AQ1134" s="169"/>
      <c r="AR1134" s="169"/>
      <c r="AS1134" s="169"/>
      <c r="AT1134" s="169"/>
    </row>
    <row r="1135" spans="10:46">
      <c r="J1135" s="64"/>
      <c r="K1135" s="64"/>
      <c r="L1135" s="64"/>
      <c r="M1135" s="64"/>
      <c r="N1135" s="64"/>
      <c r="O1135" s="64"/>
      <c r="P1135" s="64"/>
      <c r="Q1135" s="64"/>
      <c r="R1135" s="64"/>
      <c r="S1135" s="64"/>
      <c r="T1135" s="64"/>
      <c r="U1135" s="64"/>
      <c r="V1135" s="64"/>
      <c r="W1135" s="64"/>
      <c r="X1135" s="64"/>
      <c r="Y1135" s="64"/>
      <c r="Z1135" s="64"/>
      <c r="AA1135" s="64"/>
      <c r="AB1135" s="64"/>
      <c r="AC1135" s="64"/>
      <c r="AD1135" s="64"/>
      <c r="AE1135" s="64"/>
      <c r="AF1135" s="64"/>
      <c r="AG1135" s="64"/>
      <c r="AH1135" s="64"/>
      <c r="AI1135" s="64"/>
      <c r="AJ1135" s="64"/>
      <c r="AK1135" s="64"/>
      <c r="AL1135" s="64"/>
      <c r="AM1135" s="169"/>
      <c r="AN1135" s="169"/>
      <c r="AO1135" s="169"/>
      <c r="AP1135" s="169"/>
      <c r="AQ1135" s="169"/>
      <c r="AR1135" s="169"/>
      <c r="AS1135" s="169"/>
      <c r="AT1135" s="169"/>
    </row>
    <row r="1136" spans="10:46">
      <c r="J1136" s="64"/>
      <c r="K1136" s="64"/>
      <c r="L1136" s="64"/>
      <c r="M1136" s="64"/>
      <c r="N1136" s="64"/>
      <c r="O1136" s="64"/>
      <c r="P1136" s="64"/>
      <c r="Q1136" s="64"/>
      <c r="R1136" s="64"/>
      <c r="S1136" s="64"/>
      <c r="T1136" s="64"/>
      <c r="U1136" s="64"/>
      <c r="V1136" s="64"/>
      <c r="W1136" s="64"/>
      <c r="X1136" s="64"/>
      <c r="Y1136" s="64"/>
      <c r="Z1136" s="64"/>
      <c r="AA1136" s="64"/>
      <c r="AB1136" s="64"/>
      <c r="AC1136" s="64"/>
      <c r="AD1136" s="64"/>
      <c r="AE1136" s="64"/>
      <c r="AF1136" s="64"/>
      <c r="AG1136" s="64"/>
      <c r="AH1136" s="64"/>
      <c r="AI1136" s="64"/>
      <c r="AJ1136" s="64"/>
      <c r="AK1136" s="64"/>
      <c r="AL1136" s="64"/>
      <c r="AM1136" s="169"/>
      <c r="AN1136" s="169"/>
      <c r="AO1136" s="169"/>
      <c r="AP1136" s="169"/>
      <c r="AQ1136" s="169"/>
      <c r="AR1136" s="169"/>
      <c r="AS1136" s="169"/>
      <c r="AT1136" s="169"/>
    </row>
    <row r="1137" spans="10:46">
      <c r="J1137" s="64"/>
      <c r="K1137" s="64"/>
      <c r="L1137" s="64"/>
      <c r="M1137" s="64"/>
      <c r="N1137" s="64"/>
      <c r="O1137" s="64"/>
      <c r="P1137" s="64"/>
      <c r="Q1137" s="64"/>
      <c r="R1137" s="64"/>
      <c r="S1137" s="64"/>
      <c r="T1137" s="64"/>
      <c r="U1137" s="64"/>
      <c r="V1137" s="64"/>
      <c r="W1137" s="64"/>
      <c r="X1137" s="64"/>
      <c r="Y1137" s="64"/>
      <c r="Z1137" s="64"/>
      <c r="AA1137" s="64"/>
      <c r="AB1137" s="64"/>
      <c r="AC1137" s="64"/>
      <c r="AD1137" s="64"/>
      <c r="AE1137" s="64"/>
      <c r="AF1137" s="64"/>
      <c r="AG1137" s="64"/>
      <c r="AH1137" s="64"/>
      <c r="AI1137" s="64"/>
      <c r="AJ1137" s="64"/>
      <c r="AK1137" s="64"/>
      <c r="AL1137" s="64"/>
      <c r="AM1137" s="169"/>
      <c r="AN1137" s="169"/>
      <c r="AO1137" s="169"/>
      <c r="AP1137" s="169"/>
      <c r="AQ1137" s="169"/>
      <c r="AR1137" s="169"/>
      <c r="AS1137" s="169"/>
      <c r="AT1137" s="169"/>
    </row>
    <row r="1138" spans="10:46">
      <c r="J1138" s="64"/>
      <c r="K1138" s="64"/>
      <c r="L1138" s="64"/>
      <c r="M1138" s="64"/>
      <c r="N1138" s="64"/>
      <c r="O1138" s="64"/>
      <c r="P1138" s="64"/>
      <c r="Q1138" s="64"/>
      <c r="R1138" s="64"/>
      <c r="S1138" s="64"/>
      <c r="T1138" s="64"/>
      <c r="U1138" s="64"/>
      <c r="V1138" s="64"/>
      <c r="W1138" s="64"/>
      <c r="X1138" s="64"/>
      <c r="Y1138" s="64"/>
      <c r="Z1138" s="64"/>
      <c r="AA1138" s="64"/>
      <c r="AB1138" s="64"/>
      <c r="AC1138" s="64"/>
      <c r="AD1138" s="64"/>
      <c r="AE1138" s="64"/>
      <c r="AF1138" s="64"/>
      <c r="AG1138" s="64"/>
      <c r="AH1138" s="64"/>
      <c r="AI1138" s="64"/>
      <c r="AJ1138" s="64"/>
      <c r="AK1138" s="64"/>
      <c r="AL1138" s="64"/>
      <c r="AM1138" s="169"/>
      <c r="AN1138" s="169"/>
      <c r="AO1138" s="169"/>
      <c r="AP1138" s="169"/>
      <c r="AQ1138" s="169"/>
      <c r="AR1138" s="169"/>
      <c r="AS1138" s="169"/>
      <c r="AT1138" s="169"/>
    </row>
    <row r="1139" spans="10:46">
      <c r="J1139" s="64"/>
      <c r="K1139" s="64"/>
      <c r="L1139" s="64"/>
      <c r="M1139" s="64"/>
      <c r="N1139" s="64"/>
      <c r="O1139" s="64"/>
      <c r="P1139" s="64"/>
      <c r="Q1139" s="64"/>
      <c r="R1139" s="64"/>
      <c r="S1139" s="64"/>
      <c r="T1139" s="64"/>
      <c r="U1139" s="64"/>
      <c r="V1139" s="64"/>
      <c r="W1139" s="64"/>
      <c r="X1139" s="64"/>
      <c r="Y1139" s="64"/>
      <c r="Z1139" s="64"/>
      <c r="AA1139" s="64"/>
      <c r="AB1139" s="64"/>
      <c r="AC1139" s="64"/>
      <c r="AD1139" s="64"/>
      <c r="AE1139" s="64"/>
      <c r="AF1139" s="64"/>
      <c r="AG1139" s="64"/>
      <c r="AH1139" s="64"/>
      <c r="AI1139" s="64"/>
      <c r="AJ1139" s="64"/>
      <c r="AK1139" s="64"/>
      <c r="AL1139" s="64"/>
      <c r="AM1139" s="169"/>
      <c r="AN1139" s="169"/>
      <c r="AO1139" s="169"/>
      <c r="AP1139" s="169"/>
      <c r="AQ1139" s="169"/>
      <c r="AR1139" s="169"/>
      <c r="AS1139" s="169"/>
      <c r="AT1139" s="169"/>
    </row>
    <row r="1140" spans="10:46">
      <c r="J1140" s="64"/>
      <c r="K1140" s="64"/>
      <c r="L1140" s="64"/>
      <c r="M1140" s="64"/>
      <c r="N1140" s="64"/>
      <c r="O1140" s="64"/>
      <c r="P1140" s="64"/>
      <c r="Q1140" s="64"/>
      <c r="R1140" s="64"/>
      <c r="S1140" s="64"/>
      <c r="T1140" s="64"/>
      <c r="U1140" s="64"/>
      <c r="V1140" s="64"/>
      <c r="W1140" s="64"/>
      <c r="X1140" s="64"/>
      <c r="Y1140" s="64"/>
      <c r="Z1140" s="64"/>
      <c r="AA1140" s="64"/>
      <c r="AB1140" s="64"/>
      <c r="AC1140" s="64"/>
      <c r="AD1140" s="64"/>
      <c r="AE1140" s="64"/>
      <c r="AF1140" s="64"/>
      <c r="AG1140" s="64"/>
      <c r="AH1140" s="64"/>
      <c r="AI1140" s="64"/>
      <c r="AJ1140" s="64"/>
      <c r="AK1140" s="64"/>
      <c r="AL1140" s="64"/>
      <c r="AM1140" s="169"/>
      <c r="AN1140" s="169"/>
      <c r="AO1140" s="169"/>
      <c r="AP1140" s="169"/>
      <c r="AQ1140" s="169"/>
      <c r="AR1140" s="169"/>
      <c r="AS1140" s="169"/>
      <c r="AT1140" s="169"/>
    </row>
    <row r="1141" spans="10:46">
      <c r="J1141" s="64"/>
      <c r="K1141" s="64"/>
      <c r="L1141" s="64"/>
      <c r="M1141" s="64"/>
      <c r="N1141" s="64"/>
      <c r="O1141" s="64"/>
      <c r="P1141" s="64"/>
      <c r="Q1141" s="64"/>
      <c r="R1141" s="64"/>
      <c r="S1141" s="64"/>
      <c r="T1141" s="64"/>
      <c r="U1141" s="64"/>
      <c r="V1141" s="64"/>
      <c r="W1141" s="64"/>
      <c r="X1141" s="64"/>
      <c r="Y1141" s="64"/>
      <c r="Z1141" s="64"/>
      <c r="AA1141" s="64"/>
      <c r="AB1141" s="64"/>
      <c r="AC1141" s="64"/>
      <c r="AD1141" s="64"/>
      <c r="AE1141" s="64"/>
      <c r="AF1141" s="64"/>
      <c r="AG1141" s="64"/>
      <c r="AH1141" s="64"/>
      <c r="AI1141" s="64"/>
      <c r="AJ1141" s="64"/>
      <c r="AK1141" s="64"/>
      <c r="AL1141" s="64"/>
      <c r="AM1141" s="169"/>
      <c r="AN1141" s="169"/>
      <c r="AO1141" s="169"/>
      <c r="AP1141" s="169"/>
      <c r="AQ1141" s="169"/>
      <c r="AR1141" s="169"/>
      <c r="AS1141" s="169"/>
      <c r="AT1141" s="169"/>
    </row>
    <row r="1142" spans="10:46">
      <c r="J1142" s="64"/>
      <c r="K1142" s="64"/>
      <c r="L1142" s="64"/>
      <c r="M1142" s="64"/>
      <c r="N1142" s="64"/>
      <c r="O1142" s="64"/>
      <c r="P1142" s="64"/>
      <c r="Q1142" s="64"/>
      <c r="R1142" s="64"/>
      <c r="S1142" s="64"/>
      <c r="T1142" s="64"/>
      <c r="U1142" s="64"/>
      <c r="V1142" s="64"/>
      <c r="W1142" s="64"/>
      <c r="X1142" s="64"/>
      <c r="Y1142" s="64"/>
      <c r="Z1142" s="64"/>
      <c r="AA1142" s="64"/>
      <c r="AB1142" s="64"/>
      <c r="AC1142" s="64"/>
      <c r="AD1142" s="64"/>
      <c r="AE1142" s="64"/>
      <c r="AF1142" s="64"/>
      <c r="AG1142" s="64"/>
      <c r="AH1142" s="64"/>
      <c r="AI1142" s="64"/>
      <c r="AJ1142" s="64"/>
      <c r="AK1142" s="64"/>
      <c r="AL1142" s="64"/>
      <c r="AM1142" s="169"/>
      <c r="AN1142" s="169"/>
      <c r="AO1142" s="169"/>
      <c r="AP1142" s="169"/>
      <c r="AQ1142" s="169"/>
      <c r="AR1142" s="169"/>
      <c r="AS1142" s="169"/>
      <c r="AT1142" s="169"/>
    </row>
    <row r="1143" spans="10:46">
      <c r="J1143" s="64"/>
      <c r="K1143" s="64"/>
      <c r="L1143" s="64"/>
      <c r="M1143" s="64"/>
      <c r="N1143" s="64"/>
      <c r="O1143" s="64"/>
      <c r="P1143" s="64"/>
      <c r="Q1143" s="64"/>
      <c r="R1143" s="64"/>
      <c r="S1143" s="64"/>
      <c r="T1143" s="64"/>
      <c r="U1143" s="64"/>
      <c r="V1143" s="64"/>
      <c r="W1143" s="64"/>
      <c r="X1143" s="64"/>
      <c r="Y1143" s="64"/>
      <c r="Z1143" s="64"/>
      <c r="AA1143" s="64"/>
      <c r="AB1143" s="64"/>
      <c r="AC1143" s="64"/>
      <c r="AD1143" s="64"/>
      <c r="AE1143" s="64"/>
      <c r="AF1143" s="64"/>
      <c r="AG1143" s="64"/>
      <c r="AH1143" s="64"/>
      <c r="AI1143" s="64"/>
      <c r="AJ1143" s="64"/>
      <c r="AK1143" s="64"/>
      <c r="AL1143" s="64"/>
      <c r="AM1143" s="169"/>
      <c r="AN1143" s="169"/>
      <c r="AO1143" s="169"/>
      <c r="AP1143" s="169"/>
      <c r="AQ1143" s="169"/>
      <c r="AR1143" s="169"/>
      <c r="AS1143" s="169"/>
      <c r="AT1143" s="169"/>
    </row>
    <row r="1144" spans="10:46">
      <c r="J1144" s="64"/>
      <c r="K1144" s="64"/>
      <c r="L1144" s="64"/>
      <c r="M1144" s="64"/>
      <c r="N1144" s="64"/>
      <c r="O1144" s="64"/>
      <c r="P1144" s="64"/>
      <c r="Q1144" s="64"/>
      <c r="R1144" s="64"/>
      <c r="S1144" s="64"/>
      <c r="T1144" s="64"/>
      <c r="U1144" s="64"/>
      <c r="V1144" s="64"/>
      <c r="W1144" s="64"/>
      <c r="X1144" s="64"/>
      <c r="Y1144" s="64"/>
      <c r="Z1144" s="64"/>
      <c r="AA1144" s="64"/>
      <c r="AB1144" s="64"/>
      <c r="AC1144" s="64"/>
      <c r="AD1144" s="64"/>
      <c r="AE1144" s="64"/>
      <c r="AF1144" s="64"/>
      <c r="AG1144" s="64"/>
      <c r="AH1144" s="64"/>
      <c r="AI1144" s="64"/>
      <c r="AJ1144" s="64"/>
      <c r="AK1144" s="64"/>
      <c r="AL1144" s="64"/>
      <c r="AM1144" s="169"/>
      <c r="AN1144" s="169"/>
      <c r="AO1144" s="169"/>
      <c r="AP1144" s="169"/>
      <c r="AQ1144" s="169"/>
      <c r="AR1144" s="169"/>
      <c r="AS1144" s="169"/>
      <c r="AT1144" s="169"/>
    </row>
    <row r="1145" spans="10:46">
      <c r="J1145" s="64"/>
      <c r="K1145" s="64"/>
      <c r="L1145" s="64"/>
      <c r="M1145" s="64"/>
      <c r="N1145" s="64"/>
      <c r="O1145" s="64"/>
      <c r="P1145" s="64"/>
      <c r="Q1145" s="64"/>
      <c r="R1145" s="64"/>
      <c r="S1145" s="64"/>
      <c r="T1145" s="64"/>
      <c r="U1145" s="64"/>
      <c r="V1145" s="64"/>
      <c r="W1145" s="64"/>
      <c r="X1145" s="64"/>
      <c r="Y1145" s="64"/>
      <c r="Z1145" s="64"/>
      <c r="AA1145" s="64"/>
      <c r="AB1145" s="64"/>
      <c r="AC1145" s="64"/>
      <c r="AD1145" s="64"/>
      <c r="AE1145" s="64"/>
      <c r="AF1145" s="64"/>
      <c r="AG1145" s="64"/>
      <c r="AH1145" s="64"/>
      <c r="AI1145" s="64"/>
      <c r="AJ1145" s="64"/>
      <c r="AK1145" s="64"/>
      <c r="AL1145" s="64"/>
      <c r="AM1145" s="169"/>
      <c r="AN1145" s="169"/>
      <c r="AO1145" s="169"/>
      <c r="AP1145" s="169"/>
      <c r="AQ1145" s="169"/>
      <c r="AR1145" s="169"/>
      <c r="AS1145" s="169"/>
      <c r="AT1145" s="169"/>
    </row>
    <row r="1146" spans="10:46">
      <c r="J1146" s="64"/>
      <c r="K1146" s="64"/>
      <c r="L1146" s="64"/>
      <c r="M1146" s="64"/>
      <c r="N1146" s="64"/>
      <c r="O1146" s="64"/>
      <c r="P1146" s="64"/>
      <c r="Q1146" s="64"/>
      <c r="R1146" s="64"/>
      <c r="S1146" s="64"/>
      <c r="T1146" s="64"/>
      <c r="U1146" s="64"/>
      <c r="V1146" s="64"/>
      <c r="W1146" s="64"/>
      <c r="X1146" s="64"/>
      <c r="Y1146" s="64"/>
      <c r="Z1146" s="64"/>
      <c r="AA1146" s="64"/>
      <c r="AB1146" s="64"/>
      <c r="AC1146" s="64"/>
      <c r="AD1146" s="64"/>
      <c r="AE1146" s="64"/>
      <c r="AF1146" s="64"/>
      <c r="AG1146" s="64"/>
      <c r="AH1146" s="64"/>
      <c r="AI1146" s="64"/>
      <c r="AJ1146" s="64"/>
      <c r="AK1146" s="64"/>
      <c r="AL1146" s="64"/>
      <c r="AM1146" s="169"/>
      <c r="AN1146" s="169"/>
      <c r="AO1146" s="169"/>
      <c r="AP1146" s="169"/>
      <c r="AQ1146" s="169"/>
      <c r="AR1146" s="169"/>
      <c r="AS1146" s="169"/>
      <c r="AT1146" s="169"/>
    </row>
    <row r="1147" spans="10:46">
      <c r="J1147" s="64"/>
      <c r="K1147" s="64"/>
      <c r="L1147" s="64"/>
      <c r="M1147" s="64"/>
      <c r="N1147" s="64"/>
      <c r="O1147" s="64"/>
      <c r="P1147" s="64"/>
      <c r="Q1147" s="64"/>
      <c r="R1147" s="64"/>
      <c r="S1147" s="64"/>
      <c r="T1147" s="64"/>
      <c r="U1147" s="64"/>
      <c r="V1147" s="64"/>
      <c r="W1147" s="64"/>
      <c r="X1147" s="64"/>
      <c r="Y1147" s="64"/>
      <c r="Z1147" s="64"/>
      <c r="AA1147" s="64"/>
      <c r="AB1147" s="64"/>
      <c r="AC1147" s="64"/>
      <c r="AD1147" s="64"/>
      <c r="AE1147" s="64"/>
      <c r="AF1147" s="64"/>
      <c r="AG1147" s="64"/>
      <c r="AH1147" s="64"/>
      <c r="AI1147" s="64"/>
      <c r="AJ1147" s="64"/>
      <c r="AK1147" s="64"/>
      <c r="AL1147" s="64"/>
      <c r="AM1147" s="169"/>
      <c r="AN1147" s="169"/>
      <c r="AO1147" s="169"/>
      <c r="AP1147" s="169"/>
      <c r="AQ1147" s="169"/>
      <c r="AR1147" s="169"/>
      <c r="AS1147" s="169"/>
      <c r="AT1147" s="169"/>
    </row>
    <row r="1148" spans="10:46">
      <c r="J1148" s="64"/>
      <c r="K1148" s="64"/>
      <c r="L1148" s="64"/>
      <c r="M1148" s="64"/>
      <c r="N1148" s="64"/>
      <c r="O1148" s="64"/>
      <c r="P1148" s="64"/>
      <c r="Q1148" s="64"/>
      <c r="R1148" s="64"/>
      <c r="S1148" s="64"/>
      <c r="T1148" s="64"/>
      <c r="U1148" s="64"/>
      <c r="V1148" s="64"/>
      <c r="W1148" s="64"/>
      <c r="X1148" s="64"/>
      <c r="Y1148" s="64"/>
      <c r="Z1148" s="64"/>
      <c r="AA1148" s="64"/>
      <c r="AB1148" s="64"/>
      <c r="AC1148" s="64"/>
      <c r="AD1148" s="64"/>
      <c r="AE1148" s="64"/>
      <c r="AF1148" s="64"/>
      <c r="AG1148" s="64"/>
      <c r="AH1148" s="64"/>
      <c r="AI1148" s="64"/>
      <c r="AJ1148" s="64"/>
      <c r="AK1148" s="64"/>
      <c r="AL1148" s="64"/>
      <c r="AM1148" s="169"/>
      <c r="AN1148" s="169"/>
      <c r="AO1148" s="169"/>
      <c r="AP1148" s="169"/>
      <c r="AQ1148" s="169"/>
      <c r="AR1148" s="169"/>
      <c r="AS1148" s="169"/>
      <c r="AT1148" s="169"/>
    </row>
    <row r="1149" spans="10:46">
      <c r="J1149" s="64"/>
      <c r="K1149" s="64"/>
      <c r="L1149" s="64"/>
      <c r="M1149" s="64"/>
      <c r="N1149" s="64"/>
      <c r="O1149" s="64"/>
      <c r="P1149" s="64"/>
      <c r="Q1149" s="64"/>
      <c r="R1149" s="64"/>
      <c r="S1149" s="64"/>
      <c r="T1149" s="64"/>
      <c r="U1149" s="64"/>
      <c r="V1149" s="64"/>
      <c r="W1149" s="64"/>
      <c r="X1149" s="64"/>
      <c r="Y1149" s="64"/>
      <c r="Z1149" s="64"/>
      <c r="AA1149" s="64"/>
      <c r="AB1149" s="64"/>
      <c r="AC1149" s="64"/>
      <c r="AD1149" s="64"/>
      <c r="AE1149" s="64"/>
      <c r="AF1149" s="64"/>
      <c r="AG1149" s="64"/>
      <c r="AH1149" s="64"/>
      <c r="AI1149" s="64"/>
      <c r="AJ1149" s="64"/>
      <c r="AK1149" s="64"/>
      <c r="AL1149" s="64"/>
      <c r="AM1149" s="169"/>
      <c r="AN1149" s="169"/>
      <c r="AO1149" s="169"/>
      <c r="AP1149" s="169"/>
      <c r="AQ1149" s="169"/>
      <c r="AR1149" s="169"/>
      <c r="AS1149" s="169"/>
      <c r="AT1149" s="169"/>
    </row>
    <row r="1150" spans="10:46">
      <c r="J1150" s="64"/>
      <c r="K1150" s="64"/>
      <c r="L1150" s="64"/>
      <c r="M1150" s="64"/>
      <c r="N1150" s="64"/>
      <c r="O1150" s="64"/>
      <c r="P1150" s="64"/>
      <c r="Q1150" s="64"/>
      <c r="R1150" s="64"/>
      <c r="S1150" s="64"/>
      <c r="T1150" s="64"/>
      <c r="U1150" s="64"/>
      <c r="V1150" s="64"/>
      <c r="W1150" s="64"/>
      <c r="X1150" s="64"/>
      <c r="Y1150" s="64"/>
      <c r="Z1150" s="64"/>
      <c r="AA1150" s="64"/>
      <c r="AB1150" s="64"/>
      <c r="AC1150" s="64"/>
      <c r="AD1150" s="64"/>
      <c r="AE1150" s="64"/>
      <c r="AF1150" s="64"/>
      <c r="AG1150" s="64"/>
      <c r="AH1150" s="64"/>
      <c r="AI1150" s="64"/>
      <c r="AJ1150" s="64"/>
      <c r="AK1150" s="64"/>
      <c r="AL1150" s="64"/>
      <c r="AM1150" s="169"/>
      <c r="AN1150" s="169"/>
      <c r="AO1150" s="169"/>
      <c r="AP1150" s="169"/>
      <c r="AQ1150" s="169"/>
      <c r="AR1150" s="169"/>
      <c r="AS1150" s="169"/>
      <c r="AT1150" s="169"/>
    </row>
    <row r="1151" spans="10:46">
      <c r="J1151" s="64"/>
      <c r="K1151" s="64"/>
      <c r="L1151" s="64"/>
      <c r="M1151" s="64"/>
      <c r="N1151" s="64"/>
      <c r="O1151" s="64"/>
      <c r="P1151" s="64"/>
      <c r="Q1151" s="64"/>
      <c r="R1151" s="64"/>
      <c r="S1151" s="64"/>
      <c r="T1151" s="64"/>
      <c r="U1151" s="64"/>
      <c r="V1151" s="64"/>
      <c r="W1151" s="64"/>
      <c r="X1151" s="64"/>
      <c r="Y1151" s="64"/>
      <c r="Z1151" s="64"/>
      <c r="AA1151" s="64"/>
      <c r="AB1151" s="64"/>
      <c r="AC1151" s="64"/>
      <c r="AD1151" s="64"/>
      <c r="AE1151" s="64"/>
      <c r="AF1151" s="64"/>
      <c r="AG1151" s="64"/>
      <c r="AH1151" s="64"/>
      <c r="AI1151" s="64"/>
      <c r="AJ1151" s="64"/>
      <c r="AK1151" s="64"/>
      <c r="AL1151" s="64"/>
      <c r="AM1151" s="169"/>
      <c r="AN1151" s="169"/>
      <c r="AO1151" s="169"/>
      <c r="AP1151" s="169"/>
      <c r="AQ1151" s="169"/>
      <c r="AR1151" s="169"/>
      <c r="AS1151" s="169"/>
      <c r="AT1151" s="169"/>
    </row>
    <row r="1152" spans="10:46">
      <c r="J1152" s="64"/>
      <c r="K1152" s="64"/>
      <c r="L1152" s="64"/>
      <c r="M1152" s="64"/>
      <c r="N1152" s="64"/>
      <c r="O1152" s="64"/>
      <c r="P1152" s="64"/>
      <c r="Q1152" s="64"/>
      <c r="R1152" s="64"/>
      <c r="S1152" s="64"/>
      <c r="T1152" s="64"/>
      <c r="U1152" s="64"/>
      <c r="V1152" s="64"/>
      <c r="W1152" s="64"/>
      <c r="X1152" s="64"/>
      <c r="Y1152" s="64"/>
      <c r="Z1152" s="64"/>
      <c r="AA1152" s="64"/>
      <c r="AB1152" s="64"/>
      <c r="AC1152" s="64"/>
      <c r="AD1152" s="64"/>
      <c r="AE1152" s="64"/>
      <c r="AF1152" s="64"/>
      <c r="AG1152" s="64"/>
      <c r="AH1152" s="64"/>
      <c r="AI1152" s="64"/>
      <c r="AJ1152" s="64"/>
      <c r="AK1152" s="64"/>
      <c r="AL1152" s="64"/>
      <c r="AM1152" s="169"/>
      <c r="AN1152" s="169"/>
      <c r="AO1152" s="169"/>
      <c r="AP1152" s="169"/>
      <c r="AQ1152" s="169"/>
      <c r="AR1152" s="169"/>
      <c r="AS1152" s="169"/>
      <c r="AT1152" s="169"/>
    </row>
    <row r="1153" spans="10:46">
      <c r="J1153" s="64"/>
      <c r="K1153" s="64"/>
      <c r="L1153" s="64"/>
      <c r="M1153" s="64"/>
      <c r="N1153" s="64"/>
      <c r="O1153" s="64"/>
      <c r="P1153" s="64"/>
      <c r="Q1153" s="64"/>
      <c r="R1153" s="64"/>
      <c r="S1153" s="64"/>
      <c r="T1153" s="64"/>
      <c r="U1153" s="64"/>
      <c r="V1153" s="64"/>
      <c r="W1153" s="64"/>
      <c r="X1153" s="64"/>
      <c r="Y1153" s="64"/>
      <c r="Z1153" s="64"/>
      <c r="AA1153" s="64"/>
      <c r="AB1153" s="64"/>
      <c r="AC1153" s="64"/>
      <c r="AD1153" s="64"/>
      <c r="AE1153" s="64"/>
      <c r="AF1153" s="64"/>
      <c r="AG1153" s="64"/>
      <c r="AH1153" s="64"/>
      <c r="AI1153" s="64"/>
      <c r="AJ1153" s="64"/>
      <c r="AK1153" s="64"/>
      <c r="AL1153" s="64"/>
      <c r="AM1153" s="169"/>
      <c r="AN1153" s="169"/>
      <c r="AO1153" s="169"/>
      <c r="AP1153" s="169"/>
      <c r="AQ1153" s="169"/>
      <c r="AR1153" s="169"/>
      <c r="AS1153" s="169"/>
      <c r="AT1153" s="169"/>
    </row>
    <row r="1154" spans="10:46">
      <c r="J1154" s="64"/>
      <c r="K1154" s="64"/>
      <c r="L1154" s="64"/>
      <c r="M1154" s="64"/>
      <c r="N1154" s="64"/>
      <c r="O1154" s="64"/>
      <c r="P1154" s="64"/>
      <c r="Q1154" s="64"/>
      <c r="R1154" s="64"/>
      <c r="S1154" s="64"/>
      <c r="T1154" s="64"/>
      <c r="U1154" s="64"/>
      <c r="V1154" s="64"/>
      <c r="W1154" s="64"/>
      <c r="X1154" s="64"/>
      <c r="Y1154" s="64"/>
      <c r="Z1154" s="64"/>
      <c r="AA1154" s="64"/>
      <c r="AB1154" s="64"/>
      <c r="AC1154" s="64"/>
      <c r="AD1154" s="64"/>
      <c r="AE1154" s="64"/>
      <c r="AF1154" s="64"/>
      <c r="AG1154" s="64"/>
      <c r="AH1154" s="64"/>
      <c r="AI1154" s="64"/>
      <c r="AJ1154" s="64"/>
      <c r="AK1154" s="64"/>
      <c r="AL1154" s="64"/>
      <c r="AM1154" s="169"/>
      <c r="AN1154" s="169"/>
      <c r="AO1154" s="169"/>
      <c r="AP1154" s="169"/>
      <c r="AQ1154" s="169"/>
      <c r="AR1154" s="169"/>
      <c r="AS1154" s="169"/>
      <c r="AT1154" s="169"/>
    </row>
    <row r="1155" spans="10:46">
      <c r="J1155" s="64"/>
      <c r="K1155" s="64"/>
      <c r="L1155" s="64"/>
      <c r="M1155" s="64"/>
      <c r="N1155" s="64"/>
      <c r="O1155" s="64"/>
      <c r="P1155" s="64"/>
      <c r="Q1155" s="64"/>
      <c r="R1155" s="64"/>
      <c r="S1155" s="64"/>
      <c r="T1155" s="64"/>
      <c r="U1155" s="64"/>
      <c r="V1155" s="64"/>
      <c r="W1155" s="64"/>
      <c r="X1155" s="64"/>
      <c r="Y1155" s="64"/>
      <c r="Z1155" s="64"/>
      <c r="AA1155" s="64"/>
      <c r="AB1155" s="64"/>
      <c r="AC1155" s="64"/>
      <c r="AD1155" s="64"/>
      <c r="AE1155" s="64"/>
      <c r="AF1155" s="64"/>
      <c r="AG1155" s="64"/>
      <c r="AH1155" s="64"/>
      <c r="AI1155" s="64"/>
      <c r="AJ1155" s="64"/>
      <c r="AK1155" s="64"/>
      <c r="AL1155" s="64"/>
      <c r="AM1155" s="169"/>
      <c r="AN1155" s="169"/>
      <c r="AO1155" s="169"/>
      <c r="AP1155" s="169"/>
      <c r="AQ1155" s="169"/>
      <c r="AR1155" s="169"/>
      <c r="AS1155" s="169"/>
      <c r="AT1155" s="169"/>
    </row>
    <row r="1156" spans="10:46">
      <c r="J1156" s="64"/>
      <c r="K1156" s="64"/>
      <c r="L1156" s="64"/>
      <c r="M1156" s="64"/>
      <c r="N1156" s="64"/>
      <c r="O1156" s="64"/>
      <c r="P1156" s="64"/>
      <c r="Q1156" s="64"/>
      <c r="R1156" s="64"/>
      <c r="S1156" s="64"/>
      <c r="T1156" s="64"/>
      <c r="U1156" s="64"/>
      <c r="V1156" s="64"/>
      <c r="W1156" s="64"/>
      <c r="X1156" s="64"/>
      <c r="Y1156" s="64"/>
      <c r="Z1156" s="64"/>
      <c r="AA1156" s="64"/>
      <c r="AB1156" s="64"/>
      <c r="AC1156" s="64"/>
      <c r="AD1156" s="64"/>
      <c r="AE1156" s="64"/>
      <c r="AF1156" s="64"/>
      <c r="AG1156" s="64"/>
      <c r="AH1156" s="64"/>
      <c r="AI1156" s="64"/>
      <c r="AJ1156" s="64"/>
      <c r="AK1156" s="64"/>
      <c r="AL1156" s="64"/>
      <c r="AM1156" s="169"/>
      <c r="AN1156" s="169"/>
      <c r="AO1156" s="169"/>
      <c r="AP1156" s="169"/>
      <c r="AQ1156" s="169"/>
      <c r="AR1156" s="169"/>
      <c r="AS1156" s="169"/>
      <c r="AT1156" s="169"/>
    </row>
    <row r="1157" spans="10:46">
      <c r="J1157" s="64"/>
      <c r="K1157" s="64"/>
      <c r="L1157" s="64"/>
      <c r="M1157" s="64"/>
      <c r="N1157" s="64"/>
      <c r="O1157" s="64"/>
      <c r="P1157" s="64"/>
      <c r="Q1157" s="64"/>
      <c r="R1157" s="64"/>
      <c r="S1157" s="64"/>
      <c r="T1157" s="64"/>
      <c r="U1157" s="64"/>
      <c r="V1157" s="64"/>
      <c r="W1157" s="64"/>
      <c r="X1157" s="64"/>
      <c r="Y1157" s="64"/>
      <c r="Z1157" s="64"/>
      <c r="AA1157" s="64"/>
      <c r="AB1157" s="64"/>
      <c r="AC1157" s="64"/>
      <c r="AD1157" s="64"/>
      <c r="AE1157" s="64"/>
      <c r="AF1157" s="64"/>
      <c r="AG1157" s="64"/>
      <c r="AH1157" s="64"/>
      <c r="AI1157" s="64"/>
      <c r="AJ1157" s="64"/>
      <c r="AK1157" s="64"/>
      <c r="AL1157" s="64"/>
      <c r="AM1157" s="169"/>
      <c r="AN1157" s="169"/>
      <c r="AO1157" s="169"/>
      <c r="AP1157" s="169"/>
      <c r="AQ1157" s="169"/>
      <c r="AR1157" s="169"/>
      <c r="AS1157" s="169"/>
      <c r="AT1157" s="169"/>
    </row>
    <row r="1158" spans="10:46">
      <c r="J1158" s="64"/>
      <c r="K1158" s="64"/>
      <c r="L1158" s="64"/>
      <c r="M1158" s="64"/>
      <c r="N1158" s="64"/>
      <c r="O1158" s="64"/>
      <c r="P1158" s="64"/>
      <c r="Q1158" s="64"/>
      <c r="R1158" s="64"/>
      <c r="S1158" s="64"/>
      <c r="T1158" s="64"/>
      <c r="U1158" s="64"/>
      <c r="V1158" s="64"/>
      <c r="W1158" s="64"/>
      <c r="X1158" s="64"/>
      <c r="Y1158" s="64"/>
      <c r="Z1158" s="64"/>
      <c r="AA1158" s="64"/>
      <c r="AB1158" s="64"/>
      <c r="AC1158" s="64"/>
      <c r="AD1158" s="64"/>
      <c r="AE1158" s="64"/>
      <c r="AF1158" s="64"/>
      <c r="AG1158" s="64"/>
      <c r="AH1158" s="64"/>
      <c r="AI1158" s="64"/>
      <c r="AJ1158" s="64"/>
      <c r="AK1158" s="64"/>
      <c r="AL1158" s="64"/>
      <c r="AM1158" s="169"/>
      <c r="AN1158" s="169"/>
      <c r="AO1158" s="169"/>
      <c r="AP1158" s="169"/>
      <c r="AQ1158" s="169"/>
      <c r="AR1158" s="169"/>
      <c r="AS1158" s="169"/>
      <c r="AT1158" s="169"/>
    </row>
    <row r="1159" spans="10:46">
      <c r="J1159" s="64"/>
      <c r="K1159" s="64"/>
      <c r="L1159" s="64"/>
      <c r="M1159" s="64"/>
      <c r="N1159" s="64"/>
      <c r="O1159" s="64"/>
      <c r="P1159" s="64"/>
      <c r="Q1159" s="64"/>
      <c r="R1159" s="64"/>
      <c r="S1159" s="64"/>
      <c r="T1159" s="64"/>
      <c r="U1159" s="64"/>
      <c r="V1159" s="64"/>
      <c r="W1159" s="64"/>
      <c r="X1159" s="64"/>
      <c r="Y1159" s="64"/>
      <c r="Z1159" s="64"/>
      <c r="AA1159" s="64"/>
      <c r="AB1159" s="64"/>
      <c r="AC1159" s="64"/>
      <c r="AD1159" s="64"/>
      <c r="AE1159" s="64"/>
      <c r="AF1159" s="64"/>
      <c r="AG1159" s="64"/>
      <c r="AH1159" s="64"/>
      <c r="AI1159" s="64"/>
      <c r="AJ1159" s="64"/>
      <c r="AK1159" s="64"/>
      <c r="AL1159" s="64"/>
      <c r="AM1159" s="169"/>
      <c r="AN1159" s="169"/>
      <c r="AO1159" s="169"/>
      <c r="AP1159" s="169"/>
      <c r="AQ1159" s="169"/>
      <c r="AR1159" s="169"/>
      <c r="AS1159" s="169"/>
      <c r="AT1159" s="169"/>
    </row>
    <row r="1160" spans="10:46">
      <c r="J1160" s="64"/>
      <c r="K1160" s="64"/>
      <c r="L1160" s="64"/>
      <c r="M1160" s="64"/>
      <c r="N1160" s="64"/>
      <c r="O1160" s="64"/>
      <c r="P1160" s="64"/>
      <c r="Q1160" s="64"/>
      <c r="R1160" s="64"/>
      <c r="S1160" s="64"/>
      <c r="T1160" s="64"/>
      <c r="U1160" s="64"/>
      <c r="V1160" s="64"/>
      <c r="W1160" s="64"/>
      <c r="X1160" s="64"/>
      <c r="Y1160" s="64"/>
      <c r="Z1160" s="64"/>
      <c r="AA1160" s="64"/>
      <c r="AB1160" s="64"/>
      <c r="AC1160" s="64"/>
      <c r="AD1160" s="64"/>
      <c r="AE1160" s="64"/>
      <c r="AF1160" s="64"/>
      <c r="AG1160" s="64"/>
      <c r="AH1160" s="64"/>
      <c r="AI1160" s="64"/>
      <c r="AJ1160" s="64"/>
      <c r="AK1160" s="64"/>
      <c r="AL1160" s="64"/>
      <c r="AM1160" s="169"/>
      <c r="AN1160" s="169"/>
      <c r="AO1160" s="169"/>
      <c r="AP1160" s="169"/>
      <c r="AQ1160" s="169"/>
      <c r="AR1160" s="169"/>
      <c r="AS1160" s="169"/>
      <c r="AT1160" s="169"/>
    </row>
    <row r="1161" spans="10:46">
      <c r="J1161" s="64"/>
      <c r="K1161" s="64"/>
      <c r="L1161" s="64"/>
      <c r="M1161" s="64"/>
      <c r="N1161" s="64"/>
      <c r="O1161" s="64"/>
      <c r="P1161" s="64"/>
      <c r="Q1161" s="64"/>
      <c r="R1161" s="64"/>
      <c r="S1161" s="64"/>
      <c r="T1161" s="64"/>
      <c r="U1161" s="64"/>
      <c r="V1161" s="64"/>
      <c r="W1161" s="64"/>
      <c r="X1161" s="64"/>
      <c r="Y1161" s="64"/>
      <c r="Z1161" s="64"/>
      <c r="AA1161" s="64"/>
      <c r="AB1161" s="64"/>
      <c r="AC1161" s="64"/>
      <c r="AD1161" s="64"/>
      <c r="AE1161" s="64"/>
      <c r="AF1161" s="64"/>
      <c r="AG1161" s="64"/>
      <c r="AH1161" s="64"/>
      <c r="AI1161" s="64"/>
      <c r="AJ1161" s="64"/>
      <c r="AK1161" s="64"/>
      <c r="AL1161" s="64"/>
      <c r="AM1161" s="169"/>
      <c r="AN1161" s="169"/>
      <c r="AO1161" s="169"/>
      <c r="AP1161" s="169"/>
      <c r="AQ1161" s="169"/>
      <c r="AR1161" s="169"/>
      <c r="AS1161" s="169"/>
      <c r="AT1161" s="169"/>
    </row>
    <row r="1162" spans="10:46">
      <c r="J1162" s="64"/>
      <c r="K1162" s="64"/>
      <c r="L1162" s="64"/>
      <c r="M1162" s="64"/>
      <c r="N1162" s="64"/>
      <c r="O1162" s="64"/>
      <c r="P1162" s="64"/>
      <c r="Q1162" s="64"/>
      <c r="R1162" s="64"/>
      <c r="S1162" s="64"/>
      <c r="T1162" s="64"/>
      <c r="U1162" s="64"/>
      <c r="V1162" s="64"/>
      <c r="W1162" s="64"/>
      <c r="X1162" s="64"/>
      <c r="Y1162" s="64"/>
      <c r="Z1162" s="64"/>
      <c r="AA1162" s="64"/>
      <c r="AB1162" s="64"/>
      <c r="AC1162" s="64"/>
      <c r="AD1162" s="64"/>
      <c r="AE1162" s="64"/>
      <c r="AF1162" s="64"/>
      <c r="AG1162" s="64"/>
      <c r="AH1162" s="64"/>
      <c r="AI1162" s="64"/>
      <c r="AJ1162" s="64"/>
      <c r="AK1162" s="64"/>
      <c r="AL1162" s="64"/>
      <c r="AM1162" s="169"/>
      <c r="AN1162" s="169"/>
      <c r="AO1162" s="169"/>
      <c r="AP1162" s="169"/>
      <c r="AQ1162" s="169"/>
      <c r="AR1162" s="169"/>
      <c r="AS1162" s="169"/>
      <c r="AT1162" s="169"/>
    </row>
    <row r="1163" spans="10:46">
      <c r="J1163" s="64"/>
      <c r="K1163" s="64"/>
      <c r="L1163" s="64"/>
      <c r="M1163" s="64"/>
      <c r="N1163" s="64"/>
      <c r="O1163" s="64"/>
      <c r="P1163" s="64"/>
      <c r="Q1163" s="64"/>
      <c r="R1163" s="64"/>
      <c r="S1163" s="64"/>
      <c r="T1163" s="64"/>
      <c r="U1163" s="64"/>
      <c r="V1163" s="64"/>
      <c r="W1163" s="64"/>
      <c r="X1163" s="64"/>
      <c r="Y1163" s="64"/>
      <c r="Z1163" s="64"/>
      <c r="AA1163" s="64"/>
      <c r="AB1163" s="64"/>
      <c r="AC1163" s="64"/>
      <c r="AD1163" s="64"/>
      <c r="AE1163" s="64"/>
      <c r="AF1163" s="64"/>
      <c r="AG1163" s="64"/>
      <c r="AH1163" s="64"/>
      <c r="AI1163" s="64"/>
      <c r="AJ1163" s="64"/>
      <c r="AK1163" s="64"/>
      <c r="AL1163" s="64"/>
      <c r="AM1163" s="169"/>
      <c r="AN1163" s="169"/>
      <c r="AO1163" s="169"/>
      <c r="AP1163" s="169"/>
      <c r="AQ1163" s="169"/>
      <c r="AR1163" s="169"/>
      <c r="AS1163" s="169"/>
      <c r="AT1163" s="169"/>
    </row>
    <row r="1164" spans="10:46">
      <c r="J1164" s="64"/>
      <c r="K1164" s="64"/>
      <c r="L1164" s="64"/>
      <c r="M1164" s="64"/>
      <c r="N1164" s="64"/>
      <c r="O1164" s="64"/>
      <c r="P1164" s="64"/>
      <c r="Q1164" s="64"/>
      <c r="R1164" s="64"/>
      <c r="S1164" s="64"/>
      <c r="T1164" s="64"/>
      <c r="U1164" s="64"/>
      <c r="V1164" s="64"/>
      <c r="W1164" s="64"/>
      <c r="X1164" s="64"/>
      <c r="Y1164" s="64"/>
      <c r="Z1164" s="64"/>
      <c r="AA1164" s="64"/>
      <c r="AB1164" s="64"/>
      <c r="AC1164" s="64"/>
      <c r="AD1164" s="64"/>
      <c r="AE1164" s="64"/>
      <c r="AF1164" s="64"/>
      <c r="AG1164" s="64"/>
      <c r="AH1164" s="64"/>
      <c r="AI1164" s="64"/>
      <c r="AJ1164" s="64"/>
      <c r="AK1164" s="64"/>
      <c r="AL1164" s="64"/>
      <c r="AM1164" s="169"/>
      <c r="AN1164" s="169"/>
      <c r="AO1164" s="169"/>
      <c r="AP1164" s="169"/>
      <c r="AQ1164" s="169"/>
      <c r="AR1164" s="169"/>
      <c r="AS1164" s="169"/>
      <c r="AT1164" s="169"/>
    </row>
    <row r="1165" spans="10:46">
      <c r="J1165" s="64"/>
      <c r="K1165" s="64"/>
      <c r="L1165" s="64"/>
      <c r="M1165" s="64"/>
      <c r="N1165" s="64"/>
      <c r="O1165" s="64"/>
      <c r="P1165" s="64"/>
      <c r="Q1165" s="64"/>
      <c r="R1165" s="64"/>
      <c r="S1165" s="64"/>
      <c r="T1165" s="64"/>
      <c r="U1165" s="64"/>
      <c r="V1165" s="64"/>
      <c r="W1165" s="64"/>
      <c r="X1165" s="64"/>
      <c r="Y1165" s="64"/>
      <c r="Z1165" s="64"/>
      <c r="AA1165" s="64"/>
      <c r="AB1165" s="64"/>
      <c r="AC1165" s="64"/>
      <c r="AD1165" s="64"/>
      <c r="AE1165" s="64"/>
      <c r="AF1165" s="64"/>
      <c r="AG1165" s="64"/>
      <c r="AH1165" s="64"/>
      <c r="AI1165" s="64"/>
      <c r="AJ1165" s="64"/>
      <c r="AK1165" s="64"/>
      <c r="AL1165" s="64"/>
      <c r="AM1165" s="169"/>
      <c r="AN1165" s="169"/>
      <c r="AO1165" s="169"/>
      <c r="AP1165" s="169"/>
      <c r="AQ1165" s="169"/>
      <c r="AR1165" s="169"/>
      <c r="AS1165" s="169"/>
      <c r="AT1165" s="169"/>
    </row>
    <row r="1166" spans="10:46">
      <c r="J1166" s="64"/>
      <c r="K1166" s="64"/>
      <c r="L1166" s="64"/>
      <c r="M1166" s="64"/>
      <c r="N1166" s="64"/>
      <c r="O1166" s="64"/>
      <c r="P1166" s="64"/>
      <c r="Q1166" s="64"/>
      <c r="R1166" s="64"/>
      <c r="S1166" s="64"/>
      <c r="T1166" s="64"/>
      <c r="U1166" s="64"/>
      <c r="V1166" s="64"/>
      <c r="W1166" s="64"/>
      <c r="X1166" s="64"/>
      <c r="Y1166" s="64"/>
      <c r="Z1166" s="64"/>
      <c r="AA1166" s="64"/>
      <c r="AB1166" s="64"/>
      <c r="AC1166" s="64"/>
      <c r="AD1166" s="64"/>
      <c r="AE1166" s="64"/>
      <c r="AF1166" s="64"/>
      <c r="AG1166" s="64"/>
      <c r="AH1166" s="64"/>
      <c r="AI1166" s="64"/>
      <c r="AJ1166" s="64"/>
      <c r="AK1166" s="64"/>
      <c r="AL1166" s="64"/>
      <c r="AM1166" s="169"/>
      <c r="AN1166" s="169"/>
      <c r="AO1166" s="169"/>
      <c r="AP1166" s="169"/>
      <c r="AQ1166" s="169"/>
      <c r="AR1166" s="169"/>
      <c r="AS1166" s="169"/>
      <c r="AT1166" s="169"/>
    </row>
    <row r="1167" spans="10:46">
      <c r="J1167" s="64"/>
      <c r="K1167" s="64"/>
      <c r="L1167" s="64"/>
      <c r="M1167" s="64"/>
      <c r="N1167" s="64"/>
      <c r="O1167" s="64"/>
      <c r="P1167" s="64"/>
      <c r="Q1167" s="64"/>
      <c r="R1167" s="64"/>
      <c r="S1167" s="64"/>
      <c r="T1167" s="64"/>
      <c r="U1167" s="64"/>
      <c r="V1167" s="64"/>
      <c r="W1167" s="64"/>
      <c r="X1167" s="64"/>
      <c r="Y1167" s="64"/>
      <c r="Z1167" s="64"/>
      <c r="AA1167" s="64"/>
      <c r="AB1167" s="64"/>
      <c r="AC1167" s="64"/>
      <c r="AD1167" s="64"/>
      <c r="AE1167" s="64"/>
      <c r="AF1167" s="64"/>
      <c r="AG1167" s="64"/>
      <c r="AH1167" s="64"/>
      <c r="AI1167" s="64"/>
      <c r="AJ1167" s="64"/>
      <c r="AK1167" s="64"/>
      <c r="AL1167" s="64"/>
      <c r="AM1167" s="169"/>
      <c r="AN1167" s="169"/>
      <c r="AO1167" s="169"/>
      <c r="AP1167" s="169"/>
      <c r="AQ1167" s="169"/>
      <c r="AR1167" s="169"/>
      <c r="AS1167" s="169"/>
      <c r="AT1167" s="169"/>
    </row>
    <row r="1168" spans="10:46">
      <c r="J1168" s="64"/>
      <c r="K1168" s="64"/>
      <c r="L1168" s="64"/>
      <c r="M1168" s="64"/>
      <c r="N1168" s="64"/>
      <c r="O1168" s="64"/>
      <c r="P1168" s="64"/>
      <c r="Q1168" s="64"/>
      <c r="R1168" s="64"/>
      <c r="S1168" s="64"/>
      <c r="T1168" s="64"/>
      <c r="U1168" s="64"/>
      <c r="V1168" s="64"/>
      <c r="W1168" s="64"/>
      <c r="X1168" s="64"/>
      <c r="Y1168" s="64"/>
      <c r="Z1168" s="64"/>
      <c r="AA1168" s="64"/>
      <c r="AB1168" s="64"/>
      <c r="AC1168" s="64"/>
      <c r="AD1168" s="64"/>
      <c r="AE1168" s="64"/>
      <c r="AF1168" s="64"/>
      <c r="AG1168" s="64"/>
      <c r="AH1168" s="64"/>
      <c r="AI1168" s="64"/>
      <c r="AJ1168" s="64"/>
      <c r="AK1168" s="64"/>
      <c r="AL1168" s="64"/>
      <c r="AM1168" s="169"/>
      <c r="AN1168" s="169"/>
      <c r="AO1168" s="169"/>
      <c r="AP1168" s="169"/>
      <c r="AQ1168" s="169"/>
      <c r="AR1168" s="169"/>
      <c r="AS1168" s="169"/>
      <c r="AT1168" s="169"/>
    </row>
    <row r="1169" spans="10:46">
      <c r="J1169" s="64"/>
      <c r="K1169" s="64"/>
      <c r="L1169" s="64"/>
      <c r="M1169" s="64"/>
      <c r="N1169" s="64"/>
      <c r="O1169" s="64"/>
      <c r="P1169" s="64"/>
      <c r="Q1169" s="64"/>
      <c r="R1169" s="64"/>
      <c r="S1169" s="64"/>
      <c r="T1169" s="64"/>
      <c r="U1169" s="64"/>
      <c r="V1169" s="64"/>
      <c r="W1169" s="64"/>
      <c r="X1169" s="64"/>
      <c r="Y1169" s="64"/>
      <c r="Z1169" s="64"/>
      <c r="AA1169" s="64"/>
      <c r="AB1169" s="64"/>
      <c r="AC1169" s="64"/>
      <c r="AD1169" s="64"/>
      <c r="AE1169" s="64"/>
      <c r="AF1169" s="64"/>
      <c r="AG1169" s="64"/>
      <c r="AH1169" s="64"/>
      <c r="AI1169" s="64"/>
      <c r="AJ1169" s="64"/>
      <c r="AK1169" s="64"/>
      <c r="AL1169" s="64"/>
      <c r="AM1169" s="169"/>
      <c r="AN1169" s="169"/>
      <c r="AO1169" s="169"/>
      <c r="AP1169" s="169"/>
      <c r="AQ1169" s="169"/>
      <c r="AR1169" s="169"/>
      <c r="AS1169" s="169"/>
      <c r="AT1169" s="169"/>
    </row>
    <row r="1170" spans="10:46">
      <c r="J1170" s="64"/>
      <c r="K1170" s="64"/>
      <c r="L1170" s="64"/>
      <c r="M1170" s="64"/>
      <c r="N1170" s="64"/>
      <c r="O1170" s="64"/>
      <c r="P1170" s="64"/>
      <c r="Q1170" s="64"/>
      <c r="R1170" s="64"/>
      <c r="S1170" s="64"/>
      <c r="T1170" s="64"/>
      <c r="U1170" s="64"/>
      <c r="V1170" s="64"/>
      <c r="W1170" s="64"/>
      <c r="X1170" s="64"/>
      <c r="Y1170" s="64"/>
      <c r="Z1170" s="64"/>
      <c r="AA1170" s="64"/>
      <c r="AB1170" s="64"/>
      <c r="AC1170" s="64"/>
      <c r="AD1170" s="64"/>
      <c r="AE1170" s="64"/>
      <c r="AF1170" s="64"/>
      <c r="AG1170" s="64"/>
      <c r="AH1170" s="64"/>
      <c r="AI1170" s="64"/>
      <c r="AJ1170" s="64"/>
      <c r="AK1170" s="64"/>
      <c r="AL1170" s="64"/>
      <c r="AM1170" s="169"/>
      <c r="AN1170" s="169"/>
      <c r="AO1170" s="169"/>
      <c r="AP1170" s="169"/>
      <c r="AQ1170" s="169"/>
      <c r="AR1170" s="169"/>
      <c r="AS1170" s="169"/>
      <c r="AT1170" s="169"/>
    </row>
    <row r="1171" spans="10:46">
      <c r="J1171" s="64"/>
      <c r="K1171" s="64"/>
      <c r="L1171" s="64"/>
      <c r="M1171" s="64"/>
      <c r="N1171" s="64"/>
      <c r="O1171" s="64"/>
      <c r="P1171" s="64"/>
      <c r="Q1171" s="64"/>
      <c r="R1171" s="64"/>
      <c r="S1171" s="64"/>
      <c r="T1171" s="64"/>
      <c r="U1171" s="64"/>
      <c r="V1171" s="64"/>
      <c r="W1171" s="64"/>
      <c r="X1171" s="64"/>
      <c r="Y1171" s="64"/>
      <c r="Z1171" s="64"/>
      <c r="AA1171" s="64"/>
      <c r="AB1171" s="64"/>
      <c r="AC1171" s="64"/>
      <c r="AD1171" s="64"/>
      <c r="AE1171" s="64"/>
      <c r="AF1171" s="64"/>
      <c r="AG1171" s="64"/>
      <c r="AH1171" s="64"/>
      <c r="AI1171" s="64"/>
      <c r="AJ1171" s="64"/>
      <c r="AK1171" s="64"/>
      <c r="AL1171" s="64"/>
      <c r="AM1171" s="169"/>
      <c r="AN1171" s="169"/>
      <c r="AO1171" s="169"/>
      <c r="AP1171" s="169"/>
      <c r="AQ1171" s="169"/>
      <c r="AR1171" s="169"/>
      <c r="AS1171" s="169"/>
      <c r="AT1171" s="169"/>
    </row>
    <row r="1172" spans="10:46">
      <c r="J1172" s="64"/>
      <c r="K1172" s="64"/>
      <c r="L1172" s="64"/>
      <c r="M1172" s="64"/>
      <c r="N1172" s="64"/>
      <c r="O1172" s="64"/>
      <c r="P1172" s="64"/>
      <c r="Q1172" s="64"/>
      <c r="R1172" s="64"/>
      <c r="S1172" s="64"/>
      <c r="T1172" s="64"/>
      <c r="U1172" s="64"/>
      <c r="V1172" s="64"/>
      <c r="W1172" s="64"/>
      <c r="X1172" s="64"/>
      <c r="Y1172" s="64"/>
      <c r="Z1172" s="64"/>
      <c r="AA1172" s="64"/>
      <c r="AB1172" s="64"/>
      <c r="AC1172" s="64"/>
      <c r="AD1172" s="64"/>
      <c r="AE1172" s="64"/>
      <c r="AF1172" s="64"/>
      <c r="AG1172" s="64"/>
      <c r="AH1172" s="64"/>
      <c r="AI1172" s="64"/>
      <c r="AJ1172" s="64"/>
      <c r="AK1172" s="64"/>
      <c r="AL1172" s="64"/>
      <c r="AM1172" s="169"/>
      <c r="AN1172" s="169"/>
      <c r="AO1172" s="169"/>
      <c r="AP1172" s="169"/>
      <c r="AQ1172" s="169"/>
      <c r="AR1172" s="169"/>
      <c r="AS1172" s="169"/>
      <c r="AT1172" s="169"/>
    </row>
    <row r="1173" spans="10:46">
      <c r="J1173" s="64"/>
      <c r="K1173" s="64"/>
      <c r="L1173" s="64"/>
      <c r="M1173" s="64"/>
      <c r="N1173" s="64"/>
      <c r="O1173" s="64"/>
      <c r="P1173" s="64"/>
      <c r="Q1173" s="64"/>
      <c r="R1173" s="64"/>
      <c r="S1173" s="64"/>
      <c r="T1173" s="64"/>
      <c r="U1173" s="64"/>
      <c r="V1173" s="64"/>
      <c r="W1173" s="64"/>
      <c r="X1173" s="64"/>
      <c r="Y1173" s="64"/>
      <c r="Z1173" s="64"/>
      <c r="AA1173" s="64"/>
      <c r="AB1173" s="64"/>
      <c r="AC1173" s="64"/>
      <c r="AD1173" s="64"/>
      <c r="AE1173" s="64"/>
      <c r="AF1173" s="64"/>
      <c r="AG1173" s="64"/>
      <c r="AH1173" s="64"/>
      <c r="AI1173" s="64"/>
      <c r="AJ1173" s="64"/>
      <c r="AK1173" s="64"/>
      <c r="AL1173" s="64"/>
      <c r="AM1173" s="169"/>
      <c r="AN1173" s="169"/>
      <c r="AO1173" s="169"/>
      <c r="AP1173" s="169"/>
      <c r="AQ1173" s="169"/>
      <c r="AR1173" s="169"/>
      <c r="AS1173" s="169"/>
      <c r="AT1173" s="169"/>
    </row>
    <row r="1174" spans="10:46">
      <c r="J1174" s="64"/>
      <c r="K1174" s="64"/>
      <c r="L1174" s="64"/>
      <c r="M1174" s="64"/>
      <c r="N1174" s="64"/>
      <c r="O1174" s="64"/>
      <c r="P1174" s="64"/>
      <c r="Q1174" s="64"/>
      <c r="R1174" s="64"/>
      <c r="S1174" s="64"/>
      <c r="T1174" s="64"/>
      <c r="U1174" s="64"/>
      <c r="V1174" s="64"/>
      <c r="W1174" s="64"/>
      <c r="X1174" s="64"/>
      <c r="Y1174" s="64"/>
      <c r="Z1174" s="64"/>
      <c r="AA1174" s="64"/>
      <c r="AB1174" s="64"/>
      <c r="AC1174" s="64"/>
      <c r="AD1174" s="64"/>
      <c r="AE1174" s="64"/>
      <c r="AF1174" s="64"/>
      <c r="AG1174" s="64"/>
      <c r="AH1174" s="64"/>
      <c r="AI1174" s="64"/>
      <c r="AJ1174" s="64"/>
      <c r="AK1174" s="64"/>
      <c r="AL1174" s="64"/>
      <c r="AM1174" s="169"/>
      <c r="AN1174" s="169"/>
      <c r="AO1174" s="169"/>
      <c r="AP1174" s="169"/>
      <c r="AQ1174" s="169"/>
      <c r="AR1174" s="169"/>
      <c r="AS1174" s="169"/>
      <c r="AT1174" s="169"/>
    </row>
    <row r="1175" spans="10:46">
      <c r="J1175" s="64"/>
      <c r="K1175" s="64"/>
      <c r="L1175" s="64"/>
      <c r="M1175" s="64"/>
      <c r="N1175" s="64"/>
      <c r="O1175" s="64"/>
      <c r="P1175" s="64"/>
      <c r="Q1175" s="64"/>
      <c r="R1175" s="64"/>
      <c r="S1175" s="64"/>
      <c r="T1175" s="64"/>
      <c r="U1175" s="64"/>
      <c r="V1175" s="64"/>
      <c r="W1175" s="64"/>
      <c r="X1175" s="64"/>
      <c r="Y1175" s="64"/>
      <c r="Z1175" s="64"/>
      <c r="AA1175" s="64"/>
      <c r="AB1175" s="64"/>
      <c r="AC1175" s="64"/>
      <c r="AD1175" s="64"/>
      <c r="AE1175" s="64"/>
      <c r="AF1175" s="64"/>
      <c r="AG1175" s="64"/>
      <c r="AH1175" s="64"/>
      <c r="AI1175" s="64"/>
      <c r="AJ1175" s="64"/>
      <c r="AK1175" s="64"/>
      <c r="AL1175" s="64"/>
      <c r="AM1175" s="169"/>
      <c r="AN1175" s="169"/>
      <c r="AO1175" s="169"/>
      <c r="AP1175" s="169"/>
      <c r="AQ1175" s="169"/>
      <c r="AR1175" s="169"/>
      <c r="AS1175" s="169"/>
      <c r="AT1175" s="169"/>
    </row>
    <row r="1176" spans="10:46">
      <c r="J1176" s="64"/>
      <c r="K1176" s="64"/>
      <c r="L1176" s="64"/>
      <c r="M1176" s="64"/>
      <c r="N1176" s="64"/>
      <c r="O1176" s="64"/>
      <c r="P1176" s="64"/>
      <c r="Q1176" s="64"/>
      <c r="R1176" s="64"/>
      <c r="S1176" s="64"/>
      <c r="T1176" s="64"/>
      <c r="U1176" s="64"/>
      <c r="V1176" s="64"/>
      <c r="W1176" s="64"/>
      <c r="X1176" s="64"/>
      <c r="Y1176" s="64"/>
      <c r="Z1176" s="64"/>
      <c r="AA1176" s="64"/>
      <c r="AB1176" s="64"/>
      <c r="AC1176" s="64"/>
      <c r="AD1176" s="64"/>
      <c r="AE1176" s="64"/>
      <c r="AF1176" s="64"/>
      <c r="AG1176" s="64"/>
      <c r="AH1176" s="64"/>
      <c r="AI1176" s="64"/>
      <c r="AJ1176" s="64"/>
      <c r="AK1176" s="64"/>
      <c r="AL1176" s="64"/>
      <c r="AM1176" s="169"/>
      <c r="AN1176" s="169"/>
      <c r="AO1176" s="169"/>
      <c r="AP1176" s="169"/>
      <c r="AQ1176" s="169"/>
      <c r="AR1176" s="169"/>
      <c r="AS1176" s="169"/>
      <c r="AT1176" s="169"/>
    </row>
    <row r="1177" spans="10:46">
      <c r="J1177" s="64"/>
      <c r="K1177" s="64"/>
      <c r="L1177" s="64"/>
      <c r="M1177" s="64"/>
      <c r="N1177" s="64"/>
      <c r="O1177" s="64"/>
      <c r="P1177" s="64"/>
      <c r="Q1177" s="64"/>
      <c r="R1177" s="64"/>
      <c r="S1177" s="64"/>
      <c r="T1177" s="64"/>
      <c r="U1177" s="64"/>
      <c r="V1177" s="64"/>
      <c r="W1177" s="64"/>
      <c r="X1177" s="64"/>
      <c r="Y1177" s="64"/>
      <c r="Z1177" s="64"/>
      <c r="AA1177" s="64"/>
      <c r="AB1177" s="64"/>
      <c r="AC1177" s="64"/>
      <c r="AD1177" s="64"/>
      <c r="AE1177" s="64"/>
      <c r="AF1177" s="64"/>
      <c r="AG1177" s="64"/>
      <c r="AH1177" s="64"/>
      <c r="AI1177" s="64"/>
      <c r="AJ1177" s="64"/>
      <c r="AK1177" s="64"/>
      <c r="AL1177" s="64"/>
      <c r="AM1177" s="169"/>
      <c r="AN1177" s="169"/>
      <c r="AO1177" s="169"/>
      <c r="AP1177" s="169"/>
      <c r="AQ1177" s="169"/>
      <c r="AR1177" s="169"/>
      <c r="AS1177" s="169"/>
      <c r="AT1177" s="169"/>
    </row>
    <row r="1178" spans="10:46">
      <c r="J1178" s="64"/>
      <c r="K1178" s="64"/>
      <c r="L1178" s="64"/>
      <c r="M1178" s="64"/>
      <c r="N1178" s="64"/>
      <c r="O1178" s="64"/>
      <c r="P1178" s="64"/>
      <c r="Q1178" s="64"/>
      <c r="R1178" s="64"/>
      <c r="S1178" s="64"/>
      <c r="T1178" s="64"/>
      <c r="U1178" s="64"/>
      <c r="V1178" s="64"/>
      <c r="W1178" s="64"/>
      <c r="X1178" s="64"/>
      <c r="Y1178" s="64"/>
      <c r="Z1178" s="64"/>
      <c r="AA1178" s="64"/>
      <c r="AB1178" s="64"/>
      <c r="AC1178" s="64"/>
      <c r="AD1178" s="64"/>
      <c r="AE1178" s="64"/>
      <c r="AF1178" s="64"/>
      <c r="AG1178" s="64"/>
      <c r="AH1178" s="64"/>
      <c r="AI1178" s="64"/>
      <c r="AJ1178" s="64"/>
      <c r="AK1178" s="64"/>
      <c r="AL1178" s="64"/>
      <c r="AM1178" s="169"/>
      <c r="AN1178" s="169"/>
      <c r="AO1178" s="169"/>
      <c r="AP1178" s="169"/>
      <c r="AQ1178" s="169"/>
      <c r="AR1178" s="169"/>
      <c r="AS1178" s="169"/>
      <c r="AT1178" s="169"/>
    </row>
    <row r="1179" spans="10:46">
      <c r="J1179" s="64"/>
      <c r="K1179" s="64"/>
      <c r="L1179" s="64"/>
      <c r="M1179" s="64"/>
      <c r="N1179" s="64"/>
      <c r="O1179" s="64"/>
      <c r="P1179" s="64"/>
      <c r="Q1179" s="64"/>
      <c r="R1179" s="64"/>
      <c r="S1179" s="64"/>
      <c r="T1179" s="64"/>
      <c r="U1179" s="64"/>
      <c r="V1179" s="64"/>
      <c r="W1179" s="64"/>
      <c r="X1179" s="64"/>
      <c r="Y1179" s="64"/>
      <c r="Z1179" s="64"/>
      <c r="AA1179" s="64"/>
      <c r="AB1179" s="64"/>
      <c r="AC1179" s="64"/>
      <c r="AD1179" s="64"/>
      <c r="AE1179" s="64"/>
      <c r="AF1179" s="64"/>
      <c r="AG1179" s="64"/>
      <c r="AH1179" s="64"/>
      <c r="AI1179" s="64"/>
      <c r="AJ1179" s="64"/>
      <c r="AK1179" s="64"/>
      <c r="AL1179" s="64"/>
      <c r="AM1179" s="169"/>
      <c r="AN1179" s="169"/>
      <c r="AO1179" s="169"/>
      <c r="AP1179" s="169"/>
      <c r="AQ1179" s="169"/>
      <c r="AR1179" s="169"/>
      <c r="AS1179" s="169"/>
      <c r="AT1179" s="169"/>
    </row>
    <row r="1180" spans="10:46">
      <c r="J1180" s="64"/>
      <c r="K1180" s="64"/>
      <c r="L1180" s="64"/>
      <c r="M1180" s="64"/>
      <c r="N1180" s="64"/>
      <c r="O1180" s="64"/>
      <c r="P1180" s="64"/>
      <c r="Q1180" s="64"/>
      <c r="R1180" s="64"/>
      <c r="S1180" s="64"/>
      <c r="T1180" s="64"/>
      <c r="U1180" s="64"/>
      <c r="V1180" s="64"/>
      <c r="W1180" s="64"/>
      <c r="X1180" s="64"/>
      <c r="Y1180" s="64"/>
      <c r="Z1180" s="64"/>
      <c r="AA1180" s="64"/>
      <c r="AB1180" s="64"/>
      <c r="AC1180" s="64"/>
      <c r="AD1180" s="64"/>
      <c r="AE1180" s="64"/>
      <c r="AF1180" s="64"/>
      <c r="AG1180" s="64"/>
      <c r="AH1180" s="64"/>
      <c r="AI1180" s="64"/>
      <c r="AJ1180" s="64"/>
      <c r="AK1180" s="64"/>
      <c r="AL1180" s="64"/>
      <c r="AM1180" s="169"/>
      <c r="AN1180" s="169"/>
      <c r="AO1180" s="169"/>
      <c r="AP1180" s="169"/>
      <c r="AQ1180" s="169"/>
      <c r="AR1180" s="169"/>
      <c r="AS1180" s="169"/>
      <c r="AT1180" s="169"/>
    </row>
    <row r="1181" spans="10:46">
      <c r="J1181" s="64"/>
      <c r="K1181" s="64"/>
      <c r="L1181" s="64"/>
      <c r="M1181" s="64"/>
      <c r="N1181" s="64"/>
      <c r="O1181" s="64"/>
      <c r="P1181" s="64"/>
      <c r="Q1181" s="64"/>
      <c r="R1181" s="64"/>
      <c r="S1181" s="64"/>
      <c r="T1181" s="64"/>
      <c r="U1181" s="64"/>
      <c r="V1181" s="64"/>
      <c r="W1181" s="64"/>
      <c r="X1181" s="64"/>
      <c r="Y1181" s="64"/>
      <c r="Z1181" s="64"/>
      <c r="AA1181" s="64"/>
      <c r="AB1181" s="64"/>
      <c r="AC1181" s="64"/>
      <c r="AD1181" s="64"/>
      <c r="AE1181" s="64"/>
      <c r="AF1181" s="64"/>
      <c r="AG1181" s="64"/>
      <c r="AH1181" s="64"/>
      <c r="AI1181" s="64"/>
      <c r="AJ1181" s="64"/>
      <c r="AK1181" s="64"/>
      <c r="AL1181" s="64"/>
      <c r="AM1181" s="169"/>
      <c r="AN1181" s="169"/>
      <c r="AO1181" s="169"/>
      <c r="AP1181" s="169"/>
      <c r="AQ1181" s="169"/>
      <c r="AR1181" s="169"/>
      <c r="AS1181" s="169"/>
      <c r="AT1181" s="169"/>
    </row>
    <row r="1182" spans="10:46">
      <c r="J1182" s="64"/>
      <c r="K1182" s="64"/>
      <c r="L1182" s="64"/>
      <c r="M1182" s="64"/>
      <c r="N1182" s="64"/>
      <c r="O1182" s="64"/>
      <c r="P1182" s="64"/>
      <c r="Q1182" s="64"/>
      <c r="R1182" s="64"/>
      <c r="S1182" s="64"/>
      <c r="T1182" s="64"/>
      <c r="U1182" s="64"/>
      <c r="V1182" s="64"/>
      <c r="W1182" s="64"/>
      <c r="X1182" s="64"/>
      <c r="Y1182" s="64"/>
      <c r="Z1182" s="64"/>
      <c r="AA1182" s="64"/>
      <c r="AB1182" s="64"/>
      <c r="AC1182" s="64"/>
      <c r="AD1182" s="64"/>
      <c r="AE1182" s="64"/>
      <c r="AF1182" s="64"/>
      <c r="AG1182" s="64"/>
      <c r="AH1182" s="64"/>
      <c r="AI1182" s="64"/>
      <c r="AJ1182" s="64"/>
      <c r="AK1182" s="64"/>
      <c r="AL1182" s="64"/>
      <c r="AM1182" s="169"/>
      <c r="AN1182" s="169"/>
      <c r="AO1182" s="169"/>
      <c r="AP1182" s="169"/>
      <c r="AQ1182" s="169"/>
      <c r="AR1182" s="169"/>
      <c r="AS1182" s="169"/>
      <c r="AT1182" s="169"/>
    </row>
    <row r="1183" spans="10:46">
      <c r="J1183" s="64"/>
      <c r="K1183" s="64"/>
      <c r="L1183" s="64"/>
      <c r="M1183" s="64"/>
      <c r="N1183" s="64"/>
      <c r="O1183" s="64"/>
      <c r="P1183" s="64"/>
      <c r="Q1183" s="64"/>
      <c r="R1183" s="64"/>
      <c r="S1183" s="64"/>
      <c r="T1183" s="64"/>
      <c r="U1183" s="64"/>
      <c r="V1183" s="64"/>
      <c r="W1183" s="64"/>
      <c r="X1183" s="64"/>
      <c r="Y1183" s="64"/>
      <c r="Z1183" s="64"/>
      <c r="AA1183" s="64"/>
      <c r="AB1183" s="64"/>
      <c r="AC1183" s="64"/>
      <c r="AD1183" s="64"/>
      <c r="AE1183" s="64"/>
      <c r="AF1183" s="64"/>
      <c r="AG1183" s="64"/>
      <c r="AH1183" s="64"/>
      <c r="AI1183" s="64"/>
      <c r="AJ1183" s="64"/>
      <c r="AK1183" s="64"/>
      <c r="AL1183" s="64"/>
      <c r="AM1183" s="169"/>
      <c r="AN1183" s="169"/>
      <c r="AO1183" s="169"/>
      <c r="AP1183" s="169"/>
      <c r="AQ1183" s="169"/>
      <c r="AR1183" s="169"/>
      <c r="AS1183" s="169"/>
      <c r="AT1183" s="169"/>
    </row>
    <row r="1184" spans="10:46">
      <c r="J1184" s="64"/>
      <c r="K1184" s="64"/>
      <c r="L1184" s="64"/>
      <c r="M1184" s="64"/>
      <c r="N1184" s="64"/>
      <c r="O1184" s="64"/>
      <c r="P1184" s="64"/>
      <c r="Q1184" s="64"/>
      <c r="R1184" s="64"/>
      <c r="S1184" s="64"/>
      <c r="T1184" s="64"/>
      <c r="U1184" s="64"/>
      <c r="V1184" s="64"/>
      <c r="W1184" s="64"/>
      <c r="X1184" s="64"/>
      <c r="Y1184" s="64"/>
      <c r="Z1184" s="64"/>
      <c r="AA1184" s="64"/>
      <c r="AB1184" s="64"/>
      <c r="AC1184" s="64"/>
      <c r="AD1184" s="64"/>
      <c r="AE1184" s="64"/>
      <c r="AF1184" s="64"/>
      <c r="AG1184" s="64"/>
      <c r="AH1184" s="64"/>
      <c r="AI1184" s="64"/>
      <c r="AJ1184" s="64"/>
      <c r="AK1184" s="64"/>
      <c r="AL1184" s="64"/>
      <c r="AM1184" s="169"/>
      <c r="AN1184" s="169"/>
      <c r="AO1184" s="169"/>
      <c r="AP1184" s="169"/>
      <c r="AQ1184" s="169"/>
      <c r="AR1184" s="169"/>
      <c r="AS1184" s="169"/>
      <c r="AT1184" s="169"/>
    </row>
    <row r="1185" spans="10:46">
      <c r="J1185" s="64"/>
      <c r="K1185" s="64"/>
      <c r="L1185" s="64"/>
      <c r="M1185" s="64"/>
      <c r="N1185" s="64"/>
      <c r="O1185" s="64"/>
      <c r="P1185" s="64"/>
      <c r="Q1185" s="64"/>
      <c r="R1185" s="64"/>
      <c r="S1185" s="64"/>
      <c r="T1185" s="64"/>
      <c r="U1185" s="64"/>
      <c r="V1185" s="64"/>
      <c r="W1185" s="64"/>
      <c r="X1185" s="64"/>
      <c r="Y1185" s="64"/>
      <c r="Z1185" s="64"/>
      <c r="AA1185" s="64"/>
      <c r="AB1185" s="64"/>
      <c r="AC1185" s="64"/>
      <c r="AD1185" s="64"/>
      <c r="AE1185" s="64"/>
      <c r="AF1185" s="64"/>
      <c r="AG1185" s="64"/>
      <c r="AH1185" s="64"/>
      <c r="AI1185" s="64"/>
      <c r="AJ1185" s="64"/>
      <c r="AK1185" s="64"/>
      <c r="AL1185" s="64"/>
      <c r="AM1185" s="169"/>
      <c r="AN1185" s="169"/>
      <c r="AO1185" s="169"/>
      <c r="AP1185" s="169"/>
      <c r="AQ1185" s="169"/>
      <c r="AR1185" s="169"/>
      <c r="AS1185" s="169"/>
      <c r="AT1185" s="169"/>
    </row>
    <row r="1186" spans="10:46">
      <c r="J1186" s="64"/>
      <c r="K1186" s="64"/>
      <c r="L1186" s="64"/>
      <c r="M1186" s="64"/>
      <c r="N1186" s="64"/>
      <c r="O1186" s="64"/>
      <c r="P1186" s="64"/>
      <c r="Q1186" s="64"/>
      <c r="R1186" s="64"/>
      <c r="S1186" s="64"/>
      <c r="T1186" s="64"/>
      <c r="U1186" s="64"/>
      <c r="V1186" s="64"/>
      <c r="W1186" s="64"/>
      <c r="X1186" s="64"/>
      <c r="Y1186" s="64"/>
      <c r="Z1186" s="64"/>
      <c r="AA1186" s="64"/>
      <c r="AB1186" s="64"/>
      <c r="AC1186" s="64"/>
      <c r="AD1186" s="64"/>
      <c r="AE1186" s="64"/>
      <c r="AF1186" s="64"/>
      <c r="AG1186" s="64"/>
      <c r="AH1186" s="64"/>
      <c r="AI1186" s="64"/>
      <c r="AJ1186" s="64"/>
      <c r="AK1186" s="64"/>
      <c r="AL1186" s="64"/>
      <c r="AM1186" s="169"/>
      <c r="AN1186" s="169"/>
      <c r="AO1186" s="169"/>
      <c r="AP1186" s="169"/>
      <c r="AQ1186" s="169"/>
      <c r="AR1186" s="169"/>
      <c r="AS1186" s="169"/>
      <c r="AT1186" s="169"/>
    </row>
    <row r="1187" spans="10:46">
      <c r="J1187" s="64"/>
      <c r="K1187" s="64"/>
      <c r="L1187" s="64"/>
      <c r="M1187" s="64"/>
      <c r="N1187" s="64"/>
      <c r="O1187" s="64"/>
      <c r="P1187" s="64"/>
      <c r="Q1187" s="64"/>
      <c r="R1187" s="64"/>
      <c r="S1187" s="64"/>
      <c r="T1187" s="64"/>
      <c r="U1187" s="64"/>
      <c r="V1187" s="64"/>
      <c r="W1187" s="64"/>
      <c r="X1187" s="64"/>
      <c r="Y1187" s="64"/>
      <c r="Z1187" s="64"/>
      <c r="AA1187" s="64"/>
      <c r="AB1187" s="64"/>
      <c r="AC1187" s="64"/>
      <c r="AD1187" s="64"/>
      <c r="AE1187" s="64"/>
      <c r="AF1187" s="64"/>
      <c r="AG1187" s="64"/>
      <c r="AH1187" s="64"/>
      <c r="AI1187" s="64"/>
      <c r="AJ1187" s="64"/>
      <c r="AK1187" s="64"/>
      <c r="AL1187" s="64"/>
      <c r="AM1187" s="169"/>
      <c r="AN1187" s="169"/>
      <c r="AO1187" s="169"/>
      <c r="AP1187" s="169"/>
      <c r="AQ1187" s="169"/>
      <c r="AR1187" s="169"/>
      <c r="AS1187" s="169"/>
      <c r="AT1187" s="169"/>
    </row>
    <row r="1188" spans="10:46">
      <c r="J1188" s="64"/>
      <c r="K1188" s="64"/>
      <c r="L1188" s="64"/>
      <c r="M1188" s="64"/>
      <c r="N1188" s="64"/>
      <c r="O1188" s="64"/>
      <c r="P1188" s="64"/>
      <c r="Q1188" s="64"/>
      <c r="R1188" s="64"/>
      <c r="S1188" s="64"/>
      <c r="T1188" s="64"/>
      <c r="U1188" s="64"/>
      <c r="V1188" s="64"/>
      <c r="W1188" s="64"/>
      <c r="X1188" s="64"/>
      <c r="Y1188" s="64"/>
      <c r="Z1188" s="64"/>
      <c r="AA1188" s="64"/>
      <c r="AB1188" s="64"/>
      <c r="AC1188" s="64"/>
      <c r="AD1188" s="64"/>
      <c r="AE1188" s="64"/>
      <c r="AF1188" s="64"/>
      <c r="AG1188" s="64"/>
      <c r="AH1188" s="64"/>
      <c r="AI1188" s="64"/>
      <c r="AJ1188" s="64"/>
      <c r="AK1188" s="64"/>
      <c r="AL1188" s="64"/>
      <c r="AM1188" s="169"/>
      <c r="AN1188" s="169"/>
      <c r="AO1188" s="169"/>
      <c r="AP1188" s="169"/>
      <c r="AQ1188" s="169"/>
      <c r="AR1188" s="169"/>
      <c r="AS1188" s="169"/>
      <c r="AT1188" s="169"/>
    </row>
    <row r="1189" spans="10:46">
      <c r="J1189" s="64"/>
      <c r="K1189" s="64"/>
      <c r="L1189" s="64"/>
      <c r="M1189" s="64"/>
      <c r="N1189" s="64"/>
      <c r="O1189" s="64"/>
      <c r="P1189" s="64"/>
      <c r="Q1189" s="64"/>
      <c r="R1189" s="64"/>
      <c r="S1189" s="64"/>
      <c r="T1189" s="64"/>
      <c r="U1189" s="64"/>
      <c r="V1189" s="64"/>
      <c r="W1189" s="64"/>
      <c r="X1189" s="64"/>
      <c r="Y1189" s="64"/>
      <c r="Z1189" s="64"/>
      <c r="AA1189" s="64"/>
      <c r="AB1189" s="64"/>
      <c r="AC1189" s="64"/>
      <c r="AD1189" s="64"/>
      <c r="AE1189" s="64"/>
      <c r="AF1189" s="64"/>
      <c r="AG1189" s="64"/>
      <c r="AH1189" s="64"/>
      <c r="AI1189" s="64"/>
      <c r="AJ1189" s="64"/>
      <c r="AK1189" s="64"/>
      <c r="AL1189" s="64"/>
      <c r="AM1189" s="169"/>
      <c r="AN1189" s="169"/>
      <c r="AO1189" s="169"/>
      <c r="AP1189" s="169"/>
      <c r="AQ1189" s="169"/>
      <c r="AR1189" s="169"/>
      <c r="AS1189" s="169"/>
      <c r="AT1189" s="169"/>
    </row>
    <row r="1190" spans="10:46">
      <c r="J1190" s="64"/>
      <c r="K1190" s="64"/>
      <c r="L1190" s="64"/>
      <c r="M1190" s="64"/>
      <c r="N1190" s="64"/>
      <c r="O1190" s="64"/>
      <c r="P1190" s="64"/>
      <c r="Q1190" s="64"/>
      <c r="R1190" s="64"/>
      <c r="S1190" s="64"/>
      <c r="T1190" s="64"/>
      <c r="U1190" s="64"/>
      <c r="V1190" s="64"/>
      <c r="W1190" s="64"/>
      <c r="X1190" s="64"/>
      <c r="Y1190" s="64"/>
      <c r="Z1190" s="64"/>
      <c r="AA1190" s="64"/>
      <c r="AB1190" s="64"/>
      <c r="AC1190" s="64"/>
      <c r="AD1190" s="64"/>
      <c r="AE1190" s="64"/>
      <c r="AF1190" s="64"/>
      <c r="AG1190" s="64"/>
      <c r="AH1190" s="64"/>
      <c r="AI1190" s="64"/>
      <c r="AJ1190" s="64"/>
      <c r="AK1190" s="64"/>
      <c r="AL1190" s="64"/>
      <c r="AM1190" s="169"/>
      <c r="AN1190" s="169"/>
      <c r="AO1190" s="169"/>
      <c r="AP1190" s="169"/>
      <c r="AQ1190" s="169"/>
      <c r="AR1190" s="169"/>
      <c r="AS1190" s="169"/>
      <c r="AT1190" s="169"/>
    </row>
    <row r="1191" spans="10:46">
      <c r="J1191" s="64"/>
      <c r="K1191" s="64"/>
      <c r="L1191" s="64"/>
      <c r="M1191" s="64"/>
      <c r="N1191" s="64"/>
      <c r="O1191" s="64"/>
      <c r="P1191" s="64"/>
      <c r="Q1191" s="64"/>
      <c r="R1191" s="64"/>
      <c r="S1191" s="64"/>
      <c r="T1191" s="64"/>
      <c r="U1191" s="64"/>
      <c r="V1191" s="64"/>
      <c r="W1191" s="64"/>
      <c r="X1191" s="64"/>
      <c r="Y1191" s="64"/>
      <c r="Z1191" s="64"/>
      <c r="AA1191" s="64"/>
      <c r="AB1191" s="64"/>
      <c r="AC1191" s="64"/>
      <c r="AD1191" s="64"/>
      <c r="AE1191" s="64"/>
      <c r="AF1191" s="64"/>
      <c r="AG1191" s="64"/>
      <c r="AH1191" s="64"/>
      <c r="AI1191" s="64"/>
      <c r="AJ1191" s="64"/>
      <c r="AK1191" s="64"/>
      <c r="AL1191" s="64"/>
      <c r="AM1191" s="169"/>
      <c r="AN1191" s="169"/>
      <c r="AO1191" s="169"/>
      <c r="AP1191" s="169"/>
      <c r="AQ1191" s="169"/>
      <c r="AR1191" s="169"/>
      <c r="AS1191" s="169"/>
      <c r="AT1191" s="169"/>
    </row>
    <row r="1192" spans="10:46">
      <c r="J1192" s="64"/>
      <c r="K1192" s="64"/>
      <c r="L1192" s="64"/>
      <c r="M1192" s="64"/>
      <c r="N1192" s="64"/>
      <c r="O1192" s="64"/>
      <c r="P1192" s="64"/>
      <c r="Q1192" s="64"/>
      <c r="R1192" s="64"/>
      <c r="S1192" s="64"/>
      <c r="T1192" s="64"/>
      <c r="U1192" s="64"/>
      <c r="V1192" s="64"/>
      <c r="W1192" s="64"/>
      <c r="X1192" s="64"/>
      <c r="Y1192" s="64"/>
      <c r="Z1192" s="64"/>
      <c r="AA1192" s="64"/>
      <c r="AB1192" s="64"/>
      <c r="AC1192" s="64"/>
      <c r="AD1192" s="64"/>
      <c r="AE1192" s="64"/>
      <c r="AF1192" s="64"/>
      <c r="AG1192" s="64"/>
      <c r="AH1192" s="64"/>
      <c r="AI1192" s="64"/>
      <c r="AJ1192" s="64"/>
      <c r="AK1192" s="64"/>
      <c r="AL1192" s="64"/>
      <c r="AM1192" s="169"/>
      <c r="AN1192" s="169"/>
      <c r="AO1192" s="169"/>
      <c r="AP1192" s="169"/>
      <c r="AQ1192" s="169"/>
      <c r="AR1192" s="169"/>
      <c r="AS1192" s="169"/>
      <c r="AT1192" s="169"/>
    </row>
    <row r="1193" spans="10:46">
      <c r="J1193" s="64"/>
      <c r="K1193" s="64"/>
      <c r="L1193" s="64"/>
      <c r="M1193" s="64"/>
      <c r="N1193" s="64"/>
      <c r="O1193" s="64"/>
      <c r="P1193" s="64"/>
      <c r="Q1193" s="64"/>
      <c r="R1193" s="64"/>
      <c r="S1193" s="64"/>
      <c r="T1193" s="64"/>
      <c r="U1193" s="64"/>
      <c r="V1193" s="64"/>
      <c r="W1193" s="64"/>
      <c r="X1193" s="64"/>
      <c r="Y1193" s="64"/>
      <c r="Z1193" s="64"/>
      <c r="AA1193" s="64"/>
      <c r="AB1193" s="64"/>
      <c r="AC1193" s="64"/>
      <c r="AD1193" s="64"/>
      <c r="AE1193" s="64"/>
      <c r="AF1193" s="64"/>
      <c r="AG1193" s="64"/>
      <c r="AH1193" s="64"/>
      <c r="AI1193" s="64"/>
      <c r="AJ1193" s="64"/>
      <c r="AK1193" s="64"/>
      <c r="AL1193" s="64"/>
      <c r="AM1193" s="169"/>
      <c r="AN1193" s="169"/>
      <c r="AO1193" s="169"/>
      <c r="AP1193" s="169"/>
      <c r="AQ1193" s="169"/>
      <c r="AR1193" s="169"/>
      <c r="AS1193" s="169"/>
      <c r="AT1193" s="169"/>
    </row>
    <row r="1194" spans="10:46">
      <c r="J1194" s="64"/>
      <c r="K1194" s="64"/>
      <c r="L1194" s="64"/>
      <c r="M1194" s="64"/>
      <c r="N1194" s="64"/>
      <c r="O1194" s="64"/>
      <c r="P1194" s="64"/>
      <c r="Q1194" s="64"/>
      <c r="R1194" s="64"/>
      <c r="S1194" s="64"/>
      <c r="T1194" s="64"/>
      <c r="U1194" s="64"/>
      <c r="V1194" s="64"/>
      <c r="W1194" s="64"/>
      <c r="X1194" s="64"/>
      <c r="Y1194" s="64"/>
      <c r="Z1194" s="64"/>
      <c r="AA1194" s="64"/>
      <c r="AB1194" s="64"/>
      <c r="AC1194" s="64"/>
      <c r="AD1194" s="64"/>
      <c r="AE1194" s="64"/>
      <c r="AF1194" s="64"/>
      <c r="AG1194" s="64"/>
      <c r="AH1194" s="64"/>
      <c r="AI1194" s="64"/>
      <c r="AJ1194" s="64"/>
      <c r="AK1194" s="64"/>
      <c r="AL1194" s="64"/>
      <c r="AM1194" s="169"/>
      <c r="AN1194" s="169"/>
      <c r="AO1194" s="169"/>
      <c r="AP1194" s="169"/>
      <c r="AQ1194" s="169"/>
      <c r="AR1194" s="169"/>
      <c r="AS1194" s="169"/>
      <c r="AT1194" s="169"/>
    </row>
    <row r="1195" spans="10:46">
      <c r="J1195" s="64"/>
      <c r="K1195" s="64"/>
      <c r="L1195" s="64"/>
      <c r="M1195" s="64"/>
      <c r="N1195" s="64"/>
      <c r="O1195" s="64"/>
      <c r="P1195" s="64"/>
      <c r="Q1195" s="64"/>
      <c r="R1195" s="64"/>
      <c r="S1195" s="64"/>
      <c r="T1195" s="64"/>
      <c r="U1195" s="64"/>
      <c r="V1195" s="64"/>
      <c r="W1195" s="64"/>
      <c r="X1195" s="64"/>
      <c r="Y1195" s="64"/>
      <c r="Z1195" s="64"/>
      <c r="AA1195" s="64"/>
      <c r="AB1195" s="64"/>
      <c r="AC1195" s="64"/>
      <c r="AD1195" s="64"/>
      <c r="AE1195" s="64"/>
      <c r="AF1195" s="64"/>
      <c r="AG1195" s="64"/>
      <c r="AH1195" s="64"/>
      <c r="AI1195" s="64"/>
      <c r="AJ1195" s="64"/>
      <c r="AK1195" s="64"/>
      <c r="AL1195" s="64"/>
      <c r="AM1195" s="169"/>
      <c r="AN1195" s="169"/>
      <c r="AO1195" s="169"/>
      <c r="AP1195" s="169"/>
      <c r="AQ1195" s="169"/>
      <c r="AR1195" s="169"/>
      <c r="AS1195" s="169"/>
      <c r="AT1195" s="169"/>
    </row>
    <row r="1196" spans="10:46">
      <c r="J1196" s="64"/>
      <c r="K1196" s="64"/>
      <c r="L1196" s="64"/>
      <c r="M1196" s="64"/>
      <c r="N1196" s="64"/>
      <c r="O1196" s="64"/>
      <c r="P1196" s="64"/>
      <c r="Q1196" s="64"/>
      <c r="R1196" s="64"/>
      <c r="S1196" s="64"/>
      <c r="T1196" s="64"/>
      <c r="U1196" s="64"/>
      <c r="V1196" s="64"/>
      <c r="W1196" s="64"/>
      <c r="X1196" s="64"/>
      <c r="Y1196" s="64"/>
      <c r="Z1196" s="64"/>
      <c r="AA1196" s="64"/>
      <c r="AB1196" s="64"/>
      <c r="AC1196" s="64"/>
      <c r="AD1196" s="64"/>
      <c r="AE1196" s="64"/>
      <c r="AF1196" s="64"/>
      <c r="AG1196" s="64"/>
      <c r="AH1196" s="64"/>
      <c r="AI1196" s="64"/>
      <c r="AJ1196" s="64"/>
      <c r="AK1196" s="64"/>
      <c r="AL1196" s="64"/>
      <c r="AM1196" s="169"/>
      <c r="AN1196" s="169"/>
      <c r="AO1196" s="169"/>
      <c r="AP1196" s="169"/>
      <c r="AQ1196" s="169"/>
      <c r="AR1196" s="169"/>
      <c r="AS1196" s="169"/>
      <c r="AT1196" s="169"/>
    </row>
    <row r="1197" spans="10:46">
      <c r="J1197" s="64"/>
      <c r="K1197" s="64"/>
      <c r="L1197" s="64"/>
      <c r="M1197" s="64"/>
      <c r="N1197" s="64"/>
      <c r="O1197" s="64"/>
      <c r="P1197" s="64"/>
      <c r="Q1197" s="64"/>
      <c r="R1197" s="64"/>
      <c r="S1197" s="64"/>
      <c r="T1197" s="64"/>
      <c r="U1197" s="64"/>
      <c r="V1197" s="64"/>
      <c r="W1197" s="64"/>
      <c r="X1197" s="64"/>
      <c r="Y1197" s="64"/>
      <c r="Z1197" s="64"/>
      <c r="AA1197" s="64"/>
      <c r="AB1197" s="64"/>
      <c r="AC1197" s="64"/>
      <c r="AD1197" s="64"/>
      <c r="AE1197" s="64"/>
      <c r="AF1197" s="64"/>
      <c r="AG1197" s="64"/>
      <c r="AH1197" s="64"/>
      <c r="AI1197" s="64"/>
      <c r="AJ1197" s="64"/>
      <c r="AK1197" s="64"/>
      <c r="AL1197" s="64"/>
      <c r="AM1197" s="169"/>
      <c r="AN1197" s="169"/>
      <c r="AO1197" s="169"/>
      <c r="AP1197" s="169"/>
      <c r="AQ1197" s="169"/>
      <c r="AR1197" s="169"/>
      <c r="AS1197" s="169"/>
      <c r="AT1197" s="169"/>
    </row>
    <row r="1198" spans="10:46">
      <c r="J1198" s="64"/>
      <c r="K1198" s="64"/>
      <c r="L1198" s="64"/>
      <c r="M1198" s="64"/>
      <c r="N1198" s="64"/>
      <c r="O1198" s="64"/>
      <c r="P1198" s="64"/>
      <c r="Q1198" s="64"/>
      <c r="R1198" s="64"/>
      <c r="S1198" s="64"/>
      <c r="T1198" s="64"/>
      <c r="U1198" s="64"/>
      <c r="V1198" s="64"/>
      <c r="W1198" s="64"/>
      <c r="X1198" s="64"/>
      <c r="Y1198" s="64"/>
      <c r="Z1198" s="64"/>
      <c r="AA1198" s="64"/>
      <c r="AB1198" s="64"/>
      <c r="AC1198" s="64"/>
      <c r="AD1198" s="64"/>
      <c r="AE1198" s="64"/>
      <c r="AF1198" s="64"/>
      <c r="AG1198" s="64"/>
      <c r="AH1198" s="64"/>
      <c r="AI1198" s="64"/>
      <c r="AJ1198" s="64"/>
      <c r="AK1198" s="64"/>
      <c r="AL1198" s="64"/>
      <c r="AM1198" s="169"/>
      <c r="AN1198" s="169"/>
      <c r="AO1198" s="169"/>
      <c r="AP1198" s="169"/>
      <c r="AQ1198" s="169"/>
      <c r="AR1198" s="169"/>
      <c r="AS1198" s="169"/>
      <c r="AT1198" s="169"/>
    </row>
    <row r="1199" spans="10:46">
      <c r="J1199" s="64"/>
      <c r="K1199" s="64"/>
      <c r="L1199" s="64"/>
      <c r="M1199" s="64"/>
      <c r="N1199" s="64"/>
      <c r="O1199" s="64"/>
      <c r="P1199" s="64"/>
      <c r="Q1199" s="64"/>
      <c r="R1199" s="64"/>
      <c r="S1199" s="64"/>
      <c r="T1199" s="64"/>
      <c r="U1199" s="64"/>
      <c r="V1199" s="64"/>
      <c r="W1199" s="64"/>
      <c r="X1199" s="64"/>
      <c r="Y1199" s="64"/>
      <c r="Z1199" s="64"/>
      <c r="AA1199" s="64"/>
      <c r="AB1199" s="64"/>
      <c r="AC1199" s="64"/>
      <c r="AD1199" s="64"/>
      <c r="AE1199" s="64"/>
      <c r="AF1199" s="64"/>
      <c r="AG1199" s="64"/>
      <c r="AH1199" s="64"/>
      <c r="AI1199" s="64"/>
      <c r="AJ1199" s="64"/>
      <c r="AK1199" s="64"/>
      <c r="AL1199" s="64"/>
      <c r="AM1199" s="169"/>
      <c r="AN1199" s="169"/>
      <c r="AO1199" s="169"/>
      <c r="AP1199" s="169"/>
      <c r="AQ1199" s="169"/>
      <c r="AR1199" s="169"/>
      <c r="AS1199" s="169"/>
      <c r="AT1199" s="169"/>
    </row>
    <row r="1200" spans="10:46">
      <c r="J1200" s="64"/>
      <c r="K1200" s="64"/>
      <c r="L1200" s="64"/>
      <c r="M1200" s="64"/>
      <c r="N1200" s="64"/>
      <c r="O1200" s="64"/>
      <c r="P1200" s="64"/>
      <c r="Q1200" s="64"/>
      <c r="R1200" s="64"/>
      <c r="S1200" s="64"/>
      <c r="T1200" s="64"/>
      <c r="U1200" s="64"/>
      <c r="V1200" s="64"/>
      <c r="W1200" s="64"/>
      <c r="X1200" s="64"/>
      <c r="Y1200" s="64"/>
      <c r="Z1200" s="64"/>
      <c r="AA1200" s="64"/>
      <c r="AB1200" s="64"/>
      <c r="AC1200" s="64"/>
      <c r="AD1200" s="64"/>
      <c r="AE1200" s="64"/>
      <c r="AF1200" s="64"/>
      <c r="AG1200" s="64"/>
      <c r="AH1200" s="64"/>
      <c r="AI1200" s="64"/>
      <c r="AJ1200" s="64"/>
      <c r="AK1200" s="64"/>
      <c r="AL1200" s="64"/>
      <c r="AM1200" s="169"/>
      <c r="AN1200" s="169"/>
      <c r="AO1200" s="169"/>
      <c r="AP1200" s="169"/>
      <c r="AQ1200" s="169"/>
      <c r="AR1200" s="169"/>
      <c r="AS1200" s="169"/>
      <c r="AT1200" s="169"/>
    </row>
    <row r="1201" spans="10:46">
      <c r="J1201" s="64"/>
      <c r="K1201" s="64"/>
      <c r="L1201" s="64"/>
      <c r="M1201" s="64"/>
      <c r="N1201" s="64"/>
      <c r="O1201" s="64"/>
      <c r="P1201" s="64"/>
      <c r="Q1201" s="64"/>
      <c r="R1201" s="64"/>
      <c r="S1201" s="64"/>
      <c r="T1201" s="64"/>
      <c r="U1201" s="64"/>
      <c r="V1201" s="64"/>
      <c r="W1201" s="64"/>
      <c r="X1201" s="64"/>
      <c r="Y1201" s="64"/>
      <c r="Z1201" s="64"/>
      <c r="AA1201" s="64"/>
      <c r="AB1201" s="64"/>
      <c r="AC1201" s="64"/>
      <c r="AD1201" s="64"/>
      <c r="AE1201" s="64"/>
      <c r="AF1201" s="64"/>
      <c r="AG1201" s="64"/>
      <c r="AH1201" s="64"/>
      <c r="AI1201" s="64"/>
      <c r="AJ1201" s="64"/>
      <c r="AK1201" s="64"/>
      <c r="AL1201" s="64"/>
      <c r="AM1201" s="169"/>
      <c r="AN1201" s="169"/>
      <c r="AO1201" s="169"/>
      <c r="AP1201" s="169"/>
      <c r="AQ1201" s="169"/>
      <c r="AR1201" s="169"/>
      <c r="AS1201" s="169"/>
      <c r="AT1201" s="169"/>
    </row>
    <row r="1202" spans="10:46">
      <c r="J1202" s="64"/>
      <c r="K1202" s="64"/>
      <c r="L1202" s="64"/>
      <c r="M1202" s="64"/>
      <c r="N1202" s="64"/>
      <c r="O1202" s="64"/>
      <c r="P1202" s="64"/>
      <c r="Q1202" s="64"/>
      <c r="R1202" s="64"/>
      <c r="S1202" s="64"/>
      <c r="T1202" s="64"/>
      <c r="U1202" s="64"/>
      <c r="V1202" s="64"/>
      <c r="W1202" s="64"/>
      <c r="X1202" s="64"/>
      <c r="Y1202" s="64"/>
      <c r="Z1202" s="64"/>
      <c r="AA1202" s="64"/>
      <c r="AB1202" s="64"/>
      <c r="AC1202" s="64"/>
      <c r="AD1202" s="64"/>
      <c r="AE1202" s="64"/>
      <c r="AF1202" s="64"/>
      <c r="AG1202" s="64"/>
      <c r="AH1202" s="64"/>
      <c r="AI1202" s="64"/>
      <c r="AJ1202" s="64"/>
      <c r="AK1202" s="64"/>
      <c r="AL1202" s="64"/>
      <c r="AM1202" s="169"/>
      <c r="AN1202" s="169"/>
      <c r="AO1202" s="169"/>
      <c r="AP1202" s="169"/>
      <c r="AQ1202" s="169"/>
      <c r="AR1202" s="169"/>
      <c r="AS1202" s="169"/>
      <c r="AT1202" s="169"/>
    </row>
    <row r="1203" spans="10:46">
      <c r="J1203" s="64"/>
      <c r="K1203" s="64"/>
      <c r="L1203" s="64"/>
      <c r="M1203" s="64"/>
      <c r="N1203" s="64"/>
      <c r="O1203" s="64"/>
      <c r="P1203" s="64"/>
      <c r="Q1203" s="64"/>
      <c r="R1203" s="64"/>
      <c r="S1203" s="64"/>
      <c r="T1203" s="64"/>
      <c r="U1203" s="64"/>
      <c r="V1203" s="64"/>
      <c r="W1203" s="64"/>
      <c r="X1203" s="64"/>
      <c r="Y1203" s="64"/>
      <c r="Z1203" s="64"/>
      <c r="AA1203" s="64"/>
      <c r="AB1203" s="64"/>
      <c r="AC1203" s="64"/>
      <c r="AD1203" s="64"/>
      <c r="AE1203" s="64"/>
      <c r="AF1203" s="64"/>
      <c r="AG1203" s="64"/>
      <c r="AH1203" s="64"/>
      <c r="AI1203" s="64"/>
      <c r="AJ1203" s="64"/>
      <c r="AK1203" s="64"/>
      <c r="AL1203" s="64"/>
      <c r="AM1203" s="169"/>
      <c r="AN1203" s="169"/>
      <c r="AO1203" s="169"/>
      <c r="AP1203" s="169"/>
      <c r="AQ1203" s="169"/>
      <c r="AR1203" s="169"/>
      <c r="AS1203" s="169"/>
      <c r="AT1203" s="169"/>
    </row>
    <row r="1204" spans="10:46">
      <c r="J1204" s="64"/>
      <c r="K1204" s="64"/>
      <c r="L1204" s="64"/>
      <c r="M1204" s="64"/>
      <c r="N1204" s="64"/>
      <c r="O1204" s="64"/>
      <c r="P1204" s="64"/>
      <c r="Q1204" s="64"/>
      <c r="R1204" s="64"/>
      <c r="S1204" s="64"/>
      <c r="T1204" s="64"/>
      <c r="U1204" s="64"/>
      <c r="V1204" s="64"/>
      <c r="W1204" s="64"/>
      <c r="X1204" s="64"/>
      <c r="Y1204" s="64"/>
      <c r="Z1204" s="64"/>
      <c r="AA1204" s="64"/>
      <c r="AB1204" s="64"/>
      <c r="AC1204" s="64"/>
      <c r="AD1204" s="64"/>
      <c r="AE1204" s="64"/>
      <c r="AF1204" s="64"/>
      <c r="AG1204" s="64"/>
      <c r="AH1204" s="64"/>
      <c r="AI1204" s="64"/>
      <c r="AJ1204" s="64"/>
      <c r="AK1204" s="64"/>
      <c r="AL1204" s="64"/>
      <c r="AM1204" s="169"/>
      <c r="AN1204" s="169"/>
      <c r="AO1204" s="169"/>
      <c r="AP1204" s="169"/>
      <c r="AQ1204" s="169"/>
      <c r="AR1204" s="169"/>
      <c r="AS1204" s="169"/>
      <c r="AT1204" s="169"/>
    </row>
    <row r="1205" spans="10:46">
      <c r="J1205" s="64"/>
      <c r="K1205" s="64"/>
      <c r="L1205" s="64"/>
      <c r="M1205" s="64"/>
      <c r="N1205" s="64"/>
      <c r="O1205" s="64"/>
      <c r="P1205" s="64"/>
      <c r="Q1205" s="64"/>
      <c r="R1205" s="64"/>
      <c r="S1205" s="64"/>
      <c r="T1205" s="64"/>
      <c r="U1205" s="64"/>
      <c r="V1205" s="64"/>
      <c r="W1205" s="64"/>
      <c r="X1205" s="64"/>
      <c r="Y1205" s="64"/>
      <c r="Z1205" s="64"/>
      <c r="AA1205" s="64"/>
      <c r="AB1205" s="64"/>
      <c r="AC1205" s="64"/>
      <c r="AD1205" s="64"/>
      <c r="AE1205" s="64"/>
      <c r="AF1205" s="64"/>
      <c r="AG1205" s="64"/>
      <c r="AH1205" s="64"/>
      <c r="AI1205" s="64"/>
      <c r="AJ1205" s="64"/>
      <c r="AK1205" s="64"/>
      <c r="AL1205" s="64"/>
      <c r="AM1205" s="169"/>
      <c r="AN1205" s="169"/>
      <c r="AO1205" s="169"/>
      <c r="AP1205" s="169"/>
      <c r="AQ1205" s="169"/>
      <c r="AR1205" s="169"/>
      <c r="AS1205" s="169"/>
      <c r="AT1205" s="169"/>
    </row>
    <row r="1206" spans="10:46">
      <c r="J1206" s="64"/>
      <c r="K1206" s="64"/>
      <c r="L1206" s="64"/>
      <c r="M1206" s="64"/>
      <c r="N1206" s="64"/>
      <c r="O1206" s="64"/>
      <c r="P1206" s="64"/>
      <c r="Q1206" s="64"/>
      <c r="R1206" s="64"/>
      <c r="S1206" s="64"/>
      <c r="T1206" s="64"/>
      <c r="U1206" s="64"/>
      <c r="V1206" s="64"/>
      <c r="W1206" s="64"/>
      <c r="X1206" s="64"/>
      <c r="Y1206" s="64"/>
      <c r="Z1206" s="64"/>
      <c r="AA1206" s="64"/>
      <c r="AB1206" s="64"/>
      <c r="AC1206" s="64"/>
      <c r="AD1206" s="64"/>
      <c r="AE1206" s="64"/>
      <c r="AF1206" s="64"/>
      <c r="AG1206" s="64"/>
      <c r="AH1206" s="64"/>
      <c r="AI1206" s="64"/>
      <c r="AJ1206" s="64"/>
      <c r="AK1206" s="64"/>
      <c r="AL1206" s="64"/>
      <c r="AM1206" s="169"/>
      <c r="AN1206" s="169"/>
      <c r="AO1206" s="169"/>
      <c r="AP1206" s="169"/>
      <c r="AQ1206" s="169"/>
      <c r="AR1206" s="169"/>
      <c r="AS1206" s="169"/>
      <c r="AT1206" s="169"/>
    </row>
    <row r="1207" spans="10:46">
      <c r="J1207" s="64"/>
      <c r="K1207" s="64"/>
      <c r="L1207" s="64"/>
      <c r="M1207" s="64"/>
      <c r="N1207" s="64"/>
      <c r="O1207" s="64"/>
      <c r="P1207" s="64"/>
      <c r="Q1207" s="64"/>
      <c r="R1207" s="64"/>
      <c r="S1207" s="64"/>
      <c r="T1207" s="64"/>
      <c r="U1207" s="64"/>
      <c r="V1207" s="64"/>
      <c r="W1207" s="64"/>
      <c r="X1207" s="64"/>
      <c r="Y1207" s="64"/>
      <c r="Z1207" s="64"/>
      <c r="AA1207" s="64"/>
      <c r="AB1207" s="64"/>
      <c r="AC1207" s="64"/>
      <c r="AD1207" s="64"/>
      <c r="AE1207" s="64"/>
      <c r="AF1207" s="64"/>
      <c r="AG1207" s="64"/>
      <c r="AH1207" s="64"/>
      <c r="AI1207" s="64"/>
      <c r="AJ1207" s="64"/>
      <c r="AK1207" s="64"/>
      <c r="AL1207" s="64"/>
      <c r="AM1207" s="169"/>
      <c r="AN1207" s="169"/>
      <c r="AO1207" s="169"/>
      <c r="AP1207" s="169"/>
      <c r="AQ1207" s="169"/>
      <c r="AR1207" s="169"/>
      <c r="AS1207" s="169"/>
      <c r="AT1207" s="169"/>
    </row>
    <row r="1208" spans="10:46">
      <c r="J1208" s="64"/>
      <c r="K1208" s="64"/>
      <c r="L1208" s="64"/>
      <c r="M1208" s="64"/>
      <c r="N1208" s="64"/>
      <c r="O1208" s="64"/>
      <c r="P1208" s="64"/>
      <c r="Q1208" s="64"/>
      <c r="R1208" s="64"/>
      <c r="S1208" s="64"/>
      <c r="T1208" s="64"/>
      <c r="U1208" s="64"/>
      <c r="V1208" s="64"/>
      <c r="W1208" s="64"/>
      <c r="X1208" s="64"/>
      <c r="Y1208" s="64"/>
      <c r="Z1208" s="64"/>
      <c r="AA1208" s="64"/>
      <c r="AB1208" s="64"/>
      <c r="AC1208" s="64"/>
      <c r="AD1208" s="64"/>
      <c r="AE1208" s="64"/>
      <c r="AF1208" s="64"/>
      <c r="AG1208" s="64"/>
      <c r="AH1208" s="64"/>
      <c r="AI1208" s="64"/>
      <c r="AJ1208" s="64"/>
      <c r="AK1208" s="64"/>
      <c r="AL1208" s="64"/>
      <c r="AM1208" s="169"/>
      <c r="AN1208" s="169"/>
      <c r="AO1208" s="169"/>
      <c r="AP1208" s="169"/>
      <c r="AQ1208" s="169"/>
      <c r="AR1208" s="169"/>
      <c r="AS1208" s="169"/>
      <c r="AT1208" s="169"/>
    </row>
    <row r="1209" spans="10:46">
      <c r="J1209" s="64"/>
      <c r="K1209" s="64"/>
      <c r="L1209" s="64"/>
      <c r="M1209" s="64"/>
      <c r="N1209" s="64"/>
      <c r="O1209" s="64"/>
      <c r="P1209" s="64"/>
      <c r="Q1209" s="64"/>
      <c r="R1209" s="64"/>
      <c r="S1209" s="64"/>
      <c r="T1209" s="64"/>
      <c r="U1209" s="64"/>
      <c r="V1209" s="64"/>
      <c r="W1209" s="64"/>
      <c r="X1209" s="64"/>
      <c r="Y1209" s="64"/>
      <c r="Z1209" s="64"/>
      <c r="AA1209" s="64"/>
      <c r="AB1209" s="64"/>
      <c r="AC1209" s="64"/>
      <c r="AD1209" s="64"/>
      <c r="AE1209" s="64"/>
      <c r="AF1209" s="64"/>
      <c r="AG1209" s="64"/>
      <c r="AH1209" s="64"/>
      <c r="AI1209" s="64"/>
      <c r="AJ1209" s="64"/>
      <c r="AK1209" s="64"/>
      <c r="AL1209" s="64"/>
      <c r="AM1209" s="169"/>
      <c r="AN1209" s="169"/>
      <c r="AO1209" s="169"/>
      <c r="AP1209" s="169"/>
      <c r="AQ1209" s="169"/>
      <c r="AR1209" s="169"/>
      <c r="AS1209" s="169"/>
      <c r="AT1209" s="169"/>
    </row>
    <row r="1210" spans="10:46">
      <c r="J1210" s="64"/>
      <c r="K1210" s="64"/>
      <c r="L1210" s="64"/>
      <c r="M1210" s="64"/>
      <c r="N1210" s="64"/>
      <c r="O1210" s="64"/>
      <c r="P1210" s="64"/>
      <c r="Q1210" s="64"/>
      <c r="R1210" s="64"/>
      <c r="S1210" s="64"/>
      <c r="T1210" s="64"/>
      <c r="U1210" s="64"/>
      <c r="V1210" s="64"/>
      <c r="W1210" s="64"/>
      <c r="X1210" s="64"/>
      <c r="Y1210" s="64"/>
      <c r="Z1210" s="64"/>
      <c r="AA1210" s="64"/>
      <c r="AB1210" s="64"/>
      <c r="AC1210" s="64"/>
      <c r="AD1210" s="64"/>
      <c r="AE1210" s="64"/>
      <c r="AF1210" s="64"/>
      <c r="AG1210" s="64"/>
      <c r="AH1210" s="64"/>
      <c r="AI1210" s="64"/>
      <c r="AJ1210" s="64"/>
      <c r="AK1210" s="64"/>
      <c r="AL1210" s="64"/>
      <c r="AM1210" s="169"/>
      <c r="AN1210" s="169"/>
      <c r="AO1210" s="169"/>
      <c r="AP1210" s="169"/>
      <c r="AQ1210" s="169"/>
      <c r="AR1210" s="169"/>
      <c r="AS1210" s="169"/>
      <c r="AT1210" s="169"/>
    </row>
    <row r="1211" spans="10:46">
      <c r="J1211" s="64"/>
      <c r="K1211" s="64"/>
      <c r="L1211" s="64"/>
      <c r="M1211" s="64"/>
      <c r="N1211" s="64"/>
      <c r="O1211" s="64"/>
      <c r="P1211" s="64"/>
      <c r="Q1211" s="64"/>
      <c r="R1211" s="64"/>
      <c r="S1211" s="64"/>
      <c r="T1211" s="64"/>
      <c r="U1211" s="64"/>
      <c r="V1211" s="64"/>
      <c r="W1211" s="64"/>
      <c r="X1211" s="64"/>
      <c r="Y1211" s="64"/>
      <c r="Z1211" s="64"/>
      <c r="AA1211" s="64"/>
      <c r="AB1211" s="64"/>
      <c r="AC1211" s="64"/>
      <c r="AD1211" s="64"/>
      <c r="AE1211" s="64"/>
      <c r="AF1211" s="64"/>
      <c r="AG1211" s="64"/>
      <c r="AH1211" s="64"/>
      <c r="AI1211" s="64"/>
      <c r="AJ1211" s="64"/>
      <c r="AK1211" s="64"/>
      <c r="AL1211" s="64"/>
      <c r="AM1211" s="169"/>
      <c r="AN1211" s="169"/>
      <c r="AO1211" s="169"/>
      <c r="AP1211" s="169"/>
      <c r="AQ1211" s="169"/>
      <c r="AR1211" s="169"/>
      <c r="AS1211" s="169"/>
      <c r="AT1211" s="169"/>
    </row>
    <row r="1212" spans="10:46">
      <c r="J1212" s="64"/>
      <c r="K1212" s="64"/>
      <c r="L1212" s="64"/>
      <c r="M1212" s="64"/>
      <c r="N1212" s="64"/>
      <c r="O1212" s="64"/>
      <c r="P1212" s="64"/>
      <c r="Q1212" s="64"/>
      <c r="R1212" s="64"/>
      <c r="S1212" s="64"/>
      <c r="T1212" s="64"/>
      <c r="U1212" s="64"/>
      <c r="V1212" s="64"/>
      <c r="W1212" s="64"/>
      <c r="X1212" s="64"/>
      <c r="Y1212" s="64"/>
      <c r="Z1212" s="64"/>
      <c r="AA1212" s="64"/>
      <c r="AB1212" s="64"/>
      <c r="AC1212" s="64"/>
      <c r="AD1212" s="64"/>
      <c r="AE1212" s="64"/>
      <c r="AF1212" s="64"/>
      <c r="AG1212" s="64"/>
      <c r="AH1212" s="64"/>
      <c r="AI1212" s="64"/>
      <c r="AJ1212" s="64"/>
      <c r="AK1212" s="64"/>
      <c r="AL1212" s="64"/>
      <c r="AM1212" s="169"/>
      <c r="AN1212" s="169"/>
      <c r="AO1212" s="169"/>
      <c r="AP1212" s="169"/>
      <c r="AQ1212" s="169"/>
      <c r="AR1212" s="169"/>
      <c r="AS1212" s="169"/>
      <c r="AT1212" s="169"/>
    </row>
    <row r="1213" spans="10:46">
      <c r="J1213" s="64"/>
      <c r="K1213" s="64"/>
      <c r="L1213" s="64"/>
      <c r="M1213" s="64"/>
      <c r="N1213" s="64"/>
      <c r="O1213" s="64"/>
      <c r="P1213" s="64"/>
      <c r="Q1213" s="64"/>
      <c r="R1213" s="64"/>
      <c r="S1213" s="64"/>
      <c r="T1213" s="64"/>
      <c r="U1213" s="64"/>
      <c r="V1213" s="64"/>
      <c r="W1213" s="64"/>
      <c r="X1213" s="64"/>
      <c r="Y1213" s="64"/>
      <c r="Z1213" s="64"/>
      <c r="AA1213" s="64"/>
      <c r="AB1213" s="64"/>
      <c r="AC1213" s="64"/>
      <c r="AD1213" s="64"/>
      <c r="AE1213" s="64"/>
      <c r="AF1213" s="64"/>
      <c r="AG1213" s="64"/>
      <c r="AH1213" s="64"/>
      <c r="AI1213" s="64"/>
      <c r="AJ1213" s="64"/>
      <c r="AK1213" s="64"/>
      <c r="AL1213" s="64"/>
      <c r="AM1213" s="169"/>
      <c r="AN1213" s="169"/>
      <c r="AO1213" s="169"/>
      <c r="AP1213" s="169"/>
      <c r="AQ1213" s="169"/>
      <c r="AR1213" s="169"/>
      <c r="AS1213" s="169"/>
      <c r="AT1213" s="169"/>
    </row>
    <row r="1214" spans="10:46">
      <c r="J1214" s="64"/>
      <c r="K1214" s="64"/>
      <c r="L1214" s="64"/>
      <c r="M1214" s="64"/>
      <c r="N1214" s="64"/>
      <c r="O1214" s="64"/>
      <c r="P1214" s="64"/>
      <c r="Q1214" s="64"/>
      <c r="R1214" s="64"/>
      <c r="S1214" s="64"/>
      <c r="T1214" s="64"/>
      <c r="U1214" s="64"/>
      <c r="V1214" s="64"/>
      <c r="W1214" s="64"/>
      <c r="X1214" s="64"/>
      <c r="Y1214" s="64"/>
      <c r="Z1214" s="64"/>
      <c r="AA1214" s="64"/>
      <c r="AB1214" s="64"/>
      <c r="AC1214" s="64"/>
      <c r="AD1214" s="64"/>
      <c r="AE1214" s="64"/>
      <c r="AF1214" s="64"/>
      <c r="AG1214" s="64"/>
      <c r="AH1214" s="64"/>
      <c r="AI1214" s="64"/>
      <c r="AJ1214" s="64"/>
      <c r="AK1214" s="64"/>
      <c r="AL1214" s="64"/>
      <c r="AM1214" s="169"/>
      <c r="AN1214" s="169"/>
      <c r="AO1214" s="169"/>
      <c r="AP1214" s="169"/>
      <c r="AQ1214" s="169"/>
      <c r="AR1214" s="169"/>
      <c r="AS1214" s="169"/>
      <c r="AT1214" s="169"/>
    </row>
    <row r="1215" spans="10:46">
      <c r="J1215" s="64"/>
      <c r="K1215" s="64"/>
      <c r="L1215" s="64"/>
      <c r="M1215" s="64"/>
      <c r="N1215" s="64"/>
      <c r="O1215" s="64"/>
      <c r="P1215" s="64"/>
      <c r="Q1215" s="64"/>
      <c r="R1215" s="64"/>
      <c r="S1215" s="64"/>
      <c r="T1215" s="64"/>
      <c r="U1215" s="64"/>
      <c r="V1215" s="64"/>
      <c r="W1215" s="64"/>
      <c r="X1215" s="64"/>
      <c r="Y1215" s="64"/>
      <c r="Z1215" s="64"/>
      <c r="AA1215" s="64"/>
      <c r="AB1215" s="64"/>
      <c r="AC1215" s="64"/>
      <c r="AD1215" s="64"/>
      <c r="AE1215" s="64"/>
      <c r="AF1215" s="64"/>
      <c r="AG1215" s="64"/>
      <c r="AH1215" s="64"/>
      <c r="AI1215" s="64"/>
      <c r="AJ1215" s="64"/>
      <c r="AK1215" s="64"/>
      <c r="AL1215" s="64"/>
      <c r="AM1215" s="169"/>
      <c r="AN1215" s="169"/>
      <c r="AO1215" s="169"/>
      <c r="AP1215" s="169"/>
      <c r="AQ1215" s="169"/>
      <c r="AR1215" s="169"/>
      <c r="AS1215" s="169"/>
      <c r="AT1215" s="169"/>
    </row>
    <row r="1216" spans="10:46">
      <c r="J1216" s="64"/>
      <c r="K1216" s="64"/>
      <c r="L1216" s="64"/>
      <c r="M1216" s="64"/>
      <c r="N1216" s="64"/>
      <c r="O1216" s="64"/>
      <c r="P1216" s="64"/>
      <c r="Q1216" s="64"/>
      <c r="R1216" s="64"/>
      <c r="S1216" s="64"/>
      <c r="T1216" s="64"/>
      <c r="U1216" s="64"/>
      <c r="V1216" s="64"/>
      <c r="W1216" s="64"/>
      <c r="X1216" s="64"/>
      <c r="Y1216" s="64"/>
      <c r="Z1216" s="64"/>
      <c r="AA1216" s="64"/>
      <c r="AB1216" s="64"/>
      <c r="AC1216" s="64"/>
      <c r="AD1216" s="64"/>
      <c r="AE1216" s="64"/>
      <c r="AF1216" s="64"/>
      <c r="AG1216" s="64"/>
      <c r="AH1216" s="64"/>
      <c r="AI1216" s="64"/>
      <c r="AJ1216" s="64"/>
      <c r="AK1216" s="64"/>
      <c r="AL1216" s="64"/>
      <c r="AM1216" s="169"/>
      <c r="AN1216" s="169"/>
      <c r="AO1216" s="169"/>
      <c r="AP1216" s="169"/>
      <c r="AQ1216" s="169"/>
      <c r="AR1216" s="169"/>
      <c r="AS1216" s="169"/>
      <c r="AT1216" s="169"/>
    </row>
    <row r="1217" spans="10:46">
      <c r="J1217" s="64"/>
      <c r="K1217" s="64"/>
      <c r="L1217" s="64"/>
      <c r="M1217" s="64"/>
      <c r="N1217" s="64"/>
      <c r="O1217" s="64"/>
      <c r="P1217" s="64"/>
      <c r="Q1217" s="64"/>
      <c r="R1217" s="64"/>
      <c r="S1217" s="64"/>
      <c r="T1217" s="64"/>
      <c r="U1217" s="64"/>
      <c r="V1217" s="64"/>
      <c r="W1217" s="64"/>
      <c r="X1217" s="64"/>
      <c r="Y1217" s="64"/>
      <c r="Z1217" s="64"/>
      <c r="AA1217" s="64"/>
      <c r="AB1217" s="64"/>
      <c r="AC1217" s="64"/>
      <c r="AD1217" s="64"/>
      <c r="AE1217" s="64"/>
      <c r="AF1217" s="64"/>
      <c r="AG1217" s="64"/>
      <c r="AH1217" s="64"/>
      <c r="AI1217" s="64"/>
      <c r="AJ1217" s="64"/>
      <c r="AK1217" s="64"/>
      <c r="AL1217" s="64"/>
      <c r="AM1217" s="169"/>
      <c r="AN1217" s="169"/>
      <c r="AO1217" s="169"/>
      <c r="AP1217" s="169"/>
      <c r="AQ1217" s="169"/>
      <c r="AR1217" s="169"/>
      <c r="AS1217" s="169"/>
      <c r="AT1217" s="169"/>
    </row>
    <row r="1218" spans="10:46">
      <c r="J1218" s="64"/>
      <c r="K1218" s="64"/>
      <c r="L1218" s="64"/>
      <c r="M1218" s="64"/>
      <c r="N1218" s="64"/>
      <c r="O1218" s="64"/>
      <c r="P1218" s="64"/>
      <c r="Q1218" s="64"/>
      <c r="R1218" s="64"/>
      <c r="S1218" s="64"/>
      <c r="T1218" s="64"/>
      <c r="U1218" s="64"/>
      <c r="V1218" s="64"/>
      <c r="W1218" s="64"/>
      <c r="X1218" s="64"/>
      <c r="Y1218" s="64"/>
      <c r="Z1218" s="64"/>
      <c r="AA1218" s="64"/>
      <c r="AB1218" s="64"/>
      <c r="AC1218" s="64"/>
      <c r="AD1218" s="64"/>
      <c r="AE1218" s="64"/>
      <c r="AF1218" s="64"/>
      <c r="AG1218" s="64"/>
      <c r="AH1218" s="64"/>
      <c r="AI1218" s="64"/>
      <c r="AJ1218" s="64"/>
      <c r="AK1218" s="64"/>
      <c r="AL1218" s="64"/>
      <c r="AM1218" s="169"/>
      <c r="AN1218" s="169"/>
      <c r="AO1218" s="169"/>
      <c r="AP1218" s="169"/>
      <c r="AQ1218" s="169"/>
      <c r="AR1218" s="169"/>
      <c r="AS1218" s="169"/>
      <c r="AT1218" s="169"/>
    </row>
    <row r="1219" spans="10:46">
      <c r="J1219" s="64"/>
      <c r="K1219" s="64"/>
      <c r="L1219" s="64"/>
      <c r="M1219" s="64"/>
      <c r="N1219" s="64"/>
      <c r="O1219" s="64"/>
      <c r="P1219" s="64"/>
      <c r="Q1219" s="64"/>
      <c r="R1219" s="64"/>
      <c r="S1219" s="64"/>
      <c r="T1219" s="64"/>
      <c r="U1219" s="64"/>
      <c r="V1219" s="64"/>
      <c r="W1219" s="64"/>
      <c r="X1219" s="64"/>
      <c r="Y1219" s="64"/>
      <c r="Z1219" s="64"/>
      <c r="AA1219" s="64"/>
      <c r="AB1219" s="64"/>
      <c r="AC1219" s="64"/>
      <c r="AD1219" s="64"/>
      <c r="AE1219" s="64"/>
      <c r="AF1219" s="64"/>
      <c r="AG1219" s="64"/>
      <c r="AH1219" s="64"/>
      <c r="AI1219" s="64"/>
      <c r="AJ1219" s="64"/>
      <c r="AK1219" s="64"/>
      <c r="AL1219" s="64"/>
      <c r="AM1219" s="169"/>
      <c r="AN1219" s="169"/>
      <c r="AO1219" s="169"/>
      <c r="AP1219" s="169"/>
      <c r="AQ1219" s="169"/>
      <c r="AR1219" s="169"/>
      <c r="AS1219" s="169"/>
      <c r="AT1219" s="169"/>
    </row>
    <row r="1220" spans="10:46">
      <c r="J1220" s="64"/>
      <c r="K1220" s="64"/>
      <c r="L1220" s="64"/>
      <c r="M1220" s="64"/>
      <c r="N1220" s="64"/>
      <c r="O1220" s="64"/>
      <c r="P1220" s="64"/>
      <c r="Q1220" s="64"/>
      <c r="R1220" s="64"/>
      <c r="S1220" s="64"/>
      <c r="T1220" s="64"/>
      <c r="U1220" s="64"/>
      <c r="V1220" s="64"/>
      <c r="W1220" s="64"/>
      <c r="X1220" s="64"/>
      <c r="Y1220" s="64"/>
      <c r="Z1220" s="64"/>
      <c r="AA1220" s="64"/>
      <c r="AB1220" s="64"/>
      <c r="AC1220" s="64"/>
      <c r="AD1220" s="64"/>
      <c r="AE1220" s="64"/>
      <c r="AF1220" s="64"/>
      <c r="AG1220" s="64"/>
      <c r="AH1220" s="64"/>
      <c r="AI1220" s="64"/>
      <c r="AJ1220" s="64"/>
      <c r="AK1220" s="64"/>
      <c r="AL1220" s="64"/>
      <c r="AM1220" s="169"/>
      <c r="AN1220" s="169"/>
      <c r="AO1220" s="169"/>
      <c r="AP1220" s="169"/>
      <c r="AQ1220" s="169"/>
      <c r="AR1220" s="169"/>
      <c r="AS1220" s="169"/>
      <c r="AT1220" s="169"/>
    </row>
    <row r="1221" spans="10:46">
      <c r="J1221" s="64"/>
      <c r="K1221" s="64"/>
      <c r="L1221" s="64"/>
      <c r="M1221" s="64"/>
      <c r="N1221" s="64"/>
      <c r="O1221" s="64"/>
      <c r="P1221" s="64"/>
      <c r="Q1221" s="64"/>
      <c r="R1221" s="64"/>
      <c r="S1221" s="64"/>
      <c r="T1221" s="64"/>
      <c r="U1221" s="64"/>
      <c r="V1221" s="64"/>
      <c r="W1221" s="64"/>
      <c r="X1221" s="64"/>
      <c r="Y1221" s="64"/>
      <c r="Z1221" s="64"/>
      <c r="AA1221" s="64"/>
      <c r="AB1221" s="64"/>
      <c r="AC1221" s="64"/>
      <c r="AD1221" s="64"/>
      <c r="AE1221" s="64"/>
      <c r="AF1221" s="64"/>
      <c r="AG1221" s="64"/>
      <c r="AH1221" s="64"/>
      <c r="AI1221" s="64"/>
      <c r="AJ1221" s="64"/>
      <c r="AK1221" s="64"/>
      <c r="AL1221" s="64"/>
      <c r="AM1221" s="169"/>
      <c r="AN1221" s="169"/>
      <c r="AO1221" s="169"/>
      <c r="AP1221" s="169"/>
      <c r="AQ1221" s="169"/>
      <c r="AR1221" s="169"/>
      <c r="AS1221" s="169"/>
      <c r="AT1221" s="169"/>
    </row>
    <row r="1222" spans="10:46">
      <c r="J1222" s="64"/>
      <c r="K1222" s="64"/>
      <c r="L1222" s="64"/>
      <c r="M1222" s="64"/>
      <c r="N1222" s="64"/>
      <c r="O1222" s="64"/>
      <c r="P1222" s="64"/>
      <c r="Q1222" s="64"/>
      <c r="R1222" s="64"/>
      <c r="S1222" s="64"/>
      <c r="T1222" s="64"/>
      <c r="U1222" s="64"/>
      <c r="V1222" s="64"/>
      <c r="W1222" s="64"/>
      <c r="X1222" s="64"/>
      <c r="Y1222" s="64"/>
      <c r="Z1222" s="64"/>
      <c r="AA1222" s="64"/>
      <c r="AB1222" s="64"/>
      <c r="AC1222" s="64"/>
      <c r="AD1222" s="64"/>
      <c r="AE1222" s="64"/>
      <c r="AF1222" s="64"/>
      <c r="AG1222" s="64"/>
      <c r="AH1222" s="64"/>
      <c r="AI1222" s="64"/>
      <c r="AJ1222" s="64"/>
      <c r="AK1222" s="64"/>
      <c r="AL1222" s="64"/>
      <c r="AM1222" s="169"/>
      <c r="AN1222" s="169"/>
      <c r="AO1222" s="169"/>
      <c r="AP1222" s="169"/>
      <c r="AQ1222" s="169"/>
      <c r="AR1222" s="169"/>
      <c r="AS1222" s="169"/>
      <c r="AT1222" s="169"/>
    </row>
    <row r="1223" spans="10:46">
      <c r="J1223" s="64"/>
      <c r="K1223" s="64"/>
      <c r="L1223" s="64"/>
      <c r="M1223" s="64"/>
      <c r="N1223" s="64"/>
      <c r="O1223" s="64"/>
      <c r="P1223" s="64"/>
      <c r="Q1223" s="64"/>
      <c r="R1223" s="64"/>
      <c r="S1223" s="64"/>
      <c r="T1223" s="64"/>
      <c r="U1223" s="64"/>
      <c r="V1223" s="64"/>
      <c r="W1223" s="64"/>
      <c r="X1223" s="64"/>
      <c r="Y1223" s="64"/>
      <c r="Z1223" s="64"/>
      <c r="AA1223" s="64"/>
      <c r="AB1223" s="64"/>
      <c r="AC1223" s="64"/>
      <c r="AD1223" s="64"/>
      <c r="AE1223" s="64"/>
      <c r="AF1223" s="64"/>
      <c r="AG1223" s="64"/>
      <c r="AH1223" s="64"/>
      <c r="AI1223" s="64"/>
      <c r="AJ1223" s="64"/>
      <c r="AK1223" s="64"/>
      <c r="AL1223" s="64"/>
      <c r="AM1223" s="169"/>
      <c r="AN1223" s="169"/>
      <c r="AO1223" s="169"/>
      <c r="AP1223" s="169"/>
      <c r="AQ1223" s="169"/>
      <c r="AR1223" s="169"/>
      <c r="AS1223" s="169"/>
      <c r="AT1223" s="169"/>
    </row>
    <row r="1224" spans="10:46">
      <c r="J1224" s="64"/>
      <c r="K1224" s="64"/>
      <c r="L1224" s="64"/>
      <c r="M1224" s="64"/>
      <c r="N1224" s="64"/>
      <c r="O1224" s="64"/>
      <c r="P1224" s="64"/>
      <c r="Q1224" s="64"/>
      <c r="R1224" s="64"/>
      <c r="S1224" s="64"/>
      <c r="T1224" s="64"/>
      <c r="U1224" s="64"/>
      <c r="V1224" s="64"/>
      <c r="W1224" s="64"/>
      <c r="X1224" s="64"/>
      <c r="Y1224" s="64"/>
      <c r="Z1224" s="64"/>
      <c r="AA1224" s="64"/>
      <c r="AB1224" s="64"/>
      <c r="AC1224" s="64"/>
      <c r="AD1224" s="64"/>
      <c r="AE1224" s="64"/>
      <c r="AF1224" s="64"/>
      <c r="AG1224" s="64"/>
      <c r="AH1224" s="64"/>
      <c r="AI1224" s="64"/>
      <c r="AJ1224" s="64"/>
      <c r="AK1224" s="64"/>
      <c r="AL1224" s="64"/>
      <c r="AM1224" s="169"/>
      <c r="AN1224" s="169"/>
      <c r="AO1224" s="169"/>
      <c r="AP1224" s="169"/>
      <c r="AQ1224" s="169"/>
      <c r="AR1224" s="169"/>
      <c r="AS1224" s="169"/>
      <c r="AT1224" s="169"/>
    </row>
    <row r="1225" spans="10:46">
      <c r="J1225" s="64"/>
      <c r="K1225" s="64"/>
      <c r="L1225" s="64"/>
      <c r="M1225" s="64"/>
      <c r="N1225" s="64"/>
      <c r="O1225" s="64"/>
      <c r="P1225" s="64"/>
      <c r="Q1225" s="64"/>
      <c r="R1225" s="64"/>
      <c r="S1225" s="64"/>
      <c r="T1225" s="64"/>
      <c r="U1225" s="64"/>
      <c r="V1225" s="64"/>
      <c r="W1225" s="64"/>
      <c r="X1225" s="64"/>
      <c r="Y1225" s="64"/>
      <c r="Z1225" s="64"/>
      <c r="AA1225" s="64"/>
      <c r="AB1225" s="64"/>
      <c r="AC1225" s="64"/>
      <c r="AD1225" s="64"/>
      <c r="AE1225" s="64"/>
      <c r="AF1225" s="64"/>
      <c r="AG1225" s="64"/>
      <c r="AH1225" s="64"/>
      <c r="AI1225" s="64"/>
      <c r="AJ1225" s="64"/>
      <c r="AK1225" s="64"/>
      <c r="AL1225" s="64"/>
      <c r="AM1225" s="169"/>
      <c r="AN1225" s="169"/>
      <c r="AO1225" s="169"/>
      <c r="AP1225" s="169"/>
      <c r="AQ1225" s="169"/>
      <c r="AR1225" s="169"/>
      <c r="AS1225" s="169"/>
      <c r="AT1225" s="169"/>
    </row>
    <row r="1226" spans="10:46">
      <c r="J1226" s="64"/>
      <c r="K1226" s="64"/>
      <c r="L1226" s="64"/>
      <c r="M1226" s="64"/>
      <c r="N1226" s="64"/>
      <c r="O1226" s="64"/>
      <c r="P1226" s="64"/>
      <c r="Q1226" s="64"/>
      <c r="R1226" s="64"/>
      <c r="S1226" s="64"/>
      <c r="T1226" s="64"/>
      <c r="U1226" s="64"/>
      <c r="V1226" s="64"/>
      <c r="W1226" s="64"/>
      <c r="X1226" s="64"/>
      <c r="Y1226" s="64"/>
      <c r="Z1226" s="64"/>
      <c r="AA1226" s="64"/>
      <c r="AB1226" s="64"/>
      <c r="AC1226" s="64"/>
      <c r="AD1226" s="64"/>
      <c r="AE1226" s="64"/>
      <c r="AF1226" s="64"/>
      <c r="AG1226" s="64"/>
      <c r="AH1226" s="64"/>
      <c r="AI1226" s="64"/>
      <c r="AJ1226" s="64"/>
      <c r="AK1226" s="64"/>
      <c r="AL1226" s="64"/>
      <c r="AM1226" s="169"/>
      <c r="AN1226" s="169"/>
      <c r="AO1226" s="169"/>
      <c r="AP1226" s="169"/>
      <c r="AQ1226" s="169"/>
      <c r="AR1226" s="169"/>
      <c r="AS1226" s="169"/>
      <c r="AT1226" s="169"/>
    </row>
    <row r="1227" spans="10:46">
      <c r="J1227" s="64"/>
      <c r="K1227" s="64"/>
      <c r="L1227" s="64"/>
      <c r="M1227" s="64"/>
      <c r="N1227" s="64"/>
      <c r="O1227" s="64"/>
      <c r="P1227" s="64"/>
      <c r="Q1227" s="64"/>
      <c r="R1227" s="64"/>
      <c r="S1227" s="64"/>
      <c r="T1227" s="64"/>
      <c r="U1227" s="64"/>
      <c r="V1227" s="64"/>
      <c r="W1227" s="64"/>
      <c r="X1227" s="64"/>
      <c r="Y1227" s="64"/>
      <c r="Z1227" s="64"/>
      <c r="AA1227" s="64"/>
      <c r="AB1227" s="64"/>
      <c r="AC1227" s="64"/>
      <c r="AD1227" s="64"/>
      <c r="AE1227" s="64"/>
      <c r="AF1227" s="64"/>
      <c r="AG1227" s="64"/>
      <c r="AH1227" s="64"/>
      <c r="AI1227" s="64"/>
      <c r="AJ1227" s="64"/>
      <c r="AK1227" s="64"/>
      <c r="AL1227" s="64"/>
      <c r="AM1227" s="169"/>
      <c r="AN1227" s="169"/>
      <c r="AO1227" s="169"/>
      <c r="AP1227" s="169"/>
      <c r="AQ1227" s="169"/>
      <c r="AR1227" s="169"/>
      <c r="AS1227" s="169"/>
      <c r="AT1227" s="169"/>
    </row>
    <row r="1228" spans="10:46">
      <c r="J1228" s="64"/>
      <c r="K1228" s="64"/>
      <c r="L1228" s="64"/>
      <c r="M1228" s="64"/>
      <c r="N1228" s="64"/>
      <c r="O1228" s="64"/>
      <c r="P1228" s="64"/>
      <c r="Q1228" s="64"/>
      <c r="R1228" s="64"/>
      <c r="S1228" s="64"/>
      <c r="T1228" s="64"/>
      <c r="U1228" s="64"/>
      <c r="V1228" s="64"/>
      <c r="W1228" s="64"/>
      <c r="X1228" s="64"/>
      <c r="Y1228" s="64"/>
      <c r="Z1228" s="64"/>
      <c r="AA1228" s="64"/>
      <c r="AB1228" s="64"/>
      <c r="AC1228" s="64"/>
      <c r="AD1228" s="64"/>
      <c r="AE1228" s="64"/>
      <c r="AF1228" s="64"/>
      <c r="AG1228" s="64"/>
      <c r="AH1228" s="64"/>
      <c r="AI1228" s="64"/>
      <c r="AJ1228" s="64"/>
      <c r="AK1228" s="64"/>
      <c r="AL1228" s="64"/>
      <c r="AM1228" s="169"/>
      <c r="AN1228" s="169"/>
      <c r="AO1228" s="169"/>
      <c r="AP1228" s="169"/>
      <c r="AQ1228" s="169"/>
      <c r="AR1228" s="169"/>
      <c r="AS1228" s="169"/>
      <c r="AT1228" s="169"/>
    </row>
    <row r="1229" spans="10:46">
      <c r="J1229" s="64"/>
      <c r="K1229" s="64"/>
      <c r="L1229" s="64"/>
      <c r="M1229" s="64"/>
      <c r="N1229" s="64"/>
      <c r="O1229" s="64"/>
      <c r="P1229" s="64"/>
      <c r="Q1229" s="64"/>
      <c r="R1229" s="64"/>
      <c r="S1229" s="64"/>
      <c r="T1229" s="64"/>
      <c r="U1229" s="64"/>
      <c r="V1229" s="64"/>
      <c r="W1229" s="64"/>
      <c r="X1229" s="64"/>
      <c r="Y1229" s="64"/>
      <c r="Z1229" s="64"/>
      <c r="AA1229" s="64"/>
      <c r="AB1229" s="64"/>
      <c r="AC1229" s="64"/>
      <c r="AD1229" s="64"/>
      <c r="AE1229" s="64"/>
      <c r="AF1229" s="64"/>
      <c r="AG1229" s="64"/>
      <c r="AH1229" s="64"/>
      <c r="AI1229" s="64"/>
      <c r="AJ1229" s="64"/>
      <c r="AK1229" s="64"/>
      <c r="AL1229" s="64"/>
      <c r="AM1229" s="169"/>
      <c r="AN1229" s="169"/>
      <c r="AO1229" s="169"/>
      <c r="AP1229" s="169"/>
      <c r="AQ1229" s="169"/>
      <c r="AR1229" s="169"/>
      <c r="AS1229" s="169"/>
      <c r="AT1229" s="169"/>
    </row>
    <row r="1230" spans="10:46">
      <c r="J1230" s="64"/>
      <c r="K1230" s="64"/>
      <c r="L1230" s="64"/>
      <c r="M1230" s="64"/>
      <c r="N1230" s="64"/>
      <c r="O1230" s="64"/>
      <c r="P1230" s="64"/>
      <c r="Q1230" s="64"/>
      <c r="R1230" s="64"/>
      <c r="S1230" s="64"/>
      <c r="T1230" s="64"/>
      <c r="U1230" s="64"/>
      <c r="V1230" s="64"/>
      <c r="W1230" s="64"/>
      <c r="X1230" s="64"/>
      <c r="Y1230" s="64"/>
      <c r="Z1230" s="64"/>
      <c r="AA1230" s="64"/>
      <c r="AB1230" s="64"/>
      <c r="AC1230" s="64"/>
      <c r="AD1230" s="64"/>
      <c r="AE1230" s="64"/>
      <c r="AF1230" s="64"/>
      <c r="AG1230" s="64"/>
      <c r="AH1230" s="64"/>
      <c r="AI1230" s="64"/>
      <c r="AJ1230" s="64"/>
      <c r="AK1230" s="64"/>
      <c r="AL1230" s="64"/>
      <c r="AM1230" s="169"/>
      <c r="AN1230" s="169"/>
      <c r="AO1230" s="169"/>
      <c r="AP1230" s="169"/>
      <c r="AQ1230" s="169"/>
      <c r="AR1230" s="169"/>
      <c r="AS1230" s="169"/>
      <c r="AT1230" s="169"/>
    </row>
    <row r="1231" spans="10:46">
      <c r="J1231" s="64"/>
      <c r="K1231" s="64"/>
      <c r="L1231" s="64"/>
      <c r="M1231" s="64"/>
      <c r="N1231" s="64"/>
      <c r="O1231" s="64"/>
      <c r="P1231" s="64"/>
      <c r="Q1231" s="64"/>
      <c r="R1231" s="64"/>
      <c r="S1231" s="64"/>
      <c r="T1231" s="64"/>
      <c r="U1231" s="64"/>
      <c r="V1231" s="64"/>
      <c r="W1231" s="64"/>
      <c r="X1231" s="64"/>
      <c r="Y1231" s="64"/>
      <c r="Z1231" s="64"/>
      <c r="AA1231" s="64"/>
      <c r="AB1231" s="64"/>
      <c r="AC1231" s="64"/>
      <c r="AD1231" s="64"/>
      <c r="AE1231" s="64"/>
      <c r="AF1231" s="64"/>
      <c r="AG1231" s="64"/>
      <c r="AH1231" s="64"/>
      <c r="AI1231" s="64"/>
      <c r="AJ1231" s="64"/>
      <c r="AK1231" s="64"/>
      <c r="AL1231" s="64"/>
      <c r="AM1231" s="169"/>
      <c r="AN1231" s="169"/>
      <c r="AO1231" s="169"/>
      <c r="AP1231" s="169"/>
      <c r="AQ1231" s="169"/>
      <c r="AR1231" s="169"/>
      <c r="AS1231" s="169"/>
      <c r="AT1231" s="169"/>
    </row>
    <row r="1232" spans="10:46">
      <c r="J1232" s="64"/>
      <c r="K1232" s="64"/>
      <c r="L1232" s="64"/>
      <c r="M1232" s="64"/>
      <c r="N1232" s="64"/>
      <c r="O1232" s="64"/>
      <c r="P1232" s="64"/>
      <c r="Q1232" s="64"/>
      <c r="R1232" s="64"/>
      <c r="S1232" s="64"/>
      <c r="T1232" s="64"/>
      <c r="U1232" s="64"/>
      <c r="V1232" s="64"/>
      <c r="W1232" s="64"/>
      <c r="X1232" s="64"/>
      <c r="Y1232" s="64"/>
      <c r="Z1232" s="64"/>
      <c r="AA1232" s="64"/>
      <c r="AB1232" s="64"/>
      <c r="AC1232" s="64"/>
      <c r="AD1232" s="64"/>
      <c r="AE1232" s="64"/>
      <c r="AF1232" s="64"/>
      <c r="AG1232" s="64"/>
      <c r="AH1232" s="64"/>
      <c r="AI1232" s="64"/>
      <c r="AJ1232" s="64"/>
      <c r="AK1232" s="64"/>
      <c r="AL1232" s="64"/>
      <c r="AM1232" s="169"/>
      <c r="AN1232" s="169"/>
      <c r="AO1232" s="169"/>
      <c r="AP1232" s="169"/>
      <c r="AQ1232" s="169"/>
      <c r="AR1232" s="169"/>
      <c r="AS1232" s="169"/>
      <c r="AT1232" s="169"/>
    </row>
    <row r="1233" spans="10:46">
      <c r="J1233" s="64"/>
      <c r="K1233" s="64"/>
      <c r="L1233" s="64"/>
      <c r="M1233" s="64"/>
      <c r="N1233" s="64"/>
      <c r="O1233" s="64"/>
      <c r="P1233" s="64"/>
      <c r="Q1233" s="64"/>
      <c r="R1233" s="64"/>
      <c r="S1233" s="64"/>
      <c r="T1233" s="64"/>
      <c r="U1233" s="64"/>
      <c r="V1233" s="64"/>
      <c r="W1233" s="64"/>
      <c r="X1233" s="64"/>
      <c r="Y1233" s="64"/>
      <c r="Z1233" s="64"/>
      <c r="AA1233" s="64"/>
      <c r="AB1233" s="64"/>
      <c r="AC1233" s="64"/>
      <c r="AD1233" s="64"/>
      <c r="AE1233" s="64"/>
      <c r="AF1233" s="64"/>
      <c r="AG1233" s="64"/>
      <c r="AH1233" s="64"/>
      <c r="AI1233" s="64"/>
      <c r="AJ1233" s="64"/>
      <c r="AK1233" s="64"/>
      <c r="AL1233" s="64"/>
      <c r="AM1233" s="169"/>
      <c r="AN1233" s="169"/>
      <c r="AO1233" s="169"/>
      <c r="AP1233" s="169"/>
      <c r="AQ1233" s="169"/>
      <c r="AR1233" s="169"/>
      <c r="AS1233" s="169"/>
      <c r="AT1233" s="169"/>
    </row>
    <row r="1234" spans="10:46">
      <c r="J1234" s="64"/>
      <c r="K1234" s="64"/>
      <c r="L1234" s="64"/>
      <c r="M1234" s="64"/>
      <c r="N1234" s="64"/>
      <c r="O1234" s="64"/>
      <c r="P1234" s="64"/>
      <c r="Q1234" s="64"/>
      <c r="R1234" s="64"/>
      <c r="S1234" s="64"/>
      <c r="T1234" s="64"/>
      <c r="U1234" s="64"/>
      <c r="V1234" s="64"/>
      <c r="W1234" s="64"/>
      <c r="X1234" s="64"/>
      <c r="Y1234" s="64"/>
      <c r="Z1234" s="64"/>
      <c r="AA1234" s="64"/>
      <c r="AB1234" s="64"/>
      <c r="AC1234" s="64"/>
      <c r="AD1234" s="64"/>
      <c r="AE1234" s="64"/>
      <c r="AF1234" s="64"/>
      <c r="AG1234" s="64"/>
      <c r="AH1234" s="64"/>
      <c r="AI1234" s="64"/>
      <c r="AJ1234" s="64"/>
      <c r="AK1234" s="64"/>
      <c r="AL1234" s="64"/>
      <c r="AM1234" s="169"/>
      <c r="AN1234" s="169"/>
      <c r="AO1234" s="169"/>
      <c r="AP1234" s="169"/>
      <c r="AQ1234" s="169"/>
      <c r="AR1234" s="169"/>
      <c r="AS1234" s="169"/>
      <c r="AT1234" s="169"/>
    </row>
    <row r="1235" spans="10:46">
      <c r="J1235" s="64"/>
      <c r="K1235" s="64"/>
      <c r="L1235" s="64"/>
      <c r="M1235" s="64"/>
      <c r="N1235" s="64"/>
      <c r="O1235" s="64"/>
      <c r="P1235" s="64"/>
      <c r="Q1235" s="64"/>
      <c r="R1235" s="64"/>
      <c r="S1235" s="64"/>
      <c r="T1235" s="64"/>
      <c r="U1235" s="64"/>
      <c r="V1235" s="64"/>
      <c r="W1235" s="64"/>
      <c r="X1235" s="64"/>
      <c r="Y1235" s="64"/>
      <c r="Z1235" s="64"/>
      <c r="AA1235" s="64"/>
      <c r="AB1235" s="64"/>
      <c r="AC1235" s="64"/>
      <c r="AD1235" s="64"/>
      <c r="AE1235" s="64"/>
      <c r="AF1235" s="64"/>
      <c r="AG1235" s="64"/>
      <c r="AH1235" s="64"/>
      <c r="AI1235" s="64"/>
      <c r="AJ1235" s="64"/>
      <c r="AK1235" s="64"/>
      <c r="AL1235" s="64"/>
      <c r="AM1235" s="169"/>
      <c r="AN1235" s="169"/>
      <c r="AO1235" s="169"/>
      <c r="AP1235" s="169"/>
      <c r="AQ1235" s="169"/>
      <c r="AR1235" s="169"/>
      <c r="AS1235" s="169"/>
      <c r="AT1235" s="169"/>
    </row>
    <row r="1236" spans="10:46">
      <c r="J1236" s="64"/>
      <c r="K1236" s="64"/>
      <c r="L1236" s="64"/>
      <c r="M1236" s="64"/>
      <c r="N1236" s="64"/>
      <c r="O1236" s="64"/>
      <c r="P1236" s="64"/>
      <c r="Q1236" s="64"/>
      <c r="R1236" s="64"/>
      <c r="S1236" s="64"/>
      <c r="T1236" s="64"/>
      <c r="U1236" s="64"/>
      <c r="V1236" s="64"/>
      <c r="W1236" s="64"/>
      <c r="X1236" s="64"/>
      <c r="Y1236" s="64"/>
      <c r="Z1236" s="64"/>
      <c r="AA1236" s="64"/>
      <c r="AB1236" s="64"/>
      <c r="AC1236" s="64"/>
      <c r="AD1236" s="64"/>
      <c r="AE1236" s="64"/>
      <c r="AF1236" s="64"/>
      <c r="AG1236" s="64"/>
      <c r="AH1236" s="64"/>
      <c r="AI1236" s="64"/>
      <c r="AJ1236" s="64"/>
      <c r="AK1236" s="64"/>
      <c r="AL1236" s="64"/>
      <c r="AM1236" s="169"/>
      <c r="AN1236" s="169"/>
      <c r="AO1236" s="169"/>
      <c r="AP1236" s="169"/>
      <c r="AQ1236" s="169"/>
      <c r="AR1236" s="169"/>
      <c r="AS1236" s="169"/>
      <c r="AT1236" s="169"/>
    </row>
    <row r="1237" spans="10:46">
      <c r="J1237" s="64"/>
      <c r="K1237" s="64"/>
      <c r="L1237" s="64"/>
      <c r="M1237" s="64"/>
      <c r="N1237" s="64"/>
      <c r="O1237" s="64"/>
      <c r="P1237" s="64"/>
      <c r="Q1237" s="64"/>
      <c r="R1237" s="64"/>
      <c r="S1237" s="64"/>
      <c r="T1237" s="64"/>
      <c r="U1237" s="64"/>
      <c r="V1237" s="64"/>
      <c r="W1237" s="64"/>
      <c r="X1237" s="64"/>
      <c r="Y1237" s="64"/>
      <c r="Z1237" s="64"/>
      <c r="AA1237" s="64"/>
      <c r="AB1237" s="64"/>
      <c r="AC1237" s="64"/>
      <c r="AD1237" s="64"/>
      <c r="AE1237" s="64"/>
      <c r="AF1237" s="64"/>
      <c r="AG1237" s="64"/>
      <c r="AH1237" s="64"/>
      <c r="AI1237" s="64"/>
      <c r="AJ1237" s="64"/>
      <c r="AK1237" s="64"/>
      <c r="AL1237" s="64"/>
      <c r="AM1237" s="169"/>
      <c r="AN1237" s="169"/>
      <c r="AO1237" s="169"/>
      <c r="AP1237" s="169"/>
      <c r="AQ1237" s="169"/>
      <c r="AR1237" s="169"/>
      <c r="AS1237" s="169"/>
      <c r="AT1237" s="169"/>
    </row>
    <row r="1238" spans="10:46">
      <c r="J1238" s="64"/>
      <c r="K1238" s="64"/>
      <c r="L1238" s="64"/>
      <c r="M1238" s="64"/>
      <c r="N1238" s="64"/>
      <c r="O1238" s="64"/>
      <c r="P1238" s="64"/>
      <c r="Q1238" s="64"/>
      <c r="R1238" s="64"/>
      <c r="S1238" s="64"/>
      <c r="T1238" s="64"/>
      <c r="U1238" s="64"/>
      <c r="V1238" s="64"/>
      <c r="W1238" s="64"/>
      <c r="X1238" s="64"/>
      <c r="Y1238" s="64"/>
      <c r="Z1238" s="64"/>
      <c r="AA1238" s="64"/>
      <c r="AB1238" s="64"/>
      <c r="AC1238" s="64"/>
      <c r="AD1238" s="64"/>
      <c r="AE1238" s="64"/>
      <c r="AF1238" s="64"/>
      <c r="AG1238" s="64"/>
      <c r="AH1238" s="64"/>
      <c r="AI1238" s="64"/>
      <c r="AJ1238" s="64"/>
      <c r="AK1238" s="64"/>
      <c r="AL1238" s="64"/>
      <c r="AM1238" s="169"/>
      <c r="AN1238" s="169"/>
      <c r="AO1238" s="169"/>
      <c r="AP1238" s="169"/>
      <c r="AQ1238" s="169"/>
      <c r="AR1238" s="169"/>
      <c r="AS1238" s="169"/>
      <c r="AT1238" s="169"/>
    </row>
    <row r="1239" spans="10:46">
      <c r="J1239" s="64"/>
      <c r="K1239" s="64"/>
      <c r="L1239" s="64"/>
      <c r="M1239" s="64"/>
      <c r="N1239" s="64"/>
      <c r="O1239" s="64"/>
      <c r="P1239" s="64"/>
      <c r="Q1239" s="64"/>
      <c r="R1239" s="64"/>
      <c r="S1239" s="64"/>
      <c r="T1239" s="64"/>
      <c r="U1239" s="64"/>
      <c r="V1239" s="64"/>
      <c r="W1239" s="64"/>
      <c r="X1239" s="64"/>
      <c r="Y1239" s="64"/>
      <c r="Z1239" s="64"/>
      <c r="AA1239" s="64"/>
      <c r="AB1239" s="64"/>
      <c r="AC1239" s="64"/>
      <c r="AD1239" s="64"/>
      <c r="AE1239" s="64"/>
      <c r="AF1239" s="64"/>
      <c r="AG1239" s="64"/>
      <c r="AH1239" s="64"/>
      <c r="AI1239" s="64"/>
      <c r="AJ1239" s="64"/>
      <c r="AK1239" s="64"/>
      <c r="AL1239" s="64"/>
      <c r="AM1239" s="169"/>
      <c r="AN1239" s="169"/>
      <c r="AO1239" s="169"/>
      <c r="AP1239" s="169"/>
      <c r="AQ1239" s="169"/>
      <c r="AR1239" s="169"/>
      <c r="AS1239" s="169"/>
      <c r="AT1239" s="169"/>
    </row>
    <row r="1240" spans="10:46">
      <c r="J1240" s="64"/>
      <c r="K1240" s="64"/>
      <c r="L1240" s="64"/>
      <c r="M1240" s="64"/>
      <c r="N1240" s="64"/>
      <c r="O1240" s="64"/>
      <c r="P1240" s="64"/>
      <c r="Q1240" s="64"/>
      <c r="R1240" s="64"/>
      <c r="S1240" s="64"/>
      <c r="T1240" s="64"/>
      <c r="U1240" s="64"/>
      <c r="V1240" s="64"/>
      <c r="W1240" s="64"/>
      <c r="X1240" s="64"/>
      <c r="Y1240" s="64"/>
      <c r="Z1240" s="64"/>
      <c r="AA1240" s="64"/>
      <c r="AB1240" s="64"/>
      <c r="AC1240" s="64"/>
      <c r="AD1240" s="64"/>
      <c r="AE1240" s="64"/>
      <c r="AF1240" s="64"/>
      <c r="AG1240" s="64"/>
      <c r="AH1240" s="64"/>
      <c r="AI1240" s="64"/>
      <c r="AJ1240" s="64"/>
      <c r="AK1240" s="64"/>
      <c r="AL1240" s="64"/>
      <c r="AM1240" s="169"/>
      <c r="AN1240" s="169"/>
      <c r="AO1240" s="169"/>
      <c r="AP1240" s="169"/>
      <c r="AQ1240" s="169"/>
      <c r="AR1240" s="169"/>
      <c r="AS1240" s="169"/>
      <c r="AT1240" s="169"/>
    </row>
    <row r="1241" spans="10:46">
      <c r="J1241" s="64"/>
      <c r="K1241" s="64"/>
      <c r="L1241" s="64"/>
      <c r="M1241" s="64"/>
      <c r="N1241" s="64"/>
      <c r="O1241" s="64"/>
      <c r="P1241" s="64"/>
      <c r="Q1241" s="64"/>
      <c r="R1241" s="64"/>
      <c r="S1241" s="64"/>
      <c r="T1241" s="64"/>
      <c r="U1241" s="64"/>
      <c r="V1241" s="64"/>
      <c r="W1241" s="64"/>
      <c r="X1241" s="64"/>
      <c r="Y1241" s="64"/>
      <c r="Z1241" s="64"/>
      <c r="AA1241" s="64"/>
      <c r="AB1241" s="64"/>
      <c r="AC1241" s="64"/>
      <c r="AD1241" s="64"/>
      <c r="AE1241" s="64"/>
      <c r="AF1241" s="64"/>
      <c r="AG1241" s="64"/>
      <c r="AH1241" s="64"/>
      <c r="AI1241" s="64"/>
      <c r="AJ1241" s="64"/>
      <c r="AK1241" s="64"/>
      <c r="AL1241" s="64"/>
      <c r="AM1241" s="169"/>
      <c r="AN1241" s="169"/>
      <c r="AO1241" s="169"/>
      <c r="AP1241" s="169"/>
      <c r="AQ1241" s="169"/>
      <c r="AR1241" s="169"/>
      <c r="AS1241" s="169"/>
      <c r="AT1241" s="169"/>
    </row>
    <row r="1242" spans="10:46">
      <c r="J1242" s="64"/>
      <c r="K1242" s="64"/>
      <c r="L1242" s="64"/>
      <c r="M1242" s="64"/>
      <c r="N1242" s="64"/>
      <c r="O1242" s="64"/>
      <c r="P1242" s="64"/>
      <c r="Q1242" s="64"/>
      <c r="R1242" s="64"/>
      <c r="S1242" s="64"/>
      <c r="T1242" s="64"/>
      <c r="U1242" s="64"/>
      <c r="V1242" s="64"/>
      <c r="W1242" s="64"/>
      <c r="X1242" s="64"/>
      <c r="Y1242" s="64"/>
      <c r="Z1242" s="64"/>
      <c r="AA1242" s="64"/>
      <c r="AB1242" s="64"/>
      <c r="AC1242" s="64"/>
      <c r="AD1242" s="64"/>
      <c r="AE1242" s="64"/>
      <c r="AF1242" s="64"/>
      <c r="AG1242" s="64"/>
      <c r="AH1242" s="64"/>
      <c r="AI1242" s="64"/>
      <c r="AJ1242" s="64"/>
      <c r="AK1242" s="64"/>
      <c r="AL1242" s="64"/>
      <c r="AM1242" s="169"/>
      <c r="AN1242" s="169"/>
      <c r="AO1242" s="169"/>
      <c r="AP1242" s="169"/>
      <c r="AQ1242" s="169"/>
      <c r="AR1242" s="169"/>
      <c r="AS1242" s="169"/>
      <c r="AT1242" s="169"/>
    </row>
    <row r="1243" spans="10:46">
      <c r="J1243" s="64"/>
      <c r="K1243" s="64"/>
      <c r="L1243" s="64"/>
      <c r="M1243" s="64"/>
      <c r="N1243" s="64"/>
      <c r="O1243" s="64"/>
      <c r="P1243" s="64"/>
      <c r="Q1243" s="64"/>
      <c r="R1243" s="64"/>
      <c r="S1243" s="64"/>
      <c r="T1243" s="64"/>
      <c r="U1243" s="64"/>
      <c r="V1243" s="64"/>
      <c r="W1243" s="64"/>
      <c r="X1243" s="64"/>
      <c r="Y1243" s="64"/>
      <c r="Z1243" s="64"/>
      <c r="AA1243" s="64"/>
      <c r="AB1243" s="64"/>
      <c r="AC1243" s="64"/>
      <c r="AD1243" s="64"/>
      <c r="AE1243" s="64"/>
      <c r="AF1243" s="64"/>
      <c r="AG1243" s="64"/>
      <c r="AH1243" s="64"/>
      <c r="AI1243" s="64"/>
      <c r="AJ1243" s="64"/>
      <c r="AK1243" s="64"/>
      <c r="AL1243" s="64"/>
      <c r="AM1243" s="169"/>
      <c r="AN1243" s="169"/>
      <c r="AO1243" s="169"/>
      <c r="AP1243" s="169"/>
      <c r="AQ1243" s="169"/>
      <c r="AR1243" s="169"/>
      <c r="AS1243" s="169"/>
      <c r="AT1243" s="169"/>
    </row>
    <row r="1244" spans="10:46">
      <c r="J1244" s="64"/>
      <c r="K1244" s="64"/>
      <c r="L1244" s="64"/>
      <c r="M1244" s="64"/>
      <c r="N1244" s="64"/>
      <c r="O1244" s="64"/>
      <c r="P1244" s="64"/>
      <c r="Q1244" s="64"/>
      <c r="R1244" s="64"/>
      <c r="S1244" s="64"/>
      <c r="T1244" s="64"/>
      <c r="U1244" s="64"/>
      <c r="V1244" s="64"/>
      <c r="W1244" s="64"/>
      <c r="X1244" s="64"/>
      <c r="Y1244" s="64"/>
      <c r="Z1244" s="64"/>
      <c r="AA1244" s="64"/>
      <c r="AB1244" s="64"/>
      <c r="AC1244" s="64"/>
      <c r="AD1244" s="64"/>
      <c r="AE1244" s="64"/>
      <c r="AF1244" s="64"/>
      <c r="AG1244" s="64"/>
      <c r="AH1244" s="64"/>
      <c r="AI1244" s="64"/>
      <c r="AJ1244" s="64"/>
      <c r="AK1244" s="64"/>
      <c r="AL1244" s="64"/>
      <c r="AM1244" s="169"/>
      <c r="AN1244" s="169"/>
      <c r="AO1244" s="169"/>
      <c r="AP1244" s="169"/>
      <c r="AQ1244" s="169"/>
      <c r="AR1244" s="169"/>
      <c r="AS1244" s="169"/>
      <c r="AT1244" s="169"/>
    </row>
    <row r="1245" spans="10:46">
      <c r="J1245" s="64"/>
      <c r="K1245" s="64"/>
      <c r="L1245" s="64"/>
      <c r="M1245" s="64"/>
      <c r="N1245" s="64"/>
      <c r="O1245" s="64"/>
      <c r="P1245" s="64"/>
      <c r="Q1245" s="64"/>
      <c r="R1245" s="64"/>
      <c r="S1245" s="64"/>
      <c r="T1245" s="64"/>
      <c r="U1245" s="64"/>
      <c r="V1245" s="64"/>
      <c r="W1245" s="64"/>
      <c r="X1245" s="64"/>
      <c r="Y1245" s="64"/>
      <c r="Z1245" s="64"/>
      <c r="AA1245" s="64"/>
      <c r="AB1245" s="64"/>
      <c r="AC1245" s="64"/>
      <c r="AD1245" s="64"/>
      <c r="AE1245" s="64"/>
      <c r="AF1245" s="64"/>
      <c r="AG1245" s="64"/>
      <c r="AH1245" s="64"/>
      <c r="AI1245" s="64"/>
      <c r="AJ1245" s="64"/>
      <c r="AK1245" s="64"/>
      <c r="AL1245" s="64"/>
      <c r="AM1245" s="169"/>
      <c r="AN1245" s="169"/>
      <c r="AO1245" s="169"/>
      <c r="AP1245" s="169"/>
      <c r="AQ1245" s="169"/>
      <c r="AR1245" s="169"/>
      <c r="AS1245" s="169"/>
      <c r="AT1245" s="169"/>
    </row>
    <row r="1246" spans="10:46">
      <c r="J1246" s="64"/>
      <c r="K1246" s="64"/>
      <c r="L1246" s="64"/>
      <c r="M1246" s="64"/>
      <c r="N1246" s="64"/>
      <c r="O1246" s="64"/>
      <c r="P1246" s="64"/>
      <c r="Q1246" s="64"/>
      <c r="R1246" s="64"/>
      <c r="S1246" s="64"/>
      <c r="T1246" s="64"/>
      <c r="U1246" s="64"/>
      <c r="V1246" s="64"/>
      <c r="W1246" s="64"/>
      <c r="X1246" s="64"/>
      <c r="Y1246" s="64"/>
      <c r="Z1246" s="64"/>
      <c r="AA1246" s="64"/>
      <c r="AB1246" s="64"/>
      <c r="AC1246" s="64"/>
      <c r="AD1246" s="64"/>
      <c r="AE1246" s="64"/>
      <c r="AF1246" s="64"/>
      <c r="AG1246" s="64"/>
      <c r="AH1246" s="64"/>
      <c r="AI1246" s="64"/>
      <c r="AJ1246" s="64"/>
      <c r="AK1246" s="64"/>
      <c r="AL1246" s="64"/>
      <c r="AM1246" s="169"/>
      <c r="AN1246" s="169"/>
      <c r="AO1246" s="169"/>
      <c r="AP1246" s="169"/>
      <c r="AQ1246" s="169"/>
      <c r="AR1246" s="169"/>
      <c r="AS1246" s="169"/>
      <c r="AT1246" s="169"/>
    </row>
    <row r="1247" spans="10:46">
      <c r="J1247" s="64"/>
      <c r="K1247" s="64"/>
      <c r="L1247" s="64"/>
      <c r="M1247" s="64"/>
      <c r="N1247" s="64"/>
      <c r="O1247" s="64"/>
      <c r="P1247" s="64"/>
      <c r="Q1247" s="64"/>
      <c r="R1247" s="64"/>
      <c r="S1247" s="64"/>
      <c r="T1247" s="64"/>
      <c r="U1247" s="64"/>
      <c r="V1247" s="64"/>
      <c r="W1247" s="64"/>
      <c r="X1247" s="64"/>
      <c r="Y1247" s="64"/>
      <c r="Z1247" s="64"/>
      <c r="AA1247" s="64"/>
      <c r="AB1247" s="64"/>
      <c r="AC1247" s="64"/>
      <c r="AD1247" s="64"/>
      <c r="AE1247" s="64"/>
      <c r="AF1247" s="64"/>
      <c r="AG1247" s="64"/>
      <c r="AH1247" s="64"/>
      <c r="AI1247" s="64"/>
      <c r="AJ1247" s="64"/>
      <c r="AK1247" s="64"/>
      <c r="AL1247" s="64"/>
      <c r="AM1247" s="169"/>
      <c r="AN1247" s="169"/>
      <c r="AO1247" s="169"/>
      <c r="AP1247" s="169"/>
      <c r="AQ1247" s="169"/>
      <c r="AR1247" s="169"/>
      <c r="AS1247" s="169"/>
      <c r="AT1247" s="169"/>
    </row>
    <row r="1248" spans="10:46">
      <c r="J1248" s="64"/>
      <c r="K1248" s="64"/>
      <c r="L1248" s="64"/>
      <c r="M1248" s="64"/>
      <c r="N1248" s="64"/>
      <c r="O1248" s="64"/>
      <c r="P1248" s="64"/>
      <c r="Q1248" s="64"/>
      <c r="R1248" s="64"/>
      <c r="S1248" s="64"/>
      <c r="T1248" s="64"/>
      <c r="U1248" s="64"/>
      <c r="V1248" s="64"/>
      <c r="W1248" s="64"/>
      <c r="X1248" s="64"/>
      <c r="Y1248" s="64"/>
      <c r="Z1248" s="64"/>
      <c r="AA1248" s="64"/>
      <c r="AB1248" s="64"/>
      <c r="AC1248" s="64"/>
      <c r="AD1248" s="64"/>
      <c r="AE1248" s="64"/>
      <c r="AF1248" s="64"/>
      <c r="AG1248" s="64"/>
      <c r="AH1248" s="64"/>
      <c r="AI1248" s="64"/>
      <c r="AJ1248" s="64"/>
      <c r="AK1248" s="64"/>
      <c r="AL1248" s="64"/>
      <c r="AM1248" s="169"/>
      <c r="AN1248" s="169"/>
      <c r="AO1248" s="169"/>
      <c r="AP1248" s="169"/>
      <c r="AQ1248" s="169"/>
      <c r="AR1248" s="169"/>
      <c r="AS1248" s="169"/>
      <c r="AT1248" s="169"/>
    </row>
    <row r="1249" spans="10:46">
      <c r="J1249" s="64"/>
      <c r="K1249" s="64"/>
      <c r="L1249" s="64"/>
      <c r="M1249" s="64"/>
      <c r="N1249" s="64"/>
      <c r="O1249" s="64"/>
      <c r="P1249" s="64"/>
      <c r="Q1249" s="64"/>
      <c r="R1249" s="64"/>
      <c r="S1249" s="64"/>
      <c r="T1249" s="64"/>
      <c r="U1249" s="64"/>
      <c r="V1249" s="64"/>
      <c r="W1249" s="64"/>
      <c r="X1249" s="64"/>
      <c r="Y1249" s="64"/>
      <c r="Z1249" s="64"/>
      <c r="AA1249" s="64"/>
      <c r="AB1249" s="64"/>
      <c r="AC1249" s="64"/>
      <c r="AD1249" s="64"/>
      <c r="AE1249" s="64"/>
      <c r="AF1249" s="64"/>
      <c r="AG1249" s="64"/>
      <c r="AH1249" s="64"/>
      <c r="AI1249" s="64"/>
      <c r="AJ1249" s="64"/>
      <c r="AK1249" s="64"/>
      <c r="AL1249" s="64"/>
      <c r="AM1249" s="169"/>
      <c r="AN1249" s="169"/>
      <c r="AO1249" s="169"/>
      <c r="AP1249" s="169"/>
      <c r="AQ1249" s="169"/>
      <c r="AR1249" s="169"/>
      <c r="AS1249" s="169"/>
      <c r="AT1249" s="169"/>
    </row>
    <row r="1250" spans="10:46">
      <c r="J1250" s="64"/>
      <c r="K1250" s="64"/>
      <c r="L1250" s="64"/>
      <c r="M1250" s="64"/>
      <c r="N1250" s="64"/>
      <c r="O1250" s="64"/>
      <c r="P1250" s="64"/>
      <c r="Q1250" s="64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64"/>
      <c r="AF1250" s="64"/>
      <c r="AG1250" s="64"/>
      <c r="AH1250" s="64"/>
      <c r="AI1250" s="64"/>
      <c r="AJ1250" s="64"/>
      <c r="AK1250" s="64"/>
      <c r="AL1250" s="64"/>
      <c r="AM1250" s="169"/>
      <c r="AN1250" s="169"/>
      <c r="AO1250" s="169"/>
      <c r="AP1250" s="169"/>
      <c r="AQ1250" s="169"/>
      <c r="AR1250" s="169"/>
      <c r="AS1250" s="169"/>
      <c r="AT1250" s="169"/>
    </row>
    <row r="1251" spans="10:46">
      <c r="J1251" s="64"/>
      <c r="K1251" s="64"/>
      <c r="L1251" s="64"/>
      <c r="M1251" s="64"/>
      <c r="N1251" s="64"/>
      <c r="O1251" s="64"/>
      <c r="P1251" s="64"/>
      <c r="Q1251" s="64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64"/>
      <c r="AF1251" s="64"/>
      <c r="AG1251" s="64"/>
      <c r="AH1251" s="64"/>
      <c r="AI1251" s="64"/>
      <c r="AJ1251" s="64"/>
      <c r="AK1251" s="64"/>
      <c r="AL1251" s="64"/>
      <c r="AM1251" s="169"/>
      <c r="AN1251" s="169"/>
      <c r="AO1251" s="169"/>
      <c r="AP1251" s="169"/>
      <c r="AQ1251" s="169"/>
      <c r="AR1251" s="169"/>
      <c r="AS1251" s="169"/>
      <c r="AT1251" s="169"/>
    </row>
    <row r="1252" spans="10:46">
      <c r="J1252" s="64"/>
      <c r="K1252" s="64"/>
      <c r="L1252" s="64"/>
      <c r="M1252" s="64"/>
      <c r="N1252" s="64"/>
      <c r="O1252" s="64"/>
      <c r="P1252" s="64"/>
      <c r="Q1252" s="64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64"/>
      <c r="AF1252" s="64"/>
      <c r="AG1252" s="64"/>
      <c r="AH1252" s="64"/>
      <c r="AI1252" s="64"/>
      <c r="AJ1252" s="64"/>
      <c r="AK1252" s="64"/>
      <c r="AL1252" s="64"/>
      <c r="AM1252" s="169"/>
      <c r="AN1252" s="169"/>
      <c r="AO1252" s="169"/>
      <c r="AP1252" s="169"/>
      <c r="AQ1252" s="169"/>
      <c r="AR1252" s="169"/>
      <c r="AS1252" s="169"/>
      <c r="AT1252" s="169"/>
    </row>
    <row r="1253" spans="10:46">
      <c r="J1253" s="64"/>
      <c r="K1253" s="64"/>
      <c r="L1253" s="64"/>
      <c r="M1253" s="64"/>
      <c r="N1253" s="64"/>
      <c r="O1253" s="64"/>
      <c r="P1253" s="64"/>
      <c r="Q1253" s="64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64"/>
      <c r="AF1253" s="64"/>
      <c r="AG1253" s="64"/>
      <c r="AH1253" s="64"/>
      <c r="AI1253" s="64"/>
      <c r="AJ1253" s="64"/>
      <c r="AK1253" s="64"/>
      <c r="AL1253" s="64"/>
      <c r="AM1253" s="169"/>
      <c r="AN1253" s="169"/>
      <c r="AO1253" s="169"/>
      <c r="AP1253" s="169"/>
      <c r="AQ1253" s="169"/>
      <c r="AR1253" s="169"/>
      <c r="AS1253" s="169"/>
      <c r="AT1253" s="169"/>
    </row>
    <row r="1254" spans="10:46">
      <c r="J1254" s="64"/>
      <c r="K1254" s="64"/>
      <c r="L1254" s="64"/>
      <c r="M1254" s="64"/>
      <c r="N1254" s="64"/>
      <c r="O1254" s="64"/>
      <c r="P1254" s="64"/>
      <c r="Q1254" s="64"/>
      <c r="R1254" s="64"/>
      <c r="S1254" s="64"/>
      <c r="T1254" s="64"/>
      <c r="U1254" s="64"/>
      <c r="V1254" s="64"/>
      <c r="W1254" s="64"/>
      <c r="X1254" s="64"/>
      <c r="Y1254" s="64"/>
      <c r="Z1254" s="64"/>
      <c r="AA1254" s="64"/>
      <c r="AB1254" s="64"/>
      <c r="AC1254" s="64"/>
      <c r="AD1254" s="64"/>
      <c r="AE1254" s="64"/>
      <c r="AF1254" s="64"/>
      <c r="AG1254" s="64"/>
      <c r="AH1254" s="64"/>
      <c r="AI1254" s="64"/>
      <c r="AJ1254" s="64"/>
      <c r="AK1254" s="64"/>
      <c r="AL1254" s="64"/>
      <c r="AM1254" s="169"/>
      <c r="AN1254" s="169"/>
      <c r="AO1254" s="169"/>
      <c r="AP1254" s="169"/>
      <c r="AQ1254" s="169"/>
      <c r="AR1254" s="169"/>
      <c r="AS1254" s="169"/>
      <c r="AT1254" s="169"/>
    </row>
    <row r="1255" spans="10:46">
      <c r="J1255" s="64"/>
      <c r="K1255" s="64"/>
      <c r="L1255" s="64"/>
      <c r="M1255" s="64"/>
      <c r="N1255" s="64"/>
      <c r="O1255" s="64"/>
      <c r="P1255" s="64"/>
      <c r="Q1255" s="64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64"/>
      <c r="AF1255" s="64"/>
      <c r="AG1255" s="64"/>
      <c r="AH1255" s="64"/>
      <c r="AI1255" s="64"/>
      <c r="AJ1255" s="64"/>
      <c r="AK1255" s="64"/>
      <c r="AL1255" s="64"/>
      <c r="AM1255" s="169"/>
      <c r="AN1255" s="169"/>
      <c r="AO1255" s="169"/>
      <c r="AP1255" s="169"/>
      <c r="AQ1255" s="169"/>
      <c r="AR1255" s="169"/>
      <c r="AS1255" s="169"/>
      <c r="AT1255" s="169"/>
    </row>
    <row r="1256" spans="10:46">
      <c r="J1256" s="64"/>
      <c r="K1256" s="64"/>
      <c r="L1256" s="64"/>
      <c r="M1256" s="64"/>
      <c r="N1256" s="64"/>
      <c r="O1256" s="64"/>
      <c r="P1256" s="64"/>
      <c r="Q1256" s="64"/>
      <c r="R1256" s="64"/>
      <c r="S1256" s="64"/>
      <c r="T1256" s="64"/>
      <c r="U1256" s="64"/>
      <c r="V1256" s="64"/>
      <c r="W1256" s="64"/>
      <c r="X1256" s="64"/>
      <c r="Y1256" s="64"/>
      <c r="Z1256" s="64"/>
      <c r="AA1256" s="64"/>
      <c r="AB1256" s="64"/>
      <c r="AC1256" s="64"/>
      <c r="AD1256" s="64"/>
      <c r="AE1256" s="64"/>
      <c r="AF1256" s="64"/>
      <c r="AG1256" s="64"/>
      <c r="AH1256" s="64"/>
      <c r="AI1256" s="64"/>
      <c r="AJ1256" s="64"/>
      <c r="AK1256" s="64"/>
      <c r="AL1256" s="64"/>
      <c r="AM1256" s="169"/>
      <c r="AN1256" s="169"/>
      <c r="AO1256" s="169"/>
      <c r="AP1256" s="169"/>
      <c r="AQ1256" s="169"/>
      <c r="AR1256" s="169"/>
      <c r="AS1256" s="169"/>
      <c r="AT1256" s="169"/>
    </row>
    <row r="1257" spans="10:46">
      <c r="J1257" s="64"/>
      <c r="K1257" s="64"/>
      <c r="L1257" s="64"/>
      <c r="M1257" s="64"/>
      <c r="N1257" s="64"/>
      <c r="O1257" s="64"/>
      <c r="P1257" s="64"/>
      <c r="Q1257" s="64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64"/>
      <c r="AF1257" s="64"/>
      <c r="AG1257" s="64"/>
      <c r="AH1257" s="64"/>
      <c r="AI1257" s="64"/>
      <c r="AJ1257" s="64"/>
      <c r="AK1257" s="64"/>
      <c r="AL1257" s="64"/>
      <c r="AM1257" s="169"/>
      <c r="AN1257" s="169"/>
      <c r="AO1257" s="169"/>
      <c r="AP1257" s="169"/>
      <c r="AQ1257" s="169"/>
      <c r="AR1257" s="169"/>
      <c r="AS1257" s="169"/>
      <c r="AT1257" s="169"/>
    </row>
    <row r="1258" spans="10:46">
      <c r="J1258" s="64"/>
      <c r="K1258" s="64"/>
      <c r="L1258" s="64"/>
      <c r="M1258" s="64"/>
      <c r="N1258" s="64"/>
      <c r="O1258" s="64"/>
      <c r="P1258" s="64"/>
      <c r="Q1258" s="64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64"/>
      <c r="AF1258" s="64"/>
      <c r="AG1258" s="64"/>
      <c r="AH1258" s="64"/>
      <c r="AI1258" s="64"/>
      <c r="AJ1258" s="64"/>
      <c r="AK1258" s="64"/>
      <c r="AL1258" s="64"/>
      <c r="AM1258" s="169"/>
      <c r="AN1258" s="169"/>
      <c r="AO1258" s="169"/>
      <c r="AP1258" s="169"/>
      <c r="AQ1258" s="169"/>
      <c r="AR1258" s="169"/>
      <c r="AS1258" s="169"/>
      <c r="AT1258" s="169"/>
    </row>
    <row r="1259" spans="10:46">
      <c r="J1259" s="64"/>
      <c r="K1259" s="64"/>
      <c r="L1259" s="64"/>
      <c r="M1259" s="64"/>
      <c r="N1259" s="64"/>
      <c r="O1259" s="64"/>
      <c r="P1259" s="64"/>
      <c r="Q1259" s="64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64"/>
      <c r="AF1259" s="64"/>
      <c r="AG1259" s="64"/>
      <c r="AH1259" s="64"/>
      <c r="AI1259" s="64"/>
      <c r="AJ1259" s="64"/>
      <c r="AK1259" s="64"/>
      <c r="AL1259" s="64"/>
      <c r="AM1259" s="169"/>
      <c r="AN1259" s="169"/>
      <c r="AO1259" s="169"/>
      <c r="AP1259" s="169"/>
      <c r="AQ1259" s="169"/>
      <c r="AR1259" s="169"/>
      <c r="AS1259" s="169"/>
      <c r="AT1259" s="169"/>
    </row>
    <row r="1260" spans="10:46">
      <c r="J1260" s="64"/>
      <c r="K1260" s="64"/>
      <c r="L1260" s="64"/>
      <c r="M1260" s="64"/>
      <c r="N1260" s="64"/>
      <c r="O1260" s="64"/>
      <c r="P1260" s="64"/>
      <c r="Q1260" s="64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64"/>
      <c r="AF1260" s="64"/>
      <c r="AG1260" s="64"/>
      <c r="AH1260" s="64"/>
      <c r="AI1260" s="64"/>
      <c r="AJ1260" s="64"/>
      <c r="AK1260" s="64"/>
      <c r="AL1260" s="64"/>
      <c r="AM1260" s="169"/>
      <c r="AN1260" s="169"/>
      <c r="AO1260" s="169"/>
      <c r="AP1260" s="169"/>
      <c r="AQ1260" s="169"/>
      <c r="AR1260" s="169"/>
      <c r="AS1260" s="169"/>
      <c r="AT1260" s="169"/>
    </row>
    <row r="1261" spans="10:46">
      <c r="J1261" s="64"/>
      <c r="K1261" s="64"/>
      <c r="L1261" s="64"/>
      <c r="M1261" s="64"/>
      <c r="N1261" s="64"/>
      <c r="O1261" s="64"/>
      <c r="P1261" s="64"/>
      <c r="Q1261" s="64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64"/>
      <c r="AF1261" s="64"/>
      <c r="AG1261" s="64"/>
      <c r="AH1261" s="64"/>
      <c r="AI1261" s="64"/>
      <c r="AJ1261" s="64"/>
      <c r="AK1261" s="64"/>
      <c r="AL1261" s="64"/>
      <c r="AM1261" s="169"/>
      <c r="AN1261" s="169"/>
      <c r="AO1261" s="169"/>
      <c r="AP1261" s="169"/>
      <c r="AQ1261" s="169"/>
      <c r="AR1261" s="169"/>
      <c r="AS1261" s="169"/>
      <c r="AT1261" s="169"/>
    </row>
    <row r="1262" spans="10:46">
      <c r="J1262" s="64"/>
      <c r="K1262" s="64"/>
      <c r="L1262" s="64"/>
      <c r="M1262" s="64"/>
      <c r="N1262" s="64"/>
      <c r="O1262" s="64"/>
      <c r="P1262" s="64"/>
      <c r="Q1262" s="64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64"/>
      <c r="AF1262" s="64"/>
      <c r="AG1262" s="64"/>
      <c r="AH1262" s="64"/>
      <c r="AI1262" s="64"/>
      <c r="AJ1262" s="64"/>
      <c r="AK1262" s="64"/>
      <c r="AL1262" s="64"/>
      <c r="AM1262" s="169"/>
      <c r="AN1262" s="169"/>
      <c r="AO1262" s="169"/>
      <c r="AP1262" s="169"/>
      <c r="AQ1262" s="169"/>
      <c r="AR1262" s="169"/>
      <c r="AS1262" s="169"/>
      <c r="AT1262" s="169"/>
    </row>
    <row r="1263" spans="10:46">
      <c r="J1263" s="64"/>
      <c r="K1263" s="64"/>
      <c r="L1263" s="64"/>
      <c r="M1263" s="64"/>
      <c r="N1263" s="64"/>
      <c r="O1263" s="64"/>
      <c r="P1263" s="64"/>
      <c r="Q1263" s="64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64"/>
      <c r="AF1263" s="64"/>
      <c r="AG1263" s="64"/>
      <c r="AH1263" s="64"/>
      <c r="AI1263" s="64"/>
      <c r="AJ1263" s="64"/>
      <c r="AK1263" s="64"/>
      <c r="AL1263" s="64"/>
      <c r="AM1263" s="169"/>
      <c r="AN1263" s="169"/>
      <c r="AO1263" s="169"/>
      <c r="AP1263" s="169"/>
      <c r="AQ1263" s="169"/>
      <c r="AR1263" s="169"/>
      <c r="AS1263" s="169"/>
      <c r="AT1263" s="169"/>
    </row>
    <row r="1264" spans="10:46">
      <c r="J1264" s="64"/>
      <c r="K1264" s="64"/>
      <c r="L1264" s="64"/>
      <c r="M1264" s="64"/>
      <c r="N1264" s="64"/>
      <c r="O1264" s="64"/>
      <c r="P1264" s="64"/>
      <c r="Q1264" s="64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64"/>
      <c r="AF1264" s="64"/>
      <c r="AG1264" s="64"/>
      <c r="AH1264" s="64"/>
      <c r="AI1264" s="64"/>
      <c r="AJ1264" s="64"/>
      <c r="AK1264" s="64"/>
      <c r="AL1264" s="64"/>
      <c r="AM1264" s="169"/>
      <c r="AN1264" s="169"/>
      <c r="AO1264" s="169"/>
      <c r="AP1264" s="169"/>
      <c r="AQ1264" s="169"/>
      <c r="AR1264" s="169"/>
      <c r="AS1264" s="169"/>
      <c r="AT1264" s="169"/>
    </row>
    <row r="1265" spans="10:46">
      <c r="J1265" s="64"/>
      <c r="K1265" s="64"/>
      <c r="L1265" s="64"/>
      <c r="M1265" s="64"/>
      <c r="N1265" s="64"/>
      <c r="O1265" s="64"/>
      <c r="P1265" s="64"/>
      <c r="Q1265" s="64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64"/>
      <c r="AF1265" s="64"/>
      <c r="AG1265" s="64"/>
      <c r="AH1265" s="64"/>
      <c r="AI1265" s="64"/>
      <c r="AJ1265" s="64"/>
      <c r="AK1265" s="64"/>
      <c r="AL1265" s="64"/>
      <c r="AM1265" s="169"/>
      <c r="AN1265" s="169"/>
      <c r="AO1265" s="169"/>
      <c r="AP1265" s="169"/>
      <c r="AQ1265" s="169"/>
      <c r="AR1265" s="169"/>
      <c r="AS1265" s="169"/>
      <c r="AT1265" s="169"/>
    </row>
    <row r="1266" spans="10:46">
      <c r="J1266" s="64"/>
      <c r="K1266" s="64"/>
      <c r="L1266" s="64"/>
      <c r="M1266" s="64"/>
      <c r="N1266" s="64"/>
      <c r="O1266" s="64"/>
      <c r="P1266" s="64"/>
      <c r="Q1266" s="64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64"/>
      <c r="AF1266" s="64"/>
      <c r="AG1266" s="64"/>
      <c r="AH1266" s="64"/>
      <c r="AI1266" s="64"/>
      <c r="AJ1266" s="64"/>
      <c r="AK1266" s="64"/>
      <c r="AL1266" s="64"/>
      <c r="AM1266" s="169"/>
      <c r="AN1266" s="169"/>
      <c r="AO1266" s="169"/>
      <c r="AP1266" s="169"/>
      <c r="AQ1266" s="169"/>
      <c r="AR1266" s="169"/>
      <c r="AS1266" s="169"/>
      <c r="AT1266" s="169"/>
    </row>
    <row r="1267" spans="10:46">
      <c r="J1267" s="64"/>
      <c r="K1267" s="64"/>
      <c r="L1267" s="64"/>
      <c r="M1267" s="64"/>
      <c r="N1267" s="64"/>
      <c r="O1267" s="64"/>
      <c r="P1267" s="64"/>
      <c r="Q1267" s="64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64"/>
      <c r="AF1267" s="64"/>
      <c r="AG1267" s="64"/>
      <c r="AH1267" s="64"/>
      <c r="AI1267" s="64"/>
      <c r="AJ1267" s="64"/>
      <c r="AK1267" s="64"/>
      <c r="AL1267" s="64"/>
      <c r="AM1267" s="169"/>
      <c r="AN1267" s="169"/>
      <c r="AO1267" s="169"/>
      <c r="AP1267" s="169"/>
      <c r="AQ1267" s="169"/>
      <c r="AR1267" s="169"/>
      <c r="AS1267" s="169"/>
      <c r="AT1267" s="169"/>
    </row>
    <row r="1268" spans="10:46">
      <c r="J1268" s="64"/>
      <c r="K1268" s="64"/>
      <c r="L1268" s="64"/>
      <c r="M1268" s="64"/>
      <c r="N1268" s="64"/>
      <c r="O1268" s="64"/>
      <c r="P1268" s="64"/>
      <c r="Q1268" s="64"/>
      <c r="R1268" s="64"/>
      <c r="S1268" s="64"/>
      <c r="T1268" s="64"/>
      <c r="U1268" s="64"/>
      <c r="V1268" s="64"/>
      <c r="W1268" s="64"/>
      <c r="X1268" s="64"/>
      <c r="Y1268" s="64"/>
      <c r="Z1268" s="64"/>
      <c r="AA1268" s="64"/>
      <c r="AB1268" s="64"/>
      <c r="AC1268" s="64"/>
      <c r="AD1268" s="64"/>
      <c r="AE1268" s="64"/>
      <c r="AF1268" s="64"/>
      <c r="AG1268" s="64"/>
      <c r="AH1268" s="64"/>
      <c r="AI1268" s="64"/>
      <c r="AJ1268" s="64"/>
      <c r="AK1268" s="64"/>
      <c r="AL1268" s="64"/>
      <c r="AM1268" s="169"/>
      <c r="AN1268" s="169"/>
      <c r="AO1268" s="169"/>
      <c r="AP1268" s="169"/>
      <c r="AQ1268" s="169"/>
      <c r="AR1268" s="169"/>
      <c r="AS1268" s="169"/>
      <c r="AT1268" s="169"/>
    </row>
    <row r="1269" spans="10:46">
      <c r="J1269" s="64"/>
      <c r="K1269" s="64"/>
      <c r="L1269" s="64"/>
      <c r="M1269" s="64"/>
      <c r="N1269" s="64"/>
      <c r="O1269" s="64"/>
      <c r="P1269" s="64"/>
      <c r="Q1269" s="64"/>
      <c r="R1269" s="64"/>
      <c r="S1269" s="64"/>
      <c r="T1269" s="64"/>
      <c r="U1269" s="64"/>
      <c r="V1269" s="64"/>
      <c r="W1269" s="64"/>
      <c r="X1269" s="64"/>
      <c r="Y1269" s="64"/>
      <c r="Z1269" s="64"/>
      <c r="AA1269" s="64"/>
      <c r="AB1269" s="64"/>
      <c r="AC1269" s="64"/>
      <c r="AD1269" s="64"/>
      <c r="AE1269" s="64"/>
      <c r="AF1269" s="64"/>
      <c r="AG1269" s="64"/>
      <c r="AH1269" s="64"/>
      <c r="AI1269" s="64"/>
      <c r="AJ1269" s="64"/>
      <c r="AK1269" s="64"/>
      <c r="AL1269" s="64"/>
      <c r="AM1269" s="169"/>
      <c r="AN1269" s="169"/>
      <c r="AO1269" s="169"/>
      <c r="AP1269" s="169"/>
      <c r="AQ1269" s="169"/>
      <c r="AR1269" s="169"/>
      <c r="AS1269" s="169"/>
      <c r="AT1269" s="169"/>
    </row>
    <row r="1270" spans="10:46">
      <c r="J1270" s="64"/>
      <c r="K1270" s="64"/>
      <c r="L1270" s="64"/>
      <c r="M1270" s="64"/>
      <c r="N1270" s="64"/>
      <c r="O1270" s="64"/>
      <c r="P1270" s="64"/>
      <c r="Q1270" s="64"/>
      <c r="R1270" s="64"/>
      <c r="S1270" s="64"/>
      <c r="T1270" s="64"/>
      <c r="U1270" s="64"/>
      <c r="V1270" s="64"/>
      <c r="W1270" s="64"/>
      <c r="X1270" s="64"/>
      <c r="Y1270" s="64"/>
      <c r="Z1270" s="64"/>
      <c r="AA1270" s="64"/>
      <c r="AB1270" s="64"/>
      <c r="AC1270" s="64"/>
      <c r="AD1270" s="64"/>
      <c r="AE1270" s="64"/>
      <c r="AF1270" s="64"/>
      <c r="AG1270" s="64"/>
      <c r="AH1270" s="64"/>
      <c r="AI1270" s="64"/>
      <c r="AJ1270" s="64"/>
      <c r="AK1270" s="64"/>
      <c r="AL1270" s="64"/>
      <c r="AM1270" s="169"/>
      <c r="AN1270" s="169"/>
      <c r="AO1270" s="169"/>
      <c r="AP1270" s="169"/>
      <c r="AQ1270" s="169"/>
      <c r="AR1270" s="169"/>
      <c r="AS1270" s="169"/>
      <c r="AT1270" s="169"/>
    </row>
    <row r="1271" spans="10:46">
      <c r="J1271" s="64"/>
      <c r="K1271" s="64"/>
      <c r="L1271" s="64"/>
      <c r="M1271" s="64"/>
      <c r="N1271" s="64"/>
      <c r="O1271" s="64"/>
      <c r="P1271" s="64"/>
      <c r="Q1271" s="64"/>
      <c r="R1271" s="64"/>
      <c r="S1271" s="64"/>
      <c r="T1271" s="64"/>
      <c r="U1271" s="64"/>
      <c r="V1271" s="64"/>
      <c r="W1271" s="64"/>
      <c r="X1271" s="64"/>
      <c r="Y1271" s="64"/>
      <c r="Z1271" s="64"/>
      <c r="AA1271" s="64"/>
      <c r="AB1271" s="64"/>
      <c r="AC1271" s="64"/>
      <c r="AD1271" s="64"/>
      <c r="AE1271" s="64"/>
      <c r="AF1271" s="64"/>
      <c r="AG1271" s="64"/>
      <c r="AH1271" s="64"/>
      <c r="AI1271" s="64"/>
      <c r="AJ1271" s="64"/>
      <c r="AK1271" s="64"/>
      <c r="AL1271" s="64"/>
      <c r="AM1271" s="169"/>
      <c r="AN1271" s="169"/>
      <c r="AO1271" s="169"/>
      <c r="AP1271" s="169"/>
      <c r="AQ1271" s="169"/>
      <c r="AR1271" s="169"/>
      <c r="AS1271" s="169"/>
      <c r="AT1271" s="169"/>
    </row>
    <row r="1272" spans="10:46">
      <c r="J1272" s="64"/>
      <c r="K1272" s="64"/>
      <c r="L1272" s="64"/>
      <c r="M1272" s="64"/>
      <c r="N1272" s="64"/>
      <c r="O1272" s="64"/>
      <c r="P1272" s="64"/>
      <c r="Q1272" s="64"/>
      <c r="R1272" s="64"/>
      <c r="S1272" s="64"/>
      <c r="T1272" s="64"/>
      <c r="U1272" s="64"/>
      <c r="V1272" s="64"/>
      <c r="W1272" s="64"/>
      <c r="X1272" s="64"/>
      <c r="Y1272" s="64"/>
      <c r="Z1272" s="64"/>
      <c r="AA1272" s="64"/>
      <c r="AB1272" s="64"/>
      <c r="AC1272" s="64"/>
      <c r="AD1272" s="64"/>
      <c r="AE1272" s="64"/>
      <c r="AF1272" s="64"/>
      <c r="AG1272" s="64"/>
      <c r="AH1272" s="64"/>
      <c r="AI1272" s="64"/>
      <c r="AJ1272" s="64"/>
      <c r="AK1272" s="64"/>
      <c r="AL1272" s="64"/>
      <c r="AM1272" s="169"/>
      <c r="AN1272" s="169"/>
      <c r="AO1272" s="169"/>
      <c r="AP1272" s="169"/>
      <c r="AQ1272" s="169"/>
      <c r="AR1272" s="169"/>
      <c r="AS1272" s="169"/>
      <c r="AT1272" s="169"/>
    </row>
    <row r="1273" spans="10:46">
      <c r="J1273" s="64"/>
      <c r="K1273" s="64"/>
      <c r="L1273" s="64"/>
      <c r="M1273" s="64"/>
      <c r="N1273" s="64"/>
      <c r="O1273" s="64"/>
      <c r="P1273" s="64"/>
      <c r="Q1273" s="64"/>
      <c r="R1273" s="64"/>
      <c r="S1273" s="64"/>
      <c r="T1273" s="64"/>
      <c r="U1273" s="64"/>
      <c r="V1273" s="64"/>
      <c r="W1273" s="64"/>
      <c r="X1273" s="64"/>
      <c r="Y1273" s="64"/>
      <c r="Z1273" s="64"/>
      <c r="AA1273" s="64"/>
      <c r="AB1273" s="64"/>
      <c r="AC1273" s="64"/>
      <c r="AD1273" s="64"/>
      <c r="AE1273" s="64"/>
      <c r="AF1273" s="64"/>
      <c r="AG1273" s="64"/>
      <c r="AH1273" s="64"/>
      <c r="AI1273" s="64"/>
      <c r="AJ1273" s="64"/>
      <c r="AK1273" s="64"/>
      <c r="AL1273" s="64"/>
      <c r="AM1273" s="169"/>
      <c r="AN1273" s="169"/>
      <c r="AO1273" s="169"/>
      <c r="AP1273" s="169"/>
      <c r="AQ1273" s="169"/>
      <c r="AR1273" s="169"/>
      <c r="AS1273" s="169"/>
      <c r="AT1273" s="169"/>
    </row>
    <row r="1274" spans="10:46">
      <c r="J1274" s="64"/>
      <c r="K1274" s="64"/>
      <c r="L1274" s="64"/>
      <c r="M1274" s="64"/>
      <c r="N1274" s="64"/>
      <c r="O1274" s="64"/>
      <c r="P1274" s="64"/>
      <c r="Q1274" s="64"/>
      <c r="R1274" s="64"/>
      <c r="S1274" s="64"/>
      <c r="T1274" s="64"/>
      <c r="U1274" s="64"/>
      <c r="V1274" s="64"/>
      <c r="W1274" s="64"/>
      <c r="X1274" s="64"/>
      <c r="Y1274" s="64"/>
      <c r="Z1274" s="64"/>
      <c r="AA1274" s="64"/>
      <c r="AB1274" s="64"/>
      <c r="AC1274" s="64"/>
      <c r="AD1274" s="64"/>
      <c r="AE1274" s="64"/>
      <c r="AF1274" s="64"/>
      <c r="AG1274" s="64"/>
      <c r="AH1274" s="64"/>
      <c r="AI1274" s="64"/>
      <c r="AJ1274" s="64"/>
      <c r="AK1274" s="64"/>
      <c r="AL1274" s="64"/>
      <c r="AM1274" s="169"/>
      <c r="AN1274" s="169"/>
      <c r="AO1274" s="169"/>
      <c r="AP1274" s="169"/>
      <c r="AQ1274" s="169"/>
      <c r="AR1274" s="169"/>
      <c r="AS1274" s="169"/>
      <c r="AT1274" s="169"/>
    </row>
    <row r="1275" spans="10:46">
      <c r="J1275" s="64"/>
      <c r="K1275" s="64"/>
      <c r="L1275" s="64"/>
      <c r="M1275" s="64"/>
      <c r="N1275" s="64"/>
      <c r="O1275" s="64"/>
      <c r="P1275" s="64"/>
      <c r="Q1275" s="64"/>
      <c r="R1275" s="64"/>
      <c r="S1275" s="64"/>
      <c r="T1275" s="64"/>
      <c r="U1275" s="64"/>
      <c r="V1275" s="64"/>
      <c r="W1275" s="64"/>
      <c r="X1275" s="64"/>
      <c r="Y1275" s="64"/>
      <c r="Z1275" s="64"/>
      <c r="AA1275" s="64"/>
      <c r="AB1275" s="64"/>
      <c r="AC1275" s="64"/>
      <c r="AD1275" s="64"/>
      <c r="AE1275" s="64"/>
      <c r="AF1275" s="64"/>
      <c r="AG1275" s="64"/>
      <c r="AH1275" s="64"/>
      <c r="AI1275" s="64"/>
      <c r="AJ1275" s="64"/>
      <c r="AK1275" s="64"/>
      <c r="AL1275" s="64"/>
      <c r="AM1275" s="169"/>
      <c r="AN1275" s="169"/>
      <c r="AO1275" s="169"/>
      <c r="AP1275" s="169"/>
      <c r="AQ1275" s="169"/>
      <c r="AR1275" s="169"/>
      <c r="AS1275" s="169"/>
      <c r="AT1275" s="169"/>
    </row>
    <row r="1276" spans="10:46">
      <c r="J1276" s="64"/>
      <c r="K1276" s="64"/>
      <c r="L1276" s="64"/>
      <c r="M1276" s="64"/>
      <c r="N1276" s="64"/>
      <c r="O1276" s="64"/>
      <c r="P1276" s="64"/>
      <c r="Q1276" s="64"/>
      <c r="R1276" s="64"/>
      <c r="S1276" s="64"/>
      <c r="T1276" s="64"/>
      <c r="U1276" s="64"/>
      <c r="V1276" s="64"/>
      <c r="W1276" s="64"/>
      <c r="X1276" s="64"/>
      <c r="Y1276" s="64"/>
      <c r="Z1276" s="64"/>
      <c r="AA1276" s="64"/>
      <c r="AB1276" s="64"/>
      <c r="AC1276" s="64"/>
      <c r="AD1276" s="64"/>
      <c r="AE1276" s="64"/>
      <c r="AF1276" s="64"/>
      <c r="AG1276" s="64"/>
      <c r="AH1276" s="64"/>
      <c r="AI1276" s="64"/>
      <c r="AJ1276" s="64"/>
      <c r="AK1276" s="64"/>
      <c r="AL1276" s="64"/>
      <c r="AM1276" s="169"/>
      <c r="AN1276" s="169"/>
      <c r="AO1276" s="169"/>
      <c r="AP1276" s="169"/>
      <c r="AQ1276" s="169"/>
      <c r="AR1276" s="169"/>
      <c r="AS1276" s="169"/>
      <c r="AT1276" s="169"/>
    </row>
    <row r="1277" spans="10:46">
      <c r="J1277" s="64"/>
      <c r="K1277" s="64"/>
      <c r="L1277" s="64"/>
      <c r="M1277" s="64"/>
      <c r="N1277" s="64"/>
      <c r="O1277" s="64"/>
      <c r="P1277" s="64"/>
      <c r="Q1277" s="64"/>
      <c r="R1277" s="64"/>
      <c r="S1277" s="64"/>
      <c r="T1277" s="64"/>
      <c r="U1277" s="64"/>
      <c r="V1277" s="64"/>
      <c r="W1277" s="64"/>
      <c r="X1277" s="64"/>
      <c r="Y1277" s="64"/>
      <c r="Z1277" s="64"/>
      <c r="AA1277" s="64"/>
      <c r="AB1277" s="64"/>
      <c r="AC1277" s="64"/>
      <c r="AD1277" s="64"/>
      <c r="AE1277" s="64"/>
      <c r="AF1277" s="64"/>
      <c r="AG1277" s="64"/>
      <c r="AH1277" s="64"/>
      <c r="AI1277" s="64"/>
      <c r="AJ1277" s="64"/>
      <c r="AK1277" s="64"/>
      <c r="AL1277" s="64"/>
      <c r="AM1277" s="169"/>
      <c r="AN1277" s="169"/>
      <c r="AO1277" s="169"/>
      <c r="AP1277" s="169"/>
      <c r="AQ1277" s="169"/>
      <c r="AR1277" s="169"/>
      <c r="AS1277" s="169"/>
      <c r="AT1277" s="169"/>
    </row>
    <row r="1278" spans="10:46">
      <c r="J1278" s="64"/>
      <c r="K1278" s="64"/>
      <c r="L1278" s="64"/>
      <c r="M1278" s="64"/>
      <c r="N1278" s="64"/>
      <c r="O1278" s="64"/>
      <c r="P1278" s="64"/>
      <c r="Q1278" s="64"/>
      <c r="R1278" s="64"/>
      <c r="S1278" s="64"/>
      <c r="T1278" s="64"/>
      <c r="U1278" s="64"/>
      <c r="V1278" s="64"/>
      <c r="W1278" s="64"/>
      <c r="X1278" s="64"/>
      <c r="Y1278" s="64"/>
      <c r="Z1278" s="64"/>
      <c r="AA1278" s="64"/>
      <c r="AB1278" s="64"/>
      <c r="AC1278" s="64"/>
      <c r="AD1278" s="64"/>
      <c r="AE1278" s="64"/>
      <c r="AF1278" s="64"/>
      <c r="AG1278" s="64"/>
      <c r="AH1278" s="64"/>
      <c r="AI1278" s="64"/>
      <c r="AJ1278" s="64"/>
      <c r="AK1278" s="64"/>
      <c r="AL1278" s="64"/>
      <c r="AM1278" s="169"/>
      <c r="AN1278" s="169"/>
      <c r="AO1278" s="169"/>
      <c r="AP1278" s="169"/>
      <c r="AQ1278" s="169"/>
      <c r="AR1278" s="169"/>
      <c r="AS1278" s="169"/>
      <c r="AT1278" s="169"/>
    </row>
    <row r="1279" spans="10:46">
      <c r="J1279" s="64"/>
      <c r="K1279" s="64"/>
      <c r="L1279" s="64"/>
      <c r="M1279" s="64"/>
      <c r="N1279" s="64"/>
      <c r="O1279" s="64"/>
      <c r="P1279" s="64"/>
      <c r="Q1279" s="64"/>
      <c r="R1279" s="64"/>
      <c r="S1279" s="64"/>
      <c r="T1279" s="64"/>
      <c r="U1279" s="64"/>
      <c r="V1279" s="64"/>
      <c r="W1279" s="64"/>
      <c r="X1279" s="64"/>
      <c r="Y1279" s="64"/>
      <c r="Z1279" s="64"/>
      <c r="AA1279" s="64"/>
      <c r="AB1279" s="64"/>
      <c r="AC1279" s="64"/>
      <c r="AD1279" s="64"/>
      <c r="AE1279" s="64"/>
      <c r="AF1279" s="64"/>
      <c r="AG1279" s="64"/>
      <c r="AH1279" s="64"/>
      <c r="AI1279" s="64"/>
      <c r="AJ1279" s="64"/>
      <c r="AK1279" s="64"/>
      <c r="AL1279" s="64"/>
      <c r="AM1279" s="169"/>
      <c r="AN1279" s="169"/>
      <c r="AO1279" s="169"/>
      <c r="AP1279" s="169"/>
      <c r="AQ1279" s="169"/>
      <c r="AR1279" s="169"/>
      <c r="AS1279" s="169"/>
      <c r="AT1279" s="169"/>
    </row>
    <row r="1280" spans="10:46">
      <c r="J1280" s="64"/>
      <c r="K1280" s="64"/>
      <c r="L1280" s="64"/>
      <c r="M1280" s="64"/>
      <c r="N1280" s="64"/>
      <c r="O1280" s="64"/>
      <c r="P1280" s="64"/>
      <c r="Q1280" s="64"/>
      <c r="R1280" s="64"/>
      <c r="S1280" s="64"/>
      <c r="T1280" s="64"/>
      <c r="U1280" s="64"/>
      <c r="V1280" s="64"/>
      <c r="W1280" s="64"/>
      <c r="X1280" s="64"/>
      <c r="Y1280" s="64"/>
      <c r="Z1280" s="64"/>
      <c r="AA1280" s="64"/>
      <c r="AB1280" s="64"/>
      <c r="AC1280" s="64"/>
      <c r="AD1280" s="64"/>
      <c r="AE1280" s="64"/>
      <c r="AF1280" s="64"/>
      <c r="AG1280" s="64"/>
      <c r="AH1280" s="64"/>
      <c r="AI1280" s="64"/>
      <c r="AJ1280" s="64"/>
      <c r="AK1280" s="64"/>
      <c r="AL1280" s="64"/>
      <c r="AM1280" s="169"/>
      <c r="AN1280" s="169"/>
      <c r="AO1280" s="169"/>
      <c r="AP1280" s="169"/>
      <c r="AQ1280" s="169"/>
      <c r="AR1280" s="169"/>
      <c r="AS1280" s="169"/>
      <c r="AT1280" s="169"/>
    </row>
    <row r="1281" spans="10:46">
      <c r="J1281" s="64"/>
      <c r="K1281" s="64"/>
      <c r="L1281" s="64"/>
      <c r="M1281" s="64"/>
      <c r="N1281" s="64"/>
      <c r="O1281" s="64"/>
      <c r="P1281" s="64"/>
      <c r="Q1281" s="64"/>
      <c r="R1281" s="64"/>
      <c r="S1281" s="64"/>
      <c r="T1281" s="64"/>
      <c r="U1281" s="64"/>
      <c r="V1281" s="64"/>
      <c r="W1281" s="64"/>
      <c r="X1281" s="64"/>
      <c r="Y1281" s="64"/>
      <c r="Z1281" s="64"/>
      <c r="AA1281" s="64"/>
      <c r="AB1281" s="64"/>
      <c r="AC1281" s="64"/>
      <c r="AD1281" s="64"/>
      <c r="AE1281" s="64"/>
      <c r="AF1281" s="64"/>
      <c r="AG1281" s="64"/>
      <c r="AH1281" s="64"/>
      <c r="AI1281" s="64"/>
      <c r="AJ1281" s="64"/>
      <c r="AK1281" s="64"/>
      <c r="AL1281" s="64"/>
      <c r="AM1281" s="169"/>
      <c r="AN1281" s="169"/>
      <c r="AO1281" s="169"/>
      <c r="AP1281" s="169"/>
      <c r="AQ1281" s="169"/>
      <c r="AR1281" s="169"/>
      <c r="AS1281" s="169"/>
      <c r="AT1281" s="169"/>
    </row>
    <row r="1282" spans="10:46">
      <c r="J1282" s="64"/>
      <c r="K1282" s="64"/>
      <c r="L1282" s="64"/>
      <c r="M1282" s="64"/>
      <c r="N1282" s="64"/>
      <c r="O1282" s="64"/>
      <c r="P1282" s="64"/>
      <c r="Q1282" s="64"/>
      <c r="R1282" s="64"/>
      <c r="S1282" s="64"/>
      <c r="T1282" s="64"/>
      <c r="U1282" s="64"/>
      <c r="V1282" s="64"/>
      <c r="W1282" s="64"/>
      <c r="X1282" s="64"/>
      <c r="Y1282" s="64"/>
      <c r="Z1282" s="64"/>
      <c r="AA1282" s="64"/>
      <c r="AB1282" s="64"/>
      <c r="AC1282" s="64"/>
      <c r="AD1282" s="64"/>
      <c r="AE1282" s="64"/>
      <c r="AF1282" s="64"/>
      <c r="AG1282" s="64"/>
      <c r="AH1282" s="64"/>
      <c r="AI1282" s="64"/>
      <c r="AJ1282" s="64"/>
      <c r="AK1282" s="64"/>
      <c r="AL1282" s="64"/>
      <c r="AM1282" s="169"/>
      <c r="AN1282" s="169"/>
      <c r="AO1282" s="169"/>
      <c r="AP1282" s="169"/>
      <c r="AQ1282" s="169"/>
      <c r="AR1282" s="169"/>
      <c r="AS1282" s="169"/>
      <c r="AT1282" s="169"/>
    </row>
    <row r="1283" spans="10:46">
      <c r="J1283" s="64"/>
      <c r="K1283" s="64"/>
      <c r="L1283" s="64"/>
      <c r="M1283" s="64"/>
      <c r="N1283" s="64"/>
      <c r="O1283" s="64"/>
      <c r="P1283" s="64"/>
      <c r="Q1283" s="64"/>
      <c r="R1283" s="64"/>
      <c r="S1283" s="64"/>
      <c r="T1283" s="64"/>
      <c r="U1283" s="64"/>
      <c r="V1283" s="64"/>
      <c r="W1283" s="64"/>
      <c r="X1283" s="64"/>
      <c r="Y1283" s="64"/>
      <c r="Z1283" s="64"/>
      <c r="AA1283" s="64"/>
      <c r="AB1283" s="64"/>
      <c r="AC1283" s="64"/>
      <c r="AD1283" s="64"/>
      <c r="AE1283" s="64"/>
      <c r="AF1283" s="64"/>
      <c r="AG1283" s="64"/>
      <c r="AH1283" s="64"/>
      <c r="AI1283" s="64"/>
      <c r="AJ1283" s="64"/>
      <c r="AK1283" s="64"/>
      <c r="AL1283" s="64"/>
      <c r="AM1283" s="169"/>
      <c r="AN1283" s="169"/>
      <c r="AO1283" s="169"/>
      <c r="AP1283" s="169"/>
      <c r="AQ1283" s="169"/>
      <c r="AR1283" s="169"/>
      <c r="AS1283" s="169"/>
      <c r="AT1283" s="169"/>
    </row>
    <row r="1284" spans="10:46">
      <c r="J1284" s="64"/>
      <c r="K1284" s="64"/>
      <c r="L1284" s="64"/>
      <c r="M1284" s="64"/>
      <c r="N1284" s="64"/>
      <c r="O1284" s="64"/>
      <c r="P1284" s="64"/>
      <c r="Q1284" s="64"/>
      <c r="R1284" s="64"/>
      <c r="S1284" s="64"/>
      <c r="T1284" s="64"/>
      <c r="U1284" s="64"/>
      <c r="V1284" s="64"/>
      <c r="W1284" s="64"/>
      <c r="X1284" s="64"/>
      <c r="Y1284" s="64"/>
      <c r="Z1284" s="64"/>
      <c r="AA1284" s="64"/>
      <c r="AB1284" s="64"/>
      <c r="AC1284" s="64"/>
      <c r="AD1284" s="64"/>
      <c r="AE1284" s="64"/>
      <c r="AF1284" s="64"/>
      <c r="AG1284" s="64"/>
      <c r="AH1284" s="64"/>
      <c r="AI1284" s="64"/>
      <c r="AJ1284" s="64"/>
      <c r="AK1284" s="64"/>
      <c r="AL1284" s="64"/>
      <c r="AM1284" s="169"/>
      <c r="AN1284" s="169"/>
      <c r="AO1284" s="169"/>
      <c r="AP1284" s="169"/>
      <c r="AQ1284" s="169"/>
      <c r="AR1284" s="169"/>
      <c r="AS1284" s="169"/>
      <c r="AT1284" s="169"/>
    </row>
    <row r="1285" spans="10:46">
      <c r="J1285" s="64"/>
      <c r="K1285" s="64"/>
      <c r="L1285" s="64"/>
      <c r="M1285" s="64"/>
      <c r="N1285" s="64"/>
      <c r="O1285" s="64"/>
      <c r="P1285" s="64"/>
      <c r="Q1285" s="64"/>
      <c r="R1285" s="64"/>
      <c r="S1285" s="64"/>
      <c r="T1285" s="64"/>
      <c r="U1285" s="64"/>
      <c r="V1285" s="64"/>
      <c r="W1285" s="64"/>
      <c r="X1285" s="64"/>
      <c r="Y1285" s="64"/>
      <c r="Z1285" s="64"/>
      <c r="AA1285" s="64"/>
      <c r="AB1285" s="64"/>
      <c r="AC1285" s="64"/>
      <c r="AD1285" s="64"/>
      <c r="AE1285" s="64"/>
      <c r="AF1285" s="64"/>
      <c r="AG1285" s="64"/>
      <c r="AH1285" s="64"/>
      <c r="AI1285" s="64"/>
      <c r="AJ1285" s="64"/>
      <c r="AK1285" s="64"/>
      <c r="AL1285" s="64"/>
      <c r="AM1285" s="169"/>
      <c r="AN1285" s="169"/>
      <c r="AO1285" s="169"/>
      <c r="AP1285" s="169"/>
      <c r="AQ1285" s="169"/>
      <c r="AR1285" s="169"/>
      <c r="AS1285" s="169"/>
      <c r="AT1285" s="169"/>
    </row>
    <row r="1286" spans="10:46">
      <c r="J1286" s="64"/>
      <c r="K1286" s="64"/>
      <c r="L1286" s="64"/>
      <c r="M1286" s="64"/>
      <c r="N1286" s="64"/>
      <c r="O1286" s="64"/>
      <c r="P1286" s="64"/>
      <c r="Q1286" s="64"/>
      <c r="R1286" s="64"/>
      <c r="S1286" s="64"/>
      <c r="T1286" s="64"/>
      <c r="U1286" s="64"/>
      <c r="V1286" s="64"/>
      <c r="W1286" s="64"/>
      <c r="X1286" s="64"/>
      <c r="Y1286" s="64"/>
      <c r="Z1286" s="64"/>
      <c r="AA1286" s="64"/>
      <c r="AB1286" s="64"/>
      <c r="AC1286" s="64"/>
      <c r="AD1286" s="64"/>
      <c r="AE1286" s="64"/>
      <c r="AF1286" s="64"/>
      <c r="AG1286" s="64"/>
      <c r="AH1286" s="64"/>
      <c r="AI1286" s="64"/>
      <c r="AJ1286" s="64"/>
      <c r="AK1286" s="64"/>
      <c r="AL1286" s="64"/>
      <c r="AM1286" s="169"/>
      <c r="AN1286" s="169"/>
      <c r="AO1286" s="169"/>
      <c r="AP1286" s="169"/>
      <c r="AQ1286" s="169"/>
      <c r="AR1286" s="169"/>
      <c r="AS1286" s="169"/>
      <c r="AT1286" s="169"/>
    </row>
    <row r="1287" spans="10:46">
      <c r="J1287" s="64"/>
      <c r="K1287" s="64"/>
      <c r="L1287" s="64"/>
      <c r="M1287" s="64"/>
      <c r="N1287" s="64"/>
      <c r="O1287" s="64"/>
      <c r="P1287" s="64"/>
      <c r="Q1287" s="64"/>
      <c r="R1287" s="64"/>
      <c r="S1287" s="64"/>
      <c r="T1287" s="64"/>
      <c r="U1287" s="64"/>
      <c r="V1287" s="64"/>
      <c r="W1287" s="64"/>
      <c r="X1287" s="64"/>
      <c r="Y1287" s="64"/>
      <c r="Z1287" s="64"/>
      <c r="AA1287" s="64"/>
      <c r="AB1287" s="64"/>
      <c r="AC1287" s="64"/>
      <c r="AD1287" s="64"/>
      <c r="AE1287" s="64"/>
      <c r="AF1287" s="64"/>
      <c r="AG1287" s="64"/>
      <c r="AH1287" s="64"/>
      <c r="AI1287" s="64"/>
      <c r="AJ1287" s="64"/>
      <c r="AK1287" s="64"/>
      <c r="AL1287" s="64"/>
      <c r="AM1287" s="169"/>
      <c r="AN1287" s="169"/>
      <c r="AO1287" s="169"/>
      <c r="AP1287" s="169"/>
      <c r="AQ1287" s="169"/>
      <c r="AR1287" s="169"/>
      <c r="AS1287" s="169"/>
      <c r="AT1287" s="169"/>
    </row>
    <row r="1288" spans="10:46">
      <c r="J1288" s="64"/>
      <c r="K1288" s="64"/>
      <c r="L1288" s="64"/>
      <c r="M1288" s="64"/>
      <c r="N1288" s="64"/>
      <c r="O1288" s="64"/>
      <c r="P1288" s="64"/>
      <c r="Q1288" s="64"/>
      <c r="R1288" s="64"/>
      <c r="S1288" s="64"/>
      <c r="T1288" s="64"/>
      <c r="U1288" s="64"/>
      <c r="V1288" s="64"/>
      <c r="W1288" s="64"/>
      <c r="X1288" s="64"/>
      <c r="Y1288" s="64"/>
      <c r="Z1288" s="64"/>
      <c r="AA1288" s="64"/>
      <c r="AB1288" s="64"/>
      <c r="AC1288" s="64"/>
      <c r="AD1288" s="64"/>
      <c r="AE1288" s="64"/>
      <c r="AF1288" s="64"/>
      <c r="AG1288" s="64"/>
      <c r="AH1288" s="64"/>
      <c r="AI1288" s="64"/>
      <c r="AJ1288" s="64"/>
      <c r="AK1288" s="64"/>
      <c r="AL1288" s="64"/>
      <c r="AM1288" s="169"/>
      <c r="AN1288" s="169"/>
      <c r="AO1288" s="169"/>
      <c r="AP1288" s="169"/>
      <c r="AQ1288" s="169"/>
      <c r="AR1288" s="169"/>
      <c r="AS1288" s="169"/>
      <c r="AT1288" s="169"/>
    </row>
    <row r="1289" spans="10:46">
      <c r="J1289" s="64"/>
      <c r="K1289" s="64"/>
      <c r="L1289" s="64"/>
      <c r="M1289" s="64"/>
      <c r="N1289" s="64"/>
      <c r="O1289" s="64"/>
      <c r="P1289" s="64"/>
      <c r="Q1289" s="64"/>
      <c r="R1289" s="64"/>
      <c r="S1289" s="64"/>
      <c r="T1289" s="64"/>
      <c r="U1289" s="64"/>
      <c r="V1289" s="64"/>
      <c r="W1289" s="64"/>
      <c r="X1289" s="64"/>
      <c r="Y1289" s="64"/>
      <c r="Z1289" s="64"/>
      <c r="AA1289" s="64"/>
      <c r="AB1289" s="64"/>
      <c r="AC1289" s="64"/>
      <c r="AD1289" s="64"/>
      <c r="AE1289" s="64"/>
      <c r="AF1289" s="64"/>
      <c r="AG1289" s="64"/>
      <c r="AH1289" s="64"/>
      <c r="AI1289" s="64"/>
      <c r="AJ1289" s="64"/>
      <c r="AK1289" s="64"/>
      <c r="AL1289" s="64"/>
      <c r="AM1289" s="169"/>
      <c r="AN1289" s="169"/>
      <c r="AO1289" s="169"/>
      <c r="AP1289" s="169"/>
      <c r="AQ1289" s="169"/>
      <c r="AR1289" s="169"/>
      <c r="AS1289" s="169"/>
      <c r="AT1289" s="169"/>
    </row>
    <row r="1290" spans="10:46">
      <c r="J1290" s="64"/>
      <c r="K1290" s="64"/>
      <c r="L1290" s="64"/>
      <c r="M1290" s="64"/>
      <c r="N1290" s="64"/>
      <c r="O1290" s="64"/>
      <c r="P1290" s="64"/>
      <c r="Q1290" s="64"/>
      <c r="R1290" s="64"/>
      <c r="S1290" s="64"/>
      <c r="T1290" s="64"/>
      <c r="U1290" s="64"/>
      <c r="V1290" s="64"/>
      <c r="W1290" s="64"/>
      <c r="X1290" s="64"/>
      <c r="Y1290" s="64"/>
      <c r="Z1290" s="64"/>
      <c r="AA1290" s="64"/>
      <c r="AB1290" s="64"/>
      <c r="AC1290" s="64"/>
      <c r="AD1290" s="64"/>
      <c r="AE1290" s="64"/>
      <c r="AF1290" s="64"/>
      <c r="AG1290" s="64"/>
      <c r="AH1290" s="64"/>
      <c r="AI1290" s="64"/>
      <c r="AJ1290" s="64"/>
      <c r="AK1290" s="64"/>
      <c r="AL1290" s="64"/>
      <c r="AM1290" s="169"/>
      <c r="AN1290" s="169"/>
      <c r="AO1290" s="169"/>
      <c r="AP1290" s="169"/>
      <c r="AQ1290" s="169"/>
      <c r="AR1290" s="169"/>
      <c r="AS1290" s="169"/>
      <c r="AT1290" s="169"/>
    </row>
    <row r="1291" spans="10:46">
      <c r="J1291" s="64"/>
      <c r="K1291" s="64"/>
      <c r="L1291" s="64"/>
      <c r="M1291" s="64"/>
      <c r="N1291" s="64"/>
      <c r="O1291" s="64"/>
      <c r="P1291" s="64"/>
      <c r="Q1291" s="64"/>
      <c r="R1291" s="64"/>
      <c r="S1291" s="64"/>
      <c r="T1291" s="64"/>
      <c r="U1291" s="64"/>
      <c r="V1291" s="64"/>
      <c r="W1291" s="64"/>
      <c r="X1291" s="64"/>
      <c r="Y1291" s="64"/>
      <c r="Z1291" s="64"/>
      <c r="AA1291" s="64"/>
      <c r="AB1291" s="64"/>
      <c r="AC1291" s="64"/>
      <c r="AD1291" s="64"/>
      <c r="AE1291" s="64"/>
      <c r="AF1291" s="64"/>
      <c r="AG1291" s="64"/>
      <c r="AH1291" s="64"/>
      <c r="AI1291" s="64"/>
      <c r="AJ1291" s="64"/>
      <c r="AK1291" s="64"/>
      <c r="AL1291" s="64"/>
      <c r="AM1291" s="169"/>
      <c r="AN1291" s="169"/>
      <c r="AO1291" s="169"/>
      <c r="AP1291" s="169"/>
      <c r="AQ1291" s="169"/>
      <c r="AR1291" s="169"/>
      <c r="AS1291" s="169"/>
      <c r="AT1291" s="169"/>
    </row>
    <row r="1292" spans="10:46">
      <c r="J1292" s="64"/>
      <c r="K1292" s="64"/>
      <c r="L1292" s="64"/>
      <c r="M1292" s="64"/>
      <c r="N1292" s="64"/>
      <c r="O1292" s="64"/>
      <c r="P1292" s="64"/>
      <c r="Q1292" s="64"/>
      <c r="R1292" s="64"/>
      <c r="S1292" s="64"/>
      <c r="T1292" s="64"/>
      <c r="U1292" s="64"/>
      <c r="V1292" s="64"/>
      <c r="W1292" s="64"/>
      <c r="X1292" s="64"/>
      <c r="Y1292" s="64"/>
      <c r="Z1292" s="64"/>
      <c r="AA1292" s="64"/>
      <c r="AB1292" s="64"/>
      <c r="AC1292" s="64"/>
      <c r="AD1292" s="64"/>
      <c r="AE1292" s="64"/>
      <c r="AF1292" s="64"/>
      <c r="AG1292" s="64"/>
      <c r="AH1292" s="64"/>
      <c r="AI1292" s="64"/>
      <c r="AJ1292" s="64"/>
      <c r="AK1292" s="64"/>
      <c r="AL1292" s="64"/>
      <c r="AM1292" s="169"/>
      <c r="AN1292" s="169"/>
      <c r="AO1292" s="169"/>
      <c r="AP1292" s="169"/>
      <c r="AQ1292" s="169"/>
      <c r="AR1292" s="169"/>
      <c r="AS1292" s="169"/>
      <c r="AT1292" s="169"/>
    </row>
    <row r="1293" spans="10:46">
      <c r="J1293" s="64"/>
      <c r="K1293" s="64"/>
      <c r="L1293" s="64"/>
      <c r="M1293" s="64"/>
      <c r="N1293" s="64"/>
      <c r="O1293" s="64"/>
      <c r="P1293" s="64"/>
      <c r="Q1293" s="64"/>
      <c r="R1293" s="64"/>
      <c r="S1293" s="64"/>
      <c r="T1293" s="64"/>
      <c r="U1293" s="64"/>
      <c r="V1293" s="64"/>
      <c r="W1293" s="64"/>
      <c r="X1293" s="64"/>
      <c r="Y1293" s="64"/>
      <c r="Z1293" s="64"/>
      <c r="AA1293" s="64"/>
      <c r="AB1293" s="64"/>
      <c r="AC1293" s="64"/>
      <c r="AD1293" s="64"/>
      <c r="AE1293" s="64"/>
      <c r="AF1293" s="64"/>
      <c r="AG1293" s="64"/>
      <c r="AH1293" s="64"/>
      <c r="AI1293" s="64"/>
      <c r="AJ1293" s="64"/>
      <c r="AK1293" s="64"/>
      <c r="AL1293" s="64"/>
      <c r="AM1293" s="169"/>
      <c r="AN1293" s="169"/>
      <c r="AO1293" s="169"/>
      <c r="AP1293" s="169"/>
      <c r="AQ1293" s="169"/>
      <c r="AR1293" s="169"/>
      <c r="AS1293" s="169"/>
      <c r="AT1293" s="169"/>
    </row>
    <row r="1294" spans="10:46">
      <c r="J1294" s="64"/>
      <c r="K1294" s="64"/>
      <c r="L1294" s="64"/>
      <c r="M1294" s="64"/>
      <c r="N1294" s="64"/>
      <c r="O1294" s="64"/>
      <c r="P1294" s="64"/>
      <c r="Q1294" s="64"/>
      <c r="R1294" s="64"/>
      <c r="S1294" s="64"/>
      <c r="T1294" s="64"/>
      <c r="U1294" s="64"/>
      <c r="V1294" s="64"/>
      <c r="W1294" s="64"/>
      <c r="X1294" s="64"/>
      <c r="Y1294" s="64"/>
      <c r="Z1294" s="64"/>
      <c r="AA1294" s="64"/>
      <c r="AB1294" s="64"/>
      <c r="AC1294" s="64"/>
      <c r="AD1294" s="64"/>
      <c r="AE1294" s="64"/>
      <c r="AF1294" s="64"/>
      <c r="AG1294" s="64"/>
      <c r="AH1294" s="64"/>
      <c r="AI1294" s="64"/>
      <c r="AJ1294" s="64"/>
      <c r="AK1294" s="64"/>
      <c r="AL1294" s="64"/>
      <c r="AM1294" s="169"/>
      <c r="AN1294" s="169"/>
      <c r="AO1294" s="169"/>
      <c r="AP1294" s="169"/>
      <c r="AQ1294" s="169"/>
      <c r="AR1294" s="169"/>
      <c r="AS1294" s="169"/>
      <c r="AT1294" s="169"/>
    </row>
    <row r="1295" spans="10:46">
      <c r="J1295" s="64"/>
      <c r="K1295" s="64"/>
      <c r="L1295" s="64"/>
      <c r="M1295" s="64"/>
      <c r="N1295" s="64"/>
      <c r="O1295" s="64"/>
      <c r="P1295" s="64"/>
      <c r="Q1295" s="64"/>
      <c r="R1295" s="64"/>
      <c r="S1295" s="64"/>
      <c r="T1295" s="64"/>
      <c r="U1295" s="64"/>
      <c r="V1295" s="64"/>
      <c r="W1295" s="64"/>
      <c r="X1295" s="64"/>
      <c r="Y1295" s="64"/>
      <c r="Z1295" s="64"/>
      <c r="AA1295" s="64"/>
      <c r="AB1295" s="64"/>
      <c r="AC1295" s="64"/>
      <c r="AD1295" s="64"/>
      <c r="AE1295" s="64"/>
      <c r="AF1295" s="64"/>
      <c r="AG1295" s="64"/>
      <c r="AH1295" s="64"/>
      <c r="AI1295" s="64"/>
      <c r="AJ1295" s="64"/>
      <c r="AK1295" s="64"/>
      <c r="AL1295" s="64"/>
      <c r="AM1295" s="169"/>
      <c r="AN1295" s="169"/>
      <c r="AO1295" s="169"/>
      <c r="AP1295" s="169"/>
      <c r="AQ1295" s="169"/>
      <c r="AR1295" s="169"/>
      <c r="AS1295" s="169"/>
      <c r="AT1295" s="169"/>
    </row>
    <row r="1296" spans="10:46">
      <c r="J1296" s="64"/>
      <c r="K1296" s="64"/>
      <c r="L1296" s="64"/>
      <c r="M1296" s="64"/>
      <c r="N1296" s="64"/>
      <c r="O1296" s="64"/>
      <c r="P1296" s="64"/>
      <c r="Q1296" s="64"/>
      <c r="R1296" s="64"/>
      <c r="S1296" s="64"/>
      <c r="T1296" s="64"/>
      <c r="U1296" s="64"/>
      <c r="V1296" s="64"/>
      <c r="W1296" s="64"/>
      <c r="X1296" s="64"/>
      <c r="Y1296" s="64"/>
      <c r="Z1296" s="64"/>
      <c r="AA1296" s="64"/>
      <c r="AB1296" s="64"/>
      <c r="AC1296" s="64"/>
      <c r="AD1296" s="64"/>
      <c r="AE1296" s="64"/>
      <c r="AF1296" s="64"/>
      <c r="AG1296" s="64"/>
      <c r="AH1296" s="64"/>
      <c r="AI1296" s="64"/>
      <c r="AJ1296" s="64"/>
      <c r="AK1296" s="64"/>
      <c r="AL1296" s="64"/>
      <c r="AM1296" s="169"/>
      <c r="AN1296" s="169"/>
      <c r="AO1296" s="169"/>
      <c r="AP1296" s="169"/>
      <c r="AQ1296" s="169"/>
      <c r="AR1296" s="169"/>
      <c r="AS1296" s="169"/>
      <c r="AT1296" s="169"/>
    </row>
    <row r="1297" spans="10:46">
      <c r="J1297" s="64"/>
      <c r="K1297" s="64"/>
      <c r="L1297" s="64"/>
      <c r="M1297" s="64"/>
      <c r="N1297" s="64"/>
      <c r="O1297" s="64"/>
      <c r="P1297" s="64"/>
      <c r="Q1297" s="64"/>
      <c r="R1297" s="64"/>
      <c r="S1297" s="64"/>
      <c r="T1297" s="64"/>
      <c r="U1297" s="64"/>
      <c r="V1297" s="64"/>
      <c r="W1297" s="64"/>
      <c r="X1297" s="64"/>
      <c r="Y1297" s="64"/>
      <c r="Z1297" s="64"/>
      <c r="AA1297" s="64"/>
      <c r="AB1297" s="64"/>
      <c r="AC1297" s="64"/>
      <c r="AD1297" s="64"/>
      <c r="AE1297" s="64"/>
      <c r="AF1297" s="64"/>
      <c r="AG1297" s="64"/>
      <c r="AH1297" s="64"/>
      <c r="AI1297" s="64"/>
      <c r="AJ1297" s="64"/>
      <c r="AK1297" s="64"/>
      <c r="AL1297" s="64"/>
      <c r="AM1297" s="169"/>
      <c r="AN1297" s="169"/>
      <c r="AO1297" s="169"/>
      <c r="AP1297" s="169"/>
      <c r="AQ1297" s="169"/>
      <c r="AR1297" s="169"/>
      <c r="AS1297" s="169"/>
      <c r="AT1297" s="169"/>
    </row>
    <row r="1298" spans="10:46">
      <c r="J1298" s="64"/>
      <c r="K1298" s="64"/>
      <c r="L1298" s="64"/>
      <c r="M1298" s="64"/>
      <c r="N1298" s="64"/>
      <c r="O1298" s="64"/>
      <c r="P1298" s="64"/>
      <c r="Q1298" s="64"/>
      <c r="R1298" s="64"/>
      <c r="S1298" s="64"/>
      <c r="T1298" s="64"/>
      <c r="U1298" s="64"/>
      <c r="V1298" s="64"/>
      <c r="W1298" s="64"/>
      <c r="X1298" s="64"/>
      <c r="Y1298" s="64"/>
      <c r="Z1298" s="64"/>
      <c r="AA1298" s="64"/>
      <c r="AB1298" s="64"/>
      <c r="AC1298" s="64"/>
      <c r="AD1298" s="64"/>
      <c r="AE1298" s="64"/>
      <c r="AF1298" s="64"/>
      <c r="AG1298" s="64"/>
      <c r="AH1298" s="64"/>
      <c r="AI1298" s="64"/>
      <c r="AJ1298" s="64"/>
      <c r="AK1298" s="64"/>
      <c r="AL1298" s="64"/>
      <c r="AM1298" s="169"/>
      <c r="AN1298" s="169"/>
      <c r="AO1298" s="169"/>
      <c r="AP1298" s="169"/>
      <c r="AQ1298" s="169"/>
      <c r="AR1298" s="169"/>
      <c r="AS1298" s="169"/>
      <c r="AT1298" s="169"/>
    </row>
    <row r="1299" spans="10:46">
      <c r="J1299" s="64"/>
      <c r="K1299" s="64"/>
      <c r="L1299" s="64"/>
      <c r="M1299" s="64"/>
      <c r="N1299" s="64"/>
      <c r="O1299" s="64"/>
      <c r="P1299" s="64"/>
      <c r="Q1299" s="64"/>
      <c r="R1299" s="64"/>
      <c r="S1299" s="64"/>
      <c r="T1299" s="64"/>
      <c r="U1299" s="64"/>
      <c r="V1299" s="64"/>
      <c r="W1299" s="64"/>
      <c r="X1299" s="64"/>
      <c r="Y1299" s="64"/>
      <c r="Z1299" s="64"/>
      <c r="AA1299" s="64"/>
      <c r="AB1299" s="64"/>
      <c r="AC1299" s="64"/>
      <c r="AD1299" s="64"/>
      <c r="AE1299" s="64"/>
      <c r="AF1299" s="64"/>
      <c r="AG1299" s="64"/>
      <c r="AH1299" s="64"/>
      <c r="AI1299" s="64"/>
      <c r="AJ1299" s="64"/>
      <c r="AK1299" s="64"/>
      <c r="AL1299" s="64"/>
      <c r="AM1299" s="169"/>
      <c r="AN1299" s="169"/>
      <c r="AO1299" s="169"/>
      <c r="AP1299" s="169"/>
      <c r="AQ1299" s="169"/>
      <c r="AR1299" s="169"/>
      <c r="AS1299" s="169"/>
      <c r="AT1299" s="169"/>
    </row>
    <row r="1300" spans="10:46">
      <c r="J1300" s="64"/>
      <c r="K1300" s="64"/>
      <c r="L1300" s="64"/>
      <c r="M1300" s="64"/>
      <c r="N1300" s="64"/>
      <c r="O1300" s="64"/>
      <c r="P1300" s="64"/>
      <c r="Q1300" s="64"/>
      <c r="R1300" s="64"/>
      <c r="S1300" s="64"/>
      <c r="T1300" s="64"/>
      <c r="U1300" s="64"/>
      <c r="V1300" s="64"/>
      <c r="W1300" s="64"/>
      <c r="X1300" s="64"/>
      <c r="Y1300" s="64"/>
      <c r="Z1300" s="64"/>
      <c r="AA1300" s="64"/>
      <c r="AB1300" s="64"/>
      <c r="AC1300" s="64"/>
      <c r="AD1300" s="64"/>
      <c r="AE1300" s="64"/>
      <c r="AF1300" s="64"/>
      <c r="AG1300" s="64"/>
      <c r="AH1300" s="64"/>
      <c r="AI1300" s="64"/>
      <c r="AJ1300" s="64"/>
      <c r="AK1300" s="64"/>
      <c r="AL1300" s="64"/>
      <c r="AM1300" s="169"/>
      <c r="AN1300" s="169"/>
      <c r="AO1300" s="169"/>
      <c r="AP1300" s="169"/>
      <c r="AQ1300" s="169"/>
      <c r="AR1300" s="169"/>
      <c r="AS1300" s="169"/>
      <c r="AT1300" s="169"/>
    </row>
    <row r="1301" spans="10:46">
      <c r="J1301" s="64"/>
      <c r="K1301" s="64"/>
      <c r="L1301" s="64"/>
      <c r="M1301" s="64"/>
      <c r="N1301" s="64"/>
      <c r="O1301" s="64"/>
      <c r="P1301" s="64"/>
      <c r="Q1301" s="64"/>
      <c r="R1301" s="64"/>
      <c r="S1301" s="64"/>
      <c r="T1301" s="64"/>
      <c r="U1301" s="64"/>
      <c r="V1301" s="64"/>
      <c r="W1301" s="64"/>
      <c r="X1301" s="64"/>
      <c r="Y1301" s="64"/>
      <c r="Z1301" s="64"/>
      <c r="AA1301" s="64"/>
      <c r="AB1301" s="64"/>
      <c r="AC1301" s="64"/>
      <c r="AD1301" s="64"/>
      <c r="AE1301" s="64"/>
      <c r="AF1301" s="64"/>
      <c r="AG1301" s="64"/>
      <c r="AH1301" s="64"/>
      <c r="AI1301" s="64"/>
      <c r="AJ1301" s="64"/>
      <c r="AK1301" s="64"/>
      <c r="AL1301" s="64"/>
      <c r="AM1301" s="169"/>
      <c r="AN1301" s="169"/>
      <c r="AO1301" s="169"/>
      <c r="AP1301" s="169"/>
      <c r="AQ1301" s="169"/>
      <c r="AR1301" s="169"/>
      <c r="AS1301" s="169"/>
      <c r="AT1301" s="169"/>
    </row>
    <row r="1302" spans="10:46">
      <c r="J1302" s="64"/>
      <c r="K1302" s="64"/>
      <c r="L1302" s="64"/>
      <c r="M1302" s="64"/>
      <c r="N1302" s="64"/>
      <c r="O1302" s="64"/>
      <c r="P1302" s="64"/>
      <c r="Q1302" s="64"/>
      <c r="R1302" s="64"/>
      <c r="S1302" s="64"/>
      <c r="T1302" s="64"/>
      <c r="U1302" s="64"/>
      <c r="V1302" s="64"/>
      <c r="W1302" s="64"/>
      <c r="X1302" s="64"/>
      <c r="Y1302" s="64"/>
      <c r="Z1302" s="64"/>
      <c r="AA1302" s="64"/>
      <c r="AB1302" s="64"/>
      <c r="AC1302" s="64"/>
      <c r="AD1302" s="64"/>
      <c r="AE1302" s="64"/>
      <c r="AF1302" s="64"/>
      <c r="AG1302" s="64"/>
      <c r="AH1302" s="64"/>
      <c r="AI1302" s="64"/>
      <c r="AJ1302" s="64"/>
      <c r="AK1302" s="64"/>
      <c r="AL1302" s="64"/>
      <c r="AM1302" s="169"/>
      <c r="AN1302" s="169"/>
      <c r="AO1302" s="169"/>
      <c r="AP1302" s="169"/>
      <c r="AQ1302" s="169"/>
      <c r="AR1302" s="169"/>
      <c r="AS1302" s="169"/>
      <c r="AT1302" s="169"/>
    </row>
    <row r="1303" spans="10:46">
      <c r="J1303" s="64"/>
      <c r="K1303" s="64"/>
      <c r="L1303" s="64"/>
      <c r="M1303" s="64"/>
      <c r="N1303" s="64"/>
      <c r="O1303" s="64"/>
      <c r="P1303" s="64"/>
      <c r="Q1303" s="64"/>
      <c r="R1303" s="64"/>
      <c r="S1303" s="64"/>
      <c r="T1303" s="64"/>
      <c r="U1303" s="64"/>
      <c r="V1303" s="64"/>
      <c r="W1303" s="64"/>
      <c r="X1303" s="64"/>
      <c r="Y1303" s="64"/>
      <c r="Z1303" s="64"/>
      <c r="AA1303" s="64"/>
      <c r="AB1303" s="64"/>
      <c r="AC1303" s="64"/>
      <c r="AD1303" s="64"/>
      <c r="AE1303" s="64"/>
      <c r="AF1303" s="64"/>
      <c r="AG1303" s="64"/>
      <c r="AH1303" s="64"/>
      <c r="AI1303" s="64"/>
      <c r="AJ1303" s="64"/>
      <c r="AK1303" s="64"/>
      <c r="AL1303" s="64"/>
      <c r="AM1303" s="169"/>
      <c r="AN1303" s="169"/>
      <c r="AO1303" s="169"/>
      <c r="AP1303" s="169"/>
      <c r="AQ1303" s="169"/>
      <c r="AR1303" s="169"/>
      <c r="AS1303" s="169"/>
      <c r="AT1303" s="169"/>
    </row>
    <row r="1304" spans="10:46">
      <c r="J1304" s="64"/>
      <c r="K1304" s="64"/>
      <c r="L1304" s="64"/>
      <c r="M1304" s="64"/>
      <c r="N1304" s="64"/>
      <c r="O1304" s="64"/>
      <c r="P1304" s="64"/>
      <c r="Q1304" s="64"/>
      <c r="R1304" s="64"/>
      <c r="S1304" s="64"/>
      <c r="T1304" s="64"/>
      <c r="U1304" s="64"/>
      <c r="V1304" s="64"/>
      <c r="W1304" s="64"/>
      <c r="X1304" s="64"/>
      <c r="Y1304" s="64"/>
      <c r="Z1304" s="64"/>
      <c r="AA1304" s="64"/>
      <c r="AB1304" s="64"/>
      <c r="AC1304" s="64"/>
      <c r="AD1304" s="64"/>
      <c r="AE1304" s="64"/>
      <c r="AF1304" s="64"/>
      <c r="AG1304" s="64"/>
      <c r="AH1304" s="64"/>
      <c r="AI1304" s="64"/>
      <c r="AJ1304" s="64"/>
      <c r="AK1304" s="64"/>
      <c r="AL1304" s="64"/>
      <c r="AM1304" s="169"/>
      <c r="AN1304" s="169"/>
      <c r="AO1304" s="169"/>
      <c r="AP1304" s="169"/>
      <c r="AQ1304" s="169"/>
      <c r="AR1304" s="169"/>
      <c r="AS1304" s="169"/>
      <c r="AT1304" s="169"/>
    </row>
    <row r="1305" spans="10:46">
      <c r="J1305" s="64"/>
      <c r="K1305" s="64"/>
      <c r="L1305" s="64"/>
      <c r="M1305" s="64"/>
      <c r="N1305" s="64"/>
      <c r="O1305" s="64"/>
      <c r="P1305" s="64"/>
      <c r="Q1305" s="64"/>
      <c r="R1305" s="64"/>
      <c r="S1305" s="64"/>
      <c r="T1305" s="64"/>
      <c r="U1305" s="64"/>
      <c r="V1305" s="64"/>
      <c r="W1305" s="64"/>
      <c r="X1305" s="64"/>
      <c r="Y1305" s="64"/>
      <c r="Z1305" s="64"/>
      <c r="AA1305" s="64"/>
      <c r="AB1305" s="64"/>
      <c r="AC1305" s="64"/>
      <c r="AD1305" s="64"/>
      <c r="AE1305" s="64"/>
      <c r="AF1305" s="64"/>
      <c r="AG1305" s="64"/>
      <c r="AH1305" s="64"/>
      <c r="AI1305" s="64"/>
      <c r="AJ1305" s="64"/>
      <c r="AK1305" s="64"/>
      <c r="AL1305" s="64"/>
      <c r="AM1305" s="169"/>
      <c r="AN1305" s="169"/>
      <c r="AO1305" s="169"/>
      <c r="AP1305" s="169"/>
      <c r="AQ1305" s="169"/>
      <c r="AR1305" s="169"/>
      <c r="AS1305" s="169"/>
      <c r="AT1305" s="169"/>
    </row>
    <row r="1306" spans="10:46">
      <c r="J1306" s="64"/>
      <c r="K1306" s="64"/>
      <c r="L1306" s="64"/>
      <c r="M1306" s="64"/>
      <c r="N1306" s="64"/>
      <c r="O1306" s="64"/>
      <c r="P1306" s="64"/>
      <c r="Q1306" s="64"/>
      <c r="R1306" s="64"/>
      <c r="S1306" s="64"/>
      <c r="T1306" s="64"/>
      <c r="U1306" s="64"/>
      <c r="V1306" s="64"/>
      <c r="W1306" s="64"/>
      <c r="X1306" s="64"/>
      <c r="Y1306" s="64"/>
      <c r="Z1306" s="64"/>
      <c r="AA1306" s="64"/>
      <c r="AB1306" s="64"/>
      <c r="AC1306" s="64"/>
      <c r="AD1306" s="64"/>
      <c r="AE1306" s="64"/>
      <c r="AF1306" s="64"/>
      <c r="AG1306" s="64"/>
      <c r="AH1306" s="64"/>
      <c r="AI1306" s="64"/>
      <c r="AJ1306" s="64"/>
      <c r="AK1306" s="64"/>
      <c r="AL1306" s="64"/>
      <c r="AM1306" s="169"/>
      <c r="AN1306" s="169"/>
      <c r="AO1306" s="169"/>
      <c r="AP1306" s="169"/>
      <c r="AQ1306" s="169"/>
      <c r="AR1306" s="169"/>
      <c r="AS1306" s="169"/>
      <c r="AT1306" s="169"/>
    </row>
    <row r="1307" spans="10:46">
      <c r="J1307" s="64"/>
      <c r="K1307" s="64"/>
      <c r="L1307" s="64"/>
      <c r="M1307" s="64"/>
      <c r="N1307" s="64"/>
      <c r="O1307" s="64"/>
      <c r="P1307" s="64"/>
      <c r="Q1307" s="64"/>
      <c r="R1307" s="64"/>
      <c r="S1307" s="64"/>
      <c r="T1307" s="64"/>
      <c r="U1307" s="64"/>
      <c r="V1307" s="64"/>
      <c r="W1307" s="64"/>
      <c r="X1307" s="64"/>
      <c r="Y1307" s="64"/>
      <c r="Z1307" s="64"/>
      <c r="AA1307" s="64"/>
      <c r="AB1307" s="64"/>
      <c r="AC1307" s="64"/>
      <c r="AD1307" s="64"/>
      <c r="AE1307" s="64"/>
      <c r="AF1307" s="64"/>
      <c r="AG1307" s="64"/>
      <c r="AH1307" s="64"/>
      <c r="AI1307" s="64"/>
      <c r="AJ1307" s="64"/>
      <c r="AK1307" s="64"/>
      <c r="AL1307" s="64"/>
      <c r="AM1307" s="169"/>
      <c r="AN1307" s="169"/>
      <c r="AO1307" s="169"/>
      <c r="AP1307" s="169"/>
      <c r="AQ1307" s="169"/>
      <c r="AR1307" s="169"/>
      <c r="AS1307" s="169"/>
      <c r="AT1307" s="169"/>
    </row>
    <row r="1308" spans="10:46">
      <c r="J1308" s="64"/>
      <c r="K1308" s="64"/>
      <c r="L1308" s="64"/>
      <c r="M1308" s="64"/>
      <c r="N1308" s="64"/>
      <c r="O1308" s="64"/>
      <c r="P1308" s="64"/>
      <c r="Q1308" s="64"/>
      <c r="R1308" s="64"/>
      <c r="S1308" s="64"/>
      <c r="T1308" s="64"/>
      <c r="U1308" s="64"/>
      <c r="V1308" s="64"/>
      <c r="W1308" s="64"/>
      <c r="X1308" s="64"/>
      <c r="Y1308" s="64"/>
      <c r="Z1308" s="64"/>
      <c r="AA1308" s="64"/>
      <c r="AB1308" s="64"/>
      <c r="AC1308" s="64"/>
      <c r="AD1308" s="64"/>
      <c r="AE1308" s="64"/>
      <c r="AF1308" s="64"/>
      <c r="AG1308" s="64"/>
      <c r="AH1308" s="64"/>
      <c r="AI1308" s="64"/>
      <c r="AJ1308" s="64"/>
      <c r="AK1308" s="64"/>
      <c r="AL1308" s="64"/>
      <c r="AM1308" s="169"/>
      <c r="AN1308" s="169"/>
      <c r="AO1308" s="169"/>
      <c r="AP1308" s="169"/>
      <c r="AQ1308" s="169"/>
      <c r="AR1308" s="169"/>
      <c r="AS1308" s="169"/>
      <c r="AT1308" s="169"/>
    </row>
    <row r="1309" spans="10:46">
      <c r="J1309" s="64"/>
      <c r="K1309" s="64"/>
      <c r="L1309" s="64"/>
      <c r="M1309" s="64"/>
      <c r="N1309" s="64"/>
      <c r="O1309" s="64"/>
      <c r="P1309" s="64"/>
      <c r="Q1309" s="64"/>
      <c r="R1309" s="64"/>
      <c r="S1309" s="64"/>
      <c r="T1309" s="64"/>
      <c r="U1309" s="64"/>
      <c r="V1309" s="64"/>
      <c r="W1309" s="64"/>
      <c r="X1309" s="64"/>
      <c r="Y1309" s="64"/>
      <c r="Z1309" s="64"/>
      <c r="AA1309" s="64"/>
      <c r="AB1309" s="64"/>
      <c r="AC1309" s="64"/>
      <c r="AD1309" s="64"/>
      <c r="AE1309" s="64"/>
      <c r="AF1309" s="64"/>
      <c r="AG1309" s="64"/>
      <c r="AH1309" s="64"/>
      <c r="AI1309" s="64"/>
      <c r="AJ1309" s="64"/>
      <c r="AK1309" s="64"/>
      <c r="AL1309" s="64"/>
      <c r="AM1309" s="169"/>
      <c r="AN1309" s="169"/>
      <c r="AO1309" s="169"/>
      <c r="AP1309" s="169"/>
      <c r="AQ1309" s="169"/>
      <c r="AR1309" s="169"/>
      <c r="AS1309" s="169"/>
      <c r="AT1309" s="169"/>
    </row>
    <row r="1310" spans="10:46">
      <c r="J1310" s="64"/>
      <c r="K1310" s="64"/>
      <c r="L1310" s="64"/>
      <c r="M1310" s="64"/>
      <c r="N1310" s="64"/>
      <c r="O1310" s="64"/>
      <c r="P1310" s="64"/>
      <c r="Q1310" s="64"/>
      <c r="R1310" s="64"/>
      <c r="S1310" s="64"/>
      <c r="T1310" s="64"/>
      <c r="U1310" s="64"/>
      <c r="V1310" s="64"/>
      <c r="W1310" s="64"/>
      <c r="X1310" s="64"/>
      <c r="Y1310" s="64"/>
      <c r="Z1310" s="64"/>
      <c r="AA1310" s="64"/>
      <c r="AB1310" s="64"/>
      <c r="AC1310" s="64"/>
      <c r="AD1310" s="64"/>
      <c r="AE1310" s="64"/>
      <c r="AF1310" s="64"/>
      <c r="AG1310" s="64"/>
      <c r="AH1310" s="64"/>
      <c r="AI1310" s="64"/>
      <c r="AJ1310" s="64"/>
      <c r="AK1310" s="64"/>
      <c r="AL1310" s="64"/>
      <c r="AM1310" s="169"/>
      <c r="AN1310" s="169"/>
      <c r="AO1310" s="169"/>
      <c r="AP1310" s="169"/>
      <c r="AQ1310" s="169"/>
      <c r="AR1310" s="169"/>
      <c r="AS1310" s="169"/>
      <c r="AT1310" s="169"/>
    </row>
    <row r="1311" spans="10:46">
      <c r="J1311" s="64"/>
      <c r="K1311" s="64"/>
      <c r="L1311" s="64"/>
      <c r="M1311" s="64"/>
      <c r="N1311" s="64"/>
      <c r="O1311" s="64"/>
      <c r="P1311" s="64"/>
      <c r="Q1311" s="64"/>
      <c r="R1311" s="64"/>
      <c r="S1311" s="64"/>
      <c r="T1311" s="64"/>
      <c r="U1311" s="64"/>
      <c r="V1311" s="64"/>
      <c r="W1311" s="64"/>
      <c r="X1311" s="64"/>
      <c r="Y1311" s="64"/>
      <c r="Z1311" s="64"/>
      <c r="AA1311" s="64"/>
      <c r="AB1311" s="64"/>
      <c r="AC1311" s="64"/>
      <c r="AD1311" s="64"/>
      <c r="AE1311" s="64"/>
      <c r="AF1311" s="64"/>
      <c r="AG1311" s="64"/>
      <c r="AH1311" s="64"/>
      <c r="AI1311" s="64"/>
      <c r="AJ1311" s="64"/>
      <c r="AK1311" s="64"/>
      <c r="AL1311" s="64"/>
      <c r="AM1311" s="169"/>
      <c r="AN1311" s="169"/>
      <c r="AO1311" s="169"/>
      <c r="AP1311" s="169"/>
      <c r="AQ1311" s="169"/>
      <c r="AR1311" s="169"/>
      <c r="AS1311" s="169"/>
      <c r="AT1311" s="169"/>
    </row>
    <row r="1312" spans="10:46">
      <c r="J1312" s="64"/>
      <c r="K1312" s="64"/>
      <c r="L1312" s="64"/>
      <c r="M1312" s="64"/>
      <c r="N1312" s="64"/>
      <c r="O1312" s="64"/>
      <c r="P1312" s="64"/>
      <c r="Q1312" s="64"/>
      <c r="R1312" s="64"/>
      <c r="S1312" s="64"/>
      <c r="T1312" s="64"/>
      <c r="U1312" s="64"/>
      <c r="V1312" s="64"/>
      <c r="W1312" s="64"/>
      <c r="X1312" s="64"/>
      <c r="Y1312" s="64"/>
      <c r="Z1312" s="64"/>
      <c r="AA1312" s="64"/>
      <c r="AB1312" s="64"/>
      <c r="AC1312" s="64"/>
      <c r="AD1312" s="64"/>
      <c r="AE1312" s="64"/>
      <c r="AF1312" s="64"/>
      <c r="AG1312" s="64"/>
      <c r="AH1312" s="64"/>
      <c r="AI1312" s="64"/>
      <c r="AJ1312" s="64"/>
      <c r="AK1312" s="64"/>
      <c r="AL1312" s="64"/>
      <c r="AM1312" s="169"/>
      <c r="AN1312" s="169"/>
      <c r="AO1312" s="169"/>
      <c r="AP1312" s="169"/>
      <c r="AQ1312" s="169"/>
      <c r="AR1312" s="169"/>
      <c r="AS1312" s="169"/>
      <c r="AT1312" s="169"/>
    </row>
    <row r="1313" spans="10:46">
      <c r="J1313" s="64"/>
      <c r="K1313" s="64"/>
      <c r="L1313" s="64"/>
      <c r="M1313" s="64"/>
      <c r="N1313" s="64"/>
      <c r="O1313" s="64"/>
      <c r="P1313" s="64"/>
      <c r="Q1313" s="64"/>
      <c r="R1313" s="64"/>
      <c r="S1313" s="64"/>
      <c r="T1313" s="64"/>
      <c r="U1313" s="64"/>
      <c r="V1313" s="64"/>
      <c r="W1313" s="64"/>
      <c r="X1313" s="64"/>
      <c r="Y1313" s="64"/>
      <c r="Z1313" s="64"/>
      <c r="AA1313" s="64"/>
      <c r="AB1313" s="64"/>
      <c r="AC1313" s="64"/>
      <c r="AD1313" s="64"/>
      <c r="AE1313" s="64"/>
      <c r="AF1313" s="64"/>
      <c r="AG1313" s="64"/>
      <c r="AH1313" s="64"/>
      <c r="AI1313" s="64"/>
      <c r="AJ1313" s="64"/>
      <c r="AK1313" s="64"/>
      <c r="AL1313" s="64"/>
      <c r="AM1313" s="169"/>
      <c r="AN1313" s="169"/>
      <c r="AO1313" s="169"/>
      <c r="AP1313" s="169"/>
      <c r="AQ1313" s="169"/>
      <c r="AR1313" s="169"/>
      <c r="AS1313" s="169"/>
      <c r="AT1313" s="169"/>
    </row>
    <row r="1314" spans="10:46">
      <c r="J1314" s="64"/>
      <c r="K1314" s="64"/>
      <c r="L1314" s="64"/>
      <c r="M1314" s="64"/>
      <c r="N1314" s="64"/>
      <c r="O1314" s="64"/>
      <c r="P1314" s="64"/>
      <c r="Q1314" s="64"/>
      <c r="R1314" s="64"/>
      <c r="S1314" s="64"/>
      <c r="T1314" s="64"/>
      <c r="U1314" s="64"/>
      <c r="V1314" s="64"/>
      <c r="W1314" s="64"/>
      <c r="X1314" s="64"/>
      <c r="Y1314" s="64"/>
      <c r="Z1314" s="64"/>
      <c r="AA1314" s="64"/>
      <c r="AB1314" s="64"/>
      <c r="AC1314" s="64"/>
      <c r="AD1314" s="64"/>
      <c r="AE1314" s="64"/>
      <c r="AF1314" s="64"/>
      <c r="AG1314" s="64"/>
      <c r="AH1314" s="64"/>
      <c r="AI1314" s="64"/>
      <c r="AJ1314" s="64"/>
      <c r="AK1314" s="64"/>
      <c r="AL1314" s="64"/>
      <c r="AM1314" s="169"/>
      <c r="AN1314" s="169"/>
      <c r="AO1314" s="169"/>
      <c r="AP1314" s="169"/>
      <c r="AQ1314" s="169"/>
      <c r="AR1314" s="169"/>
      <c r="AS1314" s="169"/>
      <c r="AT1314" s="169"/>
    </row>
    <row r="1315" spans="10:46">
      <c r="J1315" s="64"/>
      <c r="K1315" s="64"/>
      <c r="L1315" s="64"/>
      <c r="M1315" s="64"/>
      <c r="N1315" s="64"/>
      <c r="O1315" s="64"/>
      <c r="P1315" s="64"/>
      <c r="Q1315" s="64"/>
      <c r="R1315" s="64"/>
      <c r="S1315" s="64"/>
      <c r="T1315" s="64"/>
      <c r="U1315" s="64"/>
      <c r="V1315" s="64"/>
      <c r="W1315" s="64"/>
      <c r="X1315" s="64"/>
      <c r="Y1315" s="64"/>
      <c r="Z1315" s="64"/>
      <c r="AA1315" s="64"/>
      <c r="AB1315" s="64"/>
      <c r="AC1315" s="64"/>
      <c r="AD1315" s="64"/>
      <c r="AE1315" s="64"/>
      <c r="AF1315" s="64"/>
      <c r="AG1315" s="64"/>
      <c r="AH1315" s="64"/>
      <c r="AI1315" s="64"/>
      <c r="AJ1315" s="64"/>
      <c r="AK1315" s="64"/>
      <c r="AL1315" s="64"/>
      <c r="AM1315" s="169"/>
      <c r="AN1315" s="169"/>
      <c r="AO1315" s="169"/>
      <c r="AP1315" s="169"/>
      <c r="AQ1315" s="169"/>
      <c r="AR1315" s="169"/>
      <c r="AS1315" s="169"/>
      <c r="AT1315" s="169"/>
    </row>
    <row r="1316" spans="10:46">
      <c r="J1316" s="64"/>
      <c r="K1316" s="64"/>
      <c r="L1316" s="64"/>
      <c r="M1316" s="64"/>
      <c r="N1316" s="64"/>
      <c r="O1316" s="64"/>
      <c r="P1316" s="64"/>
      <c r="Q1316" s="64"/>
      <c r="R1316" s="64"/>
      <c r="S1316" s="64"/>
      <c r="T1316" s="64"/>
      <c r="U1316" s="64"/>
      <c r="V1316" s="64"/>
      <c r="W1316" s="64"/>
      <c r="X1316" s="64"/>
      <c r="Y1316" s="64"/>
      <c r="Z1316" s="64"/>
      <c r="AA1316" s="64"/>
      <c r="AB1316" s="64"/>
      <c r="AC1316" s="64"/>
      <c r="AD1316" s="64"/>
      <c r="AE1316" s="64"/>
      <c r="AF1316" s="64"/>
      <c r="AG1316" s="64"/>
      <c r="AH1316" s="64"/>
      <c r="AI1316" s="64"/>
      <c r="AJ1316" s="64"/>
      <c r="AK1316" s="64"/>
      <c r="AL1316" s="64"/>
      <c r="AM1316" s="169"/>
      <c r="AN1316" s="169"/>
      <c r="AO1316" s="169"/>
      <c r="AP1316" s="169"/>
      <c r="AQ1316" s="169"/>
      <c r="AR1316" s="169"/>
      <c r="AS1316" s="169"/>
      <c r="AT1316" s="169"/>
    </row>
    <row r="1317" spans="10:46">
      <c r="J1317" s="64"/>
      <c r="K1317" s="64"/>
      <c r="L1317" s="64"/>
      <c r="M1317" s="64"/>
      <c r="N1317" s="64"/>
      <c r="O1317" s="64"/>
      <c r="P1317" s="64"/>
      <c r="Q1317" s="64"/>
      <c r="R1317" s="64"/>
      <c r="S1317" s="64"/>
      <c r="T1317" s="64"/>
      <c r="U1317" s="64"/>
      <c r="V1317" s="64"/>
      <c r="W1317" s="64"/>
      <c r="X1317" s="64"/>
      <c r="Y1317" s="64"/>
      <c r="Z1317" s="64"/>
      <c r="AA1317" s="64"/>
      <c r="AB1317" s="64"/>
      <c r="AC1317" s="64"/>
      <c r="AD1317" s="64"/>
      <c r="AE1317" s="64"/>
      <c r="AF1317" s="64"/>
      <c r="AG1317" s="64"/>
      <c r="AH1317" s="64"/>
      <c r="AI1317" s="64"/>
      <c r="AJ1317" s="64"/>
      <c r="AK1317" s="64"/>
      <c r="AL1317" s="64"/>
      <c r="AM1317" s="169"/>
      <c r="AN1317" s="169"/>
      <c r="AO1317" s="169"/>
      <c r="AP1317" s="169"/>
      <c r="AQ1317" s="169"/>
      <c r="AR1317" s="169"/>
      <c r="AS1317" s="169"/>
      <c r="AT1317" s="169"/>
    </row>
    <row r="1318" spans="10:46">
      <c r="J1318" s="64"/>
      <c r="K1318" s="64"/>
      <c r="L1318" s="64"/>
      <c r="M1318" s="64"/>
      <c r="N1318" s="64"/>
      <c r="O1318" s="64"/>
      <c r="P1318" s="64"/>
      <c r="Q1318" s="64"/>
      <c r="R1318" s="64"/>
      <c r="S1318" s="64"/>
      <c r="T1318" s="64"/>
      <c r="U1318" s="64"/>
      <c r="V1318" s="64"/>
      <c r="W1318" s="64"/>
      <c r="X1318" s="64"/>
      <c r="Y1318" s="64"/>
      <c r="Z1318" s="64"/>
      <c r="AA1318" s="64"/>
      <c r="AB1318" s="64"/>
      <c r="AC1318" s="64"/>
      <c r="AD1318" s="64"/>
      <c r="AE1318" s="64"/>
      <c r="AF1318" s="64"/>
      <c r="AG1318" s="64"/>
      <c r="AH1318" s="64"/>
      <c r="AI1318" s="64"/>
      <c r="AJ1318" s="64"/>
      <c r="AK1318" s="64"/>
      <c r="AL1318" s="64"/>
      <c r="AM1318" s="169"/>
      <c r="AN1318" s="169"/>
      <c r="AO1318" s="169"/>
      <c r="AP1318" s="169"/>
      <c r="AQ1318" s="169"/>
      <c r="AR1318" s="169"/>
      <c r="AS1318" s="169"/>
      <c r="AT1318" s="169"/>
    </row>
    <row r="1319" spans="10:46">
      <c r="J1319" s="64"/>
      <c r="K1319" s="64"/>
      <c r="L1319" s="64"/>
      <c r="M1319" s="64"/>
      <c r="N1319" s="64"/>
      <c r="O1319" s="64"/>
      <c r="P1319" s="64"/>
      <c r="Q1319" s="64"/>
      <c r="R1319" s="64"/>
      <c r="S1319" s="64"/>
      <c r="T1319" s="64"/>
      <c r="U1319" s="64"/>
      <c r="V1319" s="64"/>
      <c r="W1319" s="64"/>
      <c r="X1319" s="64"/>
      <c r="Y1319" s="64"/>
      <c r="Z1319" s="64"/>
      <c r="AA1319" s="64"/>
      <c r="AB1319" s="64"/>
      <c r="AC1319" s="64"/>
      <c r="AD1319" s="64"/>
      <c r="AE1319" s="64"/>
      <c r="AF1319" s="64"/>
      <c r="AG1319" s="64"/>
      <c r="AH1319" s="64"/>
      <c r="AI1319" s="64"/>
      <c r="AJ1319" s="64"/>
      <c r="AK1319" s="64"/>
      <c r="AL1319" s="64"/>
      <c r="AM1319" s="169"/>
      <c r="AN1319" s="169"/>
      <c r="AO1319" s="169"/>
      <c r="AP1319" s="169"/>
      <c r="AQ1319" s="169"/>
      <c r="AR1319" s="169"/>
      <c r="AS1319" s="169"/>
      <c r="AT1319" s="169"/>
    </row>
    <row r="1320" spans="10:46">
      <c r="J1320" s="64"/>
      <c r="K1320" s="64"/>
      <c r="L1320" s="64"/>
      <c r="M1320" s="64"/>
      <c r="N1320" s="64"/>
      <c r="O1320" s="64"/>
      <c r="P1320" s="64"/>
      <c r="Q1320" s="64"/>
      <c r="R1320" s="64"/>
      <c r="S1320" s="64"/>
      <c r="T1320" s="64"/>
      <c r="U1320" s="64"/>
      <c r="V1320" s="64"/>
      <c r="W1320" s="64"/>
      <c r="X1320" s="64"/>
      <c r="Y1320" s="64"/>
      <c r="Z1320" s="64"/>
      <c r="AA1320" s="64"/>
      <c r="AB1320" s="64"/>
      <c r="AC1320" s="64"/>
      <c r="AD1320" s="64"/>
      <c r="AE1320" s="64"/>
      <c r="AF1320" s="64"/>
      <c r="AG1320" s="64"/>
      <c r="AH1320" s="64"/>
      <c r="AI1320" s="64"/>
      <c r="AJ1320" s="64"/>
      <c r="AK1320" s="64"/>
      <c r="AL1320" s="64"/>
      <c r="AM1320" s="169"/>
      <c r="AN1320" s="169"/>
      <c r="AO1320" s="169"/>
      <c r="AP1320" s="169"/>
      <c r="AQ1320" s="169"/>
      <c r="AR1320" s="169"/>
      <c r="AS1320" s="169"/>
      <c r="AT1320" s="169"/>
    </row>
    <row r="1321" spans="10:46">
      <c r="J1321" s="64"/>
      <c r="K1321" s="64"/>
      <c r="L1321" s="64"/>
      <c r="M1321" s="64"/>
      <c r="N1321" s="64"/>
      <c r="O1321" s="64"/>
      <c r="P1321" s="64"/>
      <c r="Q1321" s="64"/>
      <c r="R1321" s="64"/>
      <c r="S1321" s="64"/>
      <c r="T1321" s="64"/>
      <c r="U1321" s="64"/>
      <c r="V1321" s="64"/>
      <c r="W1321" s="64"/>
      <c r="X1321" s="64"/>
      <c r="Y1321" s="64"/>
      <c r="Z1321" s="64"/>
      <c r="AA1321" s="64"/>
      <c r="AB1321" s="64"/>
      <c r="AC1321" s="64"/>
      <c r="AD1321" s="64"/>
      <c r="AE1321" s="64"/>
      <c r="AF1321" s="64"/>
      <c r="AG1321" s="64"/>
      <c r="AH1321" s="64"/>
      <c r="AI1321" s="64"/>
      <c r="AJ1321" s="64"/>
      <c r="AK1321" s="64"/>
      <c r="AL1321" s="64"/>
      <c r="AM1321" s="169"/>
      <c r="AN1321" s="169"/>
      <c r="AO1321" s="169"/>
      <c r="AP1321" s="169"/>
      <c r="AQ1321" s="169"/>
      <c r="AR1321" s="169"/>
      <c r="AS1321" s="169"/>
      <c r="AT1321" s="169"/>
    </row>
    <row r="1322" spans="10:46">
      <c r="J1322" s="64"/>
      <c r="K1322" s="64"/>
      <c r="L1322" s="64"/>
      <c r="M1322" s="64"/>
      <c r="N1322" s="64"/>
      <c r="O1322" s="64"/>
      <c r="P1322" s="64"/>
      <c r="Q1322" s="64"/>
      <c r="R1322" s="64"/>
      <c r="S1322" s="64"/>
      <c r="T1322" s="64"/>
      <c r="U1322" s="64"/>
      <c r="V1322" s="64"/>
      <c r="W1322" s="64"/>
      <c r="X1322" s="64"/>
      <c r="Y1322" s="64"/>
      <c r="Z1322" s="64"/>
      <c r="AA1322" s="64"/>
      <c r="AB1322" s="64"/>
      <c r="AC1322" s="64"/>
      <c r="AD1322" s="64"/>
      <c r="AE1322" s="64"/>
      <c r="AF1322" s="64"/>
      <c r="AG1322" s="64"/>
      <c r="AH1322" s="64"/>
      <c r="AI1322" s="64"/>
      <c r="AJ1322" s="64"/>
      <c r="AK1322" s="64"/>
      <c r="AL1322" s="64"/>
      <c r="AM1322" s="169"/>
      <c r="AN1322" s="169"/>
      <c r="AO1322" s="169"/>
      <c r="AP1322" s="169"/>
      <c r="AQ1322" s="169"/>
      <c r="AR1322" s="169"/>
      <c r="AS1322" s="169"/>
      <c r="AT1322" s="169"/>
    </row>
    <row r="1323" spans="10:46">
      <c r="J1323" s="64"/>
      <c r="K1323" s="64"/>
      <c r="L1323" s="64"/>
      <c r="M1323" s="64"/>
      <c r="N1323" s="64"/>
      <c r="O1323" s="64"/>
      <c r="P1323" s="64"/>
      <c r="Q1323" s="64"/>
      <c r="R1323" s="64"/>
      <c r="S1323" s="64"/>
      <c r="T1323" s="64"/>
      <c r="U1323" s="64"/>
      <c r="V1323" s="64"/>
      <c r="W1323" s="64"/>
      <c r="X1323" s="64"/>
      <c r="Y1323" s="64"/>
      <c r="Z1323" s="64"/>
      <c r="AA1323" s="64"/>
      <c r="AB1323" s="64"/>
      <c r="AC1323" s="64"/>
      <c r="AD1323" s="64"/>
      <c r="AE1323" s="64"/>
      <c r="AF1323" s="64"/>
      <c r="AG1323" s="64"/>
      <c r="AH1323" s="64"/>
      <c r="AI1323" s="64"/>
      <c r="AJ1323" s="64"/>
      <c r="AK1323" s="64"/>
      <c r="AL1323" s="64"/>
      <c r="AM1323" s="169"/>
      <c r="AN1323" s="169"/>
      <c r="AO1323" s="169"/>
      <c r="AP1323" s="169"/>
      <c r="AQ1323" s="169"/>
      <c r="AR1323" s="169"/>
      <c r="AS1323" s="169"/>
      <c r="AT1323" s="169"/>
    </row>
    <row r="1324" spans="10:46">
      <c r="J1324" s="64"/>
      <c r="K1324" s="64"/>
      <c r="L1324" s="64"/>
      <c r="M1324" s="64"/>
      <c r="N1324" s="64"/>
      <c r="O1324" s="64"/>
      <c r="P1324" s="64"/>
      <c r="Q1324" s="64"/>
      <c r="R1324" s="64"/>
      <c r="S1324" s="64"/>
      <c r="T1324" s="64"/>
      <c r="U1324" s="64"/>
      <c r="V1324" s="64"/>
      <c r="W1324" s="64"/>
      <c r="X1324" s="64"/>
      <c r="Y1324" s="64"/>
      <c r="Z1324" s="64"/>
      <c r="AA1324" s="64"/>
      <c r="AB1324" s="64"/>
      <c r="AC1324" s="64"/>
      <c r="AD1324" s="64"/>
      <c r="AE1324" s="64"/>
      <c r="AF1324" s="64"/>
      <c r="AG1324" s="64"/>
      <c r="AH1324" s="64"/>
      <c r="AI1324" s="64"/>
      <c r="AJ1324" s="64"/>
      <c r="AK1324" s="64"/>
      <c r="AL1324" s="64"/>
      <c r="AM1324" s="169"/>
      <c r="AN1324" s="169"/>
      <c r="AO1324" s="169"/>
      <c r="AP1324" s="169"/>
      <c r="AQ1324" s="169"/>
      <c r="AR1324" s="169"/>
      <c r="AS1324" s="169"/>
      <c r="AT1324" s="169"/>
    </row>
    <row r="1325" spans="10:46">
      <c r="J1325" s="64"/>
      <c r="K1325" s="64"/>
      <c r="L1325" s="64"/>
      <c r="M1325" s="64"/>
      <c r="N1325" s="64"/>
      <c r="O1325" s="64"/>
      <c r="P1325" s="64"/>
      <c r="Q1325" s="64"/>
      <c r="R1325" s="64"/>
      <c r="S1325" s="64"/>
      <c r="T1325" s="64"/>
      <c r="U1325" s="64"/>
      <c r="V1325" s="64"/>
      <c r="W1325" s="64"/>
      <c r="X1325" s="64"/>
      <c r="Y1325" s="64"/>
      <c r="Z1325" s="64"/>
      <c r="AA1325" s="64"/>
      <c r="AB1325" s="64"/>
      <c r="AC1325" s="64"/>
      <c r="AD1325" s="64"/>
      <c r="AE1325" s="64"/>
      <c r="AF1325" s="64"/>
      <c r="AG1325" s="64"/>
      <c r="AH1325" s="64"/>
      <c r="AI1325" s="64"/>
      <c r="AJ1325" s="64"/>
      <c r="AK1325" s="64"/>
      <c r="AL1325" s="64"/>
      <c r="AM1325" s="169"/>
      <c r="AN1325" s="169"/>
      <c r="AO1325" s="169"/>
      <c r="AP1325" s="169"/>
      <c r="AQ1325" s="169"/>
      <c r="AR1325" s="169"/>
      <c r="AS1325" s="169"/>
      <c r="AT1325" s="169"/>
    </row>
    <row r="1326" spans="10:46">
      <c r="J1326" s="64"/>
      <c r="K1326" s="64"/>
      <c r="L1326" s="64"/>
      <c r="M1326" s="64"/>
      <c r="N1326" s="64"/>
      <c r="O1326" s="64"/>
      <c r="P1326" s="64"/>
      <c r="Q1326" s="64"/>
      <c r="R1326" s="64"/>
      <c r="S1326" s="64"/>
      <c r="T1326" s="64"/>
      <c r="U1326" s="64"/>
      <c r="V1326" s="64"/>
      <c r="W1326" s="64"/>
      <c r="X1326" s="64"/>
      <c r="Y1326" s="64"/>
      <c r="Z1326" s="64"/>
      <c r="AA1326" s="64"/>
      <c r="AB1326" s="64"/>
      <c r="AC1326" s="64"/>
      <c r="AD1326" s="64"/>
      <c r="AE1326" s="64"/>
      <c r="AF1326" s="64"/>
      <c r="AG1326" s="64"/>
      <c r="AH1326" s="64"/>
      <c r="AI1326" s="64"/>
      <c r="AJ1326" s="64"/>
      <c r="AK1326" s="64"/>
      <c r="AL1326" s="64"/>
      <c r="AM1326" s="169"/>
      <c r="AN1326" s="169"/>
      <c r="AO1326" s="169"/>
      <c r="AP1326" s="169"/>
      <c r="AQ1326" s="169"/>
      <c r="AR1326" s="169"/>
      <c r="AS1326" s="169"/>
      <c r="AT1326" s="169"/>
    </row>
    <row r="1327" spans="10:46">
      <c r="J1327" s="64"/>
      <c r="K1327" s="64"/>
      <c r="L1327" s="64"/>
      <c r="M1327" s="64"/>
      <c r="N1327" s="64"/>
      <c r="O1327" s="64"/>
      <c r="P1327" s="64"/>
      <c r="Q1327" s="64"/>
      <c r="R1327" s="64"/>
      <c r="S1327" s="64"/>
      <c r="T1327" s="64"/>
      <c r="U1327" s="64"/>
      <c r="V1327" s="64"/>
      <c r="W1327" s="64"/>
      <c r="X1327" s="64"/>
      <c r="Y1327" s="64"/>
      <c r="Z1327" s="64"/>
      <c r="AA1327" s="64"/>
      <c r="AB1327" s="64"/>
      <c r="AC1327" s="64"/>
      <c r="AD1327" s="64"/>
      <c r="AE1327" s="64"/>
      <c r="AF1327" s="64"/>
      <c r="AG1327" s="64"/>
      <c r="AH1327" s="64"/>
      <c r="AI1327" s="64"/>
      <c r="AJ1327" s="64"/>
      <c r="AK1327" s="64"/>
      <c r="AL1327" s="64"/>
      <c r="AM1327" s="169"/>
      <c r="AN1327" s="169"/>
      <c r="AO1327" s="169"/>
      <c r="AP1327" s="169"/>
      <c r="AQ1327" s="169"/>
      <c r="AR1327" s="169"/>
      <c r="AS1327" s="169"/>
      <c r="AT1327" s="169"/>
    </row>
    <row r="1328" spans="10:46">
      <c r="J1328" s="64"/>
      <c r="K1328" s="64"/>
      <c r="L1328" s="64"/>
      <c r="M1328" s="64"/>
      <c r="N1328" s="64"/>
      <c r="O1328" s="64"/>
      <c r="P1328" s="64"/>
      <c r="Q1328" s="64"/>
      <c r="R1328" s="64"/>
      <c r="S1328" s="64"/>
      <c r="T1328" s="64"/>
      <c r="U1328" s="64"/>
      <c r="V1328" s="64"/>
      <c r="W1328" s="64"/>
      <c r="X1328" s="64"/>
      <c r="Y1328" s="64"/>
      <c r="Z1328" s="64"/>
      <c r="AA1328" s="64"/>
      <c r="AB1328" s="64"/>
      <c r="AC1328" s="64"/>
      <c r="AD1328" s="64"/>
      <c r="AE1328" s="64"/>
      <c r="AF1328" s="64"/>
      <c r="AG1328" s="64"/>
      <c r="AH1328" s="64"/>
      <c r="AI1328" s="64"/>
      <c r="AJ1328" s="64"/>
      <c r="AK1328" s="64"/>
      <c r="AL1328" s="64"/>
      <c r="AM1328" s="169"/>
      <c r="AN1328" s="169"/>
      <c r="AO1328" s="169"/>
      <c r="AP1328" s="169"/>
      <c r="AQ1328" s="169"/>
      <c r="AR1328" s="169"/>
      <c r="AS1328" s="169"/>
      <c r="AT1328" s="169"/>
    </row>
    <row r="1329" spans="10:46">
      <c r="J1329" s="64"/>
      <c r="K1329" s="64"/>
      <c r="L1329" s="64"/>
      <c r="M1329" s="64"/>
      <c r="N1329" s="64"/>
      <c r="O1329" s="64"/>
      <c r="P1329" s="64"/>
      <c r="Q1329" s="64"/>
      <c r="R1329" s="64"/>
      <c r="S1329" s="64"/>
      <c r="T1329" s="64"/>
      <c r="U1329" s="64"/>
      <c r="V1329" s="64"/>
      <c r="W1329" s="64"/>
      <c r="X1329" s="64"/>
      <c r="Y1329" s="64"/>
      <c r="Z1329" s="64"/>
      <c r="AA1329" s="64"/>
      <c r="AB1329" s="64"/>
      <c r="AC1329" s="64"/>
      <c r="AD1329" s="64"/>
      <c r="AE1329" s="64"/>
      <c r="AF1329" s="64"/>
      <c r="AG1329" s="64"/>
      <c r="AH1329" s="64"/>
      <c r="AI1329" s="64"/>
      <c r="AJ1329" s="64"/>
      <c r="AK1329" s="64"/>
      <c r="AL1329" s="64"/>
      <c r="AM1329" s="169"/>
      <c r="AN1329" s="169"/>
      <c r="AO1329" s="169"/>
      <c r="AP1329" s="169"/>
      <c r="AQ1329" s="169"/>
      <c r="AR1329" s="169"/>
      <c r="AS1329" s="169"/>
      <c r="AT1329" s="169"/>
    </row>
    <row r="1330" spans="10:46">
      <c r="J1330" s="64"/>
      <c r="K1330" s="64"/>
      <c r="L1330" s="64"/>
      <c r="M1330" s="64"/>
      <c r="N1330" s="64"/>
      <c r="O1330" s="64"/>
      <c r="P1330" s="64"/>
      <c r="Q1330" s="64"/>
      <c r="R1330" s="64"/>
      <c r="S1330" s="64"/>
      <c r="T1330" s="64"/>
      <c r="U1330" s="64"/>
      <c r="V1330" s="64"/>
      <c r="W1330" s="64"/>
      <c r="X1330" s="64"/>
      <c r="Y1330" s="64"/>
      <c r="Z1330" s="64"/>
      <c r="AA1330" s="64"/>
      <c r="AB1330" s="64"/>
      <c r="AC1330" s="64"/>
      <c r="AD1330" s="64"/>
      <c r="AE1330" s="64"/>
      <c r="AF1330" s="64"/>
      <c r="AG1330" s="64"/>
      <c r="AH1330" s="64"/>
      <c r="AI1330" s="64"/>
      <c r="AJ1330" s="64"/>
      <c r="AK1330" s="64"/>
      <c r="AL1330" s="64"/>
      <c r="AM1330" s="169"/>
      <c r="AN1330" s="169"/>
      <c r="AO1330" s="169"/>
      <c r="AP1330" s="169"/>
      <c r="AQ1330" s="169"/>
      <c r="AR1330" s="169"/>
      <c r="AS1330" s="169"/>
      <c r="AT1330" s="169"/>
    </row>
    <row r="1331" spans="10:46">
      <c r="J1331" s="64"/>
      <c r="K1331" s="64"/>
      <c r="L1331" s="64"/>
      <c r="M1331" s="64"/>
      <c r="N1331" s="64"/>
      <c r="O1331" s="64"/>
      <c r="P1331" s="64"/>
      <c r="Q1331" s="64"/>
      <c r="R1331" s="64"/>
      <c r="S1331" s="64"/>
      <c r="T1331" s="64"/>
      <c r="U1331" s="64"/>
      <c r="V1331" s="64"/>
      <c r="W1331" s="64"/>
      <c r="X1331" s="64"/>
      <c r="Y1331" s="64"/>
      <c r="Z1331" s="64"/>
      <c r="AA1331" s="64"/>
      <c r="AB1331" s="64"/>
      <c r="AC1331" s="64"/>
      <c r="AD1331" s="64"/>
      <c r="AE1331" s="64"/>
      <c r="AF1331" s="64"/>
      <c r="AG1331" s="64"/>
      <c r="AH1331" s="64"/>
      <c r="AI1331" s="64"/>
      <c r="AJ1331" s="64"/>
      <c r="AK1331" s="64"/>
      <c r="AL1331" s="64"/>
      <c r="AM1331" s="169"/>
      <c r="AN1331" s="169"/>
      <c r="AO1331" s="169"/>
      <c r="AP1331" s="169"/>
      <c r="AQ1331" s="169"/>
      <c r="AR1331" s="169"/>
      <c r="AS1331" s="169"/>
      <c r="AT1331" s="169"/>
    </row>
    <row r="1332" spans="10:46">
      <c r="J1332" s="64"/>
      <c r="K1332" s="64"/>
      <c r="L1332" s="64"/>
      <c r="M1332" s="64"/>
      <c r="N1332" s="64"/>
      <c r="O1332" s="64"/>
      <c r="P1332" s="64"/>
      <c r="Q1332" s="64"/>
      <c r="R1332" s="64"/>
      <c r="S1332" s="64"/>
      <c r="T1332" s="64"/>
      <c r="U1332" s="64"/>
      <c r="V1332" s="64"/>
      <c r="W1332" s="64"/>
      <c r="X1332" s="64"/>
      <c r="Y1332" s="64"/>
      <c r="Z1332" s="64"/>
      <c r="AA1332" s="64"/>
      <c r="AB1332" s="64"/>
      <c r="AC1332" s="64"/>
      <c r="AD1332" s="64"/>
      <c r="AE1332" s="64"/>
      <c r="AF1332" s="64"/>
      <c r="AG1332" s="64"/>
      <c r="AH1332" s="64"/>
      <c r="AI1332" s="64"/>
      <c r="AJ1332" s="64"/>
      <c r="AK1332" s="64"/>
      <c r="AL1332" s="64"/>
      <c r="AM1332" s="169"/>
      <c r="AN1332" s="169"/>
      <c r="AO1332" s="169"/>
      <c r="AP1332" s="169"/>
      <c r="AQ1332" s="169"/>
      <c r="AR1332" s="169"/>
      <c r="AS1332" s="169"/>
      <c r="AT1332" s="169"/>
    </row>
    <row r="1333" spans="10:46">
      <c r="J1333" s="64"/>
      <c r="K1333" s="64"/>
      <c r="L1333" s="64"/>
      <c r="M1333" s="64"/>
      <c r="N1333" s="64"/>
      <c r="O1333" s="64"/>
      <c r="P1333" s="64"/>
      <c r="Q1333" s="64"/>
      <c r="R1333" s="64"/>
      <c r="S1333" s="64"/>
      <c r="T1333" s="64"/>
      <c r="U1333" s="64"/>
      <c r="V1333" s="64"/>
      <c r="W1333" s="64"/>
      <c r="X1333" s="64"/>
      <c r="Y1333" s="64"/>
      <c r="Z1333" s="64"/>
      <c r="AA1333" s="64"/>
      <c r="AB1333" s="64"/>
      <c r="AC1333" s="64"/>
      <c r="AD1333" s="64"/>
      <c r="AE1333" s="64"/>
      <c r="AF1333" s="64"/>
      <c r="AG1333" s="64"/>
      <c r="AH1333" s="64"/>
      <c r="AI1333" s="64"/>
      <c r="AJ1333" s="64"/>
      <c r="AK1333" s="64"/>
      <c r="AL1333" s="64"/>
      <c r="AM1333" s="169"/>
      <c r="AN1333" s="169"/>
      <c r="AO1333" s="169"/>
      <c r="AP1333" s="169"/>
      <c r="AQ1333" s="169"/>
      <c r="AR1333" s="169"/>
      <c r="AS1333" s="169"/>
      <c r="AT1333" s="169"/>
    </row>
    <row r="1334" spans="10:46">
      <c r="J1334" s="64"/>
      <c r="K1334" s="64"/>
      <c r="L1334" s="64"/>
      <c r="M1334" s="64"/>
      <c r="N1334" s="64"/>
      <c r="O1334" s="64"/>
      <c r="P1334" s="64"/>
      <c r="Q1334" s="64"/>
      <c r="R1334" s="64"/>
      <c r="S1334" s="64"/>
      <c r="T1334" s="64"/>
      <c r="U1334" s="64"/>
      <c r="V1334" s="64"/>
      <c r="W1334" s="64"/>
      <c r="X1334" s="64"/>
      <c r="Y1334" s="64"/>
      <c r="Z1334" s="64"/>
      <c r="AA1334" s="64"/>
      <c r="AB1334" s="64"/>
      <c r="AC1334" s="64"/>
      <c r="AD1334" s="64"/>
      <c r="AE1334" s="64"/>
      <c r="AF1334" s="64"/>
      <c r="AG1334" s="64"/>
      <c r="AH1334" s="64"/>
      <c r="AI1334" s="64"/>
      <c r="AJ1334" s="64"/>
      <c r="AK1334" s="64"/>
      <c r="AL1334" s="64"/>
      <c r="AM1334" s="169"/>
      <c r="AN1334" s="169"/>
      <c r="AO1334" s="169"/>
      <c r="AP1334" s="169"/>
      <c r="AQ1334" s="169"/>
      <c r="AR1334" s="169"/>
      <c r="AS1334" s="169"/>
      <c r="AT1334" s="169"/>
    </row>
    <row r="1335" spans="10:46">
      <c r="J1335" s="64"/>
      <c r="K1335" s="64"/>
      <c r="L1335" s="64"/>
      <c r="M1335" s="64"/>
      <c r="N1335" s="64"/>
      <c r="O1335" s="64"/>
      <c r="P1335" s="64"/>
      <c r="Q1335" s="64"/>
      <c r="R1335" s="64"/>
      <c r="S1335" s="64"/>
      <c r="T1335" s="64"/>
      <c r="U1335" s="64"/>
      <c r="V1335" s="64"/>
      <c r="W1335" s="64"/>
      <c r="X1335" s="64"/>
      <c r="Y1335" s="64"/>
      <c r="Z1335" s="64"/>
      <c r="AA1335" s="64"/>
      <c r="AB1335" s="64"/>
      <c r="AC1335" s="64"/>
      <c r="AD1335" s="64"/>
      <c r="AE1335" s="64"/>
      <c r="AF1335" s="64"/>
      <c r="AG1335" s="64"/>
      <c r="AH1335" s="64"/>
      <c r="AI1335" s="64"/>
      <c r="AJ1335" s="64"/>
      <c r="AK1335" s="64"/>
      <c r="AL1335" s="64"/>
      <c r="AM1335" s="169"/>
      <c r="AN1335" s="169"/>
      <c r="AO1335" s="169"/>
      <c r="AP1335" s="169"/>
      <c r="AQ1335" s="169"/>
      <c r="AR1335" s="169"/>
      <c r="AS1335" s="169"/>
      <c r="AT1335" s="169"/>
    </row>
    <row r="1336" spans="10:46">
      <c r="J1336" s="64"/>
      <c r="K1336" s="64"/>
      <c r="L1336" s="64"/>
      <c r="M1336" s="64"/>
      <c r="N1336" s="64"/>
      <c r="O1336" s="64"/>
      <c r="P1336" s="64"/>
      <c r="Q1336" s="64"/>
      <c r="R1336" s="64"/>
      <c r="S1336" s="64"/>
      <c r="T1336" s="64"/>
      <c r="U1336" s="64"/>
      <c r="V1336" s="64"/>
      <c r="W1336" s="64"/>
      <c r="X1336" s="64"/>
      <c r="Y1336" s="64"/>
      <c r="Z1336" s="64"/>
      <c r="AA1336" s="64"/>
      <c r="AB1336" s="64"/>
      <c r="AC1336" s="64"/>
      <c r="AD1336" s="64"/>
      <c r="AE1336" s="64"/>
      <c r="AF1336" s="64"/>
      <c r="AG1336" s="64"/>
      <c r="AH1336" s="64"/>
      <c r="AI1336" s="64"/>
      <c r="AJ1336" s="64"/>
      <c r="AK1336" s="64"/>
      <c r="AL1336" s="64"/>
      <c r="AM1336" s="169"/>
      <c r="AN1336" s="169"/>
      <c r="AO1336" s="169"/>
      <c r="AP1336" s="169"/>
      <c r="AQ1336" s="169"/>
      <c r="AR1336" s="169"/>
      <c r="AS1336" s="169"/>
      <c r="AT1336" s="169"/>
    </row>
    <row r="1337" spans="10:46">
      <c r="J1337" s="64"/>
      <c r="K1337" s="64"/>
      <c r="L1337" s="64"/>
      <c r="M1337" s="64"/>
      <c r="N1337" s="64"/>
      <c r="O1337" s="64"/>
      <c r="P1337" s="64"/>
      <c r="Q1337" s="64"/>
      <c r="R1337" s="64"/>
      <c r="S1337" s="64"/>
      <c r="T1337" s="64"/>
      <c r="U1337" s="64"/>
      <c r="V1337" s="64"/>
      <c r="W1337" s="64"/>
      <c r="X1337" s="64"/>
      <c r="Y1337" s="64"/>
      <c r="Z1337" s="64"/>
      <c r="AA1337" s="64"/>
      <c r="AB1337" s="64"/>
      <c r="AC1337" s="64"/>
      <c r="AD1337" s="64"/>
      <c r="AE1337" s="64"/>
      <c r="AF1337" s="64"/>
      <c r="AG1337" s="64"/>
      <c r="AH1337" s="64"/>
      <c r="AI1337" s="64"/>
      <c r="AJ1337" s="64"/>
      <c r="AK1337" s="64"/>
      <c r="AL1337" s="64"/>
      <c r="AM1337" s="169"/>
      <c r="AN1337" s="169"/>
      <c r="AO1337" s="169"/>
      <c r="AP1337" s="169"/>
      <c r="AQ1337" s="169"/>
      <c r="AR1337" s="169"/>
      <c r="AS1337" s="169"/>
      <c r="AT1337" s="169"/>
    </row>
    <row r="1338" spans="10:46">
      <c r="J1338" s="64"/>
      <c r="K1338" s="64"/>
      <c r="L1338" s="64"/>
      <c r="M1338" s="64"/>
      <c r="N1338" s="64"/>
      <c r="O1338" s="64"/>
      <c r="P1338" s="64"/>
      <c r="Q1338" s="64"/>
      <c r="R1338" s="64"/>
      <c r="S1338" s="64"/>
      <c r="T1338" s="64"/>
      <c r="U1338" s="64"/>
      <c r="V1338" s="64"/>
      <c r="W1338" s="64"/>
      <c r="X1338" s="64"/>
      <c r="Y1338" s="64"/>
      <c r="Z1338" s="64"/>
      <c r="AA1338" s="64"/>
      <c r="AB1338" s="64"/>
      <c r="AC1338" s="64"/>
      <c r="AD1338" s="64"/>
      <c r="AE1338" s="64"/>
      <c r="AF1338" s="64"/>
      <c r="AG1338" s="64"/>
      <c r="AH1338" s="64"/>
      <c r="AI1338" s="64"/>
      <c r="AJ1338" s="64"/>
      <c r="AK1338" s="64"/>
      <c r="AL1338" s="64"/>
      <c r="AM1338" s="169"/>
      <c r="AN1338" s="169"/>
      <c r="AO1338" s="169"/>
      <c r="AP1338" s="169"/>
      <c r="AQ1338" s="169"/>
      <c r="AR1338" s="169"/>
      <c r="AS1338" s="169"/>
      <c r="AT1338" s="169"/>
    </row>
    <row r="1339" spans="10:46">
      <c r="J1339" s="64"/>
      <c r="K1339" s="64"/>
      <c r="L1339" s="64"/>
      <c r="M1339" s="64"/>
      <c r="N1339" s="64"/>
      <c r="O1339" s="64"/>
      <c r="P1339" s="64"/>
      <c r="Q1339" s="64"/>
      <c r="R1339" s="64"/>
      <c r="S1339" s="64"/>
      <c r="T1339" s="64"/>
      <c r="U1339" s="64"/>
      <c r="V1339" s="64"/>
      <c r="W1339" s="64"/>
      <c r="X1339" s="64"/>
      <c r="Y1339" s="64"/>
      <c r="Z1339" s="64"/>
      <c r="AA1339" s="64"/>
      <c r="AB1339" s="64"/>
      <c r="AC1339" s="64"/>
      <c r="AD1339" s="64"/>
      <c r="AE1339" s="64"/>
      <c r="AF1339" s="64"/>
      <c r="AG1339" s="64"/>
      <c r="AH1339" s="64"/>
      <c r="AI1339" s="64"/>
      <c r="AJ1339" s="64"/>
      <c r="AK1339" s="64"/>
      <c r="AL1339" s="64"/>
      <c r="AM1339" s="169"/>
      <c r="AN1339" s="169"/>
      <c r="AO1339" s="169"/>
      <c r="AP1339" s="169"/>
      <c r="AQ1339" s="169"/>
      <c r="AR1339" s="169"/>
      <c r="AS1339" s="169"/>
      <c r="AT1339" s="169"/>
    </row>
    <row r="1340" spans="10:46">
      <c r="J1340" s="64"/>
      <c r="K1340" s="64"/>
      <c r="L1340" s="64"/>
      <c r="M1340" s="64"/>
      <c r="N1340" s="64"/>
      <c r="O1340" s="64"/>
      <c r="P1340" s="64"/>
      <c r="Q1340" s="64"/>
      <c r="R1340" s="64"/>
      <c r="S1340" s="64"/>
      <c r="T1340" s="64"/>
      <c r="U1340" s="64"/>
      <c r="V1340" s="64"/>
      <c r="W1340" s="64"/>
      <c r="X1340" s="64"/>
      <c r="Y1340" s="64"/>
      <c r="Z1340" s="64"/>
      <c r="AA1340" s="64"/>
      <c r="AB1340" s="64"/>
      <c r="AC1340" s="64"/>
      <c r="AD1340" s="64"/>
      <c r="AE1340" s="64"/>
      <c r="AF1340" s="64"/>
      <c r="AG1340" s="64"/>
      <c r="AH1340" s="64"/>
      <c r="AI1340" s="64"/>
      <c r="AJ1340" s="64"/>
      <c r="AK1340" s="64"/>
      <c r="AL1340" s="64"/>
      <c r="AM1340" s="169"/>
      <c r="AN1340" s="169"/>
      <c r="AO1340" s="169"/>
      <c r="AP1340" s="169"/>
      <c r="AQ1340" s="169"/>
      <c r="AR1340" s="169"/>
      <c r="AS1340" s="169"/>
      <c r="AT1340" s="169"/>
    </row>
    <row r="1341" spans="10:46">
      <c r="J1341" s="64"/>
      <c r="K1341" s="64"/>
      <c r="L1341" s="64"/>
      <c r="M1341" s="64"/>
      <c r="N1341" s="64"/>
      <c r="O1341" s="64"/>
      <c r="P1341" s="64"/>
      <c r="Q1341" s="64"/>
      <c r="R1341" s="64"/>
      <c r="S1341" s="64"/>
      <c r="T1341" s="64"/>
      <c r="U1341" s="64"/>
      <c r="V1341" s="64"/>
      <c r="W1341" s="64"/>
      <c r="X1341" s="64"/>
      <c r="Y1341" s="64"/>
      <c r="Z1341" s="64"/>
      <c r="AA1341" s="64"/>
      <c r="AB1341" s="64"/>
      <c r="AC1341" s="64"/>
      <c r="AD1341" s="64"/>
      <c r="AE1341" s="64"/>
      <c r="AF1341" s="64"/>
      <c r="AG1341" s="64"/>
      <c r="AH1341" s="64"/>
      <c r="AI1341" s="64"/>
      <c r="AJ1341" s="64"/>
      <c r="AK1341" s="64"/>
      <c r="AL1341" s="64"/>
      <c r="AM1341" s="169"/>
      <c r="AN1341" s="169"/>
      <c r="AO1341" s="169"/>
      <c r="AP1341" s="169"/>
      <c r="AQ1341" s="169"/>
      <c r="AR1341" s="169"/>
      <c r="AS1341" s="169"/>
      <c r="AT1341" s="169"/>
    </row>
    <row r="1342" spans="10:46">
      <c r="J1342" s="64"/>
      <c r="K1342" s="64"/>
      <c r="L1342" s="64"/>
      <c r="M1342" s="64"/>
      <c r="N1342" s="64"/>
      <c r="O1342" s="64"/>
      <c r="P1342" s="64"/>
      <c r="Q1342" s="64"/>
      <c r="R1342" s="64"/>
      <c r="S1342" s="64"/>
      <c r="T1342" s="64"/>
      <c r="U1342" s="64"/>
      <c r="V1342" s="64"/>
      <c r="W1342" s="64"/>
      <c r="X1342" s="64"/>
      <c r="Y1342" s="64"/>
      <c r="Z1342" s="64"/>
      <c r="AA1342" s="64"/>
      <c r="AB1342" s="64"/>
      <c r="AC1342" s="64"/>
      <c r="AD1342" s="64"/>
      <c r="AE1342" s="64"/>
      <c r="AF1342" s="64"/>
      <c r="AG1342" s="64"/>
      <c r="AH1342" s="64"/>
      <c r="AI1342" s="64"/>
      <c r="AJ1342" s="64"/>
      <c r="AK1342" s="64"/>
      <c r="AL1342" s="64"/>
      <c r="AM1342" s="169"/>
      <c r="AN1342" s="169"/>
      <c r="AO1342" s="169"/>
      <c r="AP1342" s="169"/>
      <c r="AQ1342" s="169"/>
      <c r="AR1342" s="169"/>
      <c r="AS1342" s="169"/>
      <c r="AT1342" s="169"/>
    </row>
    <row r="1343" spans="10:46">
      <c r="J1343" s="64"/>
      <c r="K1343" s="64"/>
      <c r="L1343" s="64"/>
      <c r="M1343" s="64"/>
      <c r="N1343" s="64"/>
      <c r="O1343" s="64"/>
      <c r="P1343" s="64"/>
      <c r="Q1343" s="64"/>
      <c r="R1343" s="64"/>
      <c r="S1343" s="64"/>
      <c r="T1343" s="64"/>
      <c r="U1343" s="64"/>
      <c r="V1343" s="64"/>
      <c r="W1343" s="64"/>
      <c r="X1343" s="64"/>
      <c r="Y1343" s="64"/>
      <c r="Z1343" s="64"/>
      <c r="AA1343" s="64"/>
      <c r="AB1343" s="64"/>
      <c r="AC1343" s="64"/>
      <c r="AD1343" s="64"/>
      <c r="AE1343" s="64"/>
      <c r="AF1343" s="64"/>
      <c r="AG1343" s="64"/>
      <c r="AH1343" s="64"/>
      <c r="AI1343" s="64"/>
      <c r="AJ1343" s="64"/>
      <c r="AK1343" s="64"/>
      <c r="AL1343" s="64"/>
      <c r="AM1343" s="169"/>
      <c r="AN1343" s="169"/>
      <c r="AO1343" s="169"/>
      <c r="AP1343" s="169"/>
      <c r="AQ1343" s="169"/>
      <c r="AR1343" s="169"/>
      <c r="AS1343" s="169"/>
      <c r="AT1343" s="169"/>
    </row>
    <row r="1344" spans="10:46">
      <c r="J1344" s="64"/>
      <c r="K1344" s="64"/>
      <c r="L1344" s="64"/>
      <c r="M1344" s="64"/>
      <c r="N1344" s="64"/>
      <c r="O1344" s="64"/>
      <c r="P1344" s="64"/>
      <c r="Q1344" s="64"/>
      <c r="R1344" s="64"/>
      <c r="S1344" s="64"/>
      <c r="T1344" s="64"/>
      <c r="U1344" s="64"/>
      <c r="V1344" s="64"/>
      <c r="W1344" s="64"/>
      <c r="X1344" s="64"/>
      <c r="Y1344" s="64"/>
      <c r="Z1344" s="64"/>
      <c r="AA1344" s="64"/>
      <c r="AB1344" s="64"/>
      <c r="AC1344" s="64"/>
      <c r="AD1344" s="64"/>
      <c r="AE1344" s="64"/>
      <c r="AF1344" s="64"/>
      <c r="AG1344" s="64"/>
      <c r="AH1344" s="64"/>
      <c r="AI1344" s="64"/>
      <c r="AJ1344" s="64"/>
      <c r="AK1344" s="64"/>
      <c r="AL1344" s="64"/>
      <c r="AM1344" s="169"/>
      <c r="AN1344" s="169"/>
      <c r="AO1344" s="169"/>
      <c r="AP1344" s="169"/>
      <c r="AQ1344" s="169"/>
      <c r="AR1344" s="169"/>
      <c r="AS1344" s="169"/>
      <c r="AT1344" s="169"/>
    </row>
    <row r="1345" spans="10:46">
      <c r="J1345" s="64"/>
      <c r="K1345" s="64"/>
      <c r="L1345" s="64"/>
      <c r="M1345" s="64"/>
      <c r="N1345" s="64"/>
      <c r="O1345" s="64"/>
      <c r="P1345" s="64"/>
      <c r="Q1345" s="64"/>
      <c r="R1345" s="64"/>
      <c r="S1345" s="64"/>
      <c r="T1345" s="64"/>
      <c r="U1345" s="64"/>
      <c r="V1345" s="64"/>
      <c r="W1345" s="64"/>
      <c r="X1345" s="64"/>
      <c r="Y1345" s="64"/>
      <c r="Z1345" s="64"/>
      <c r="AA1345" s="64"/>
      <c r="AB1345" s="64"/>
      <c r="AC1345" s="64"/>
      <c r="AD1345" s="64"/>
      <c r="AE1345" s="64"/>
      <c r="AF1345" s="64"/>
      <c r="AG1345" s="64"/>
      <c r="AH1345" s="64"/>
      <c r="AI1345" s="64"/>
      <c r="AJ1345" s="64"/>
      <c r="AK1345" s="64"/>
      <c r="AL1345" s="64"/>
      <c r="AM1345" s="169"/>
      <c r="AN1345" s="169"/>
      <c r="AO1345" s="169"/>
      <c r="AP1345" s="169"/>
      <c r="AQ1345" s="169"/>
      <c r="AR1345" s="169"/>
      <c r="AS1345" s="169"/>
      <c r="AT1345" s="169"/>
    </row>
    <row r="1346" spans="10:46">
      <c r="J1346" s="64"/>
      <c r="K1346" s="64"/>
      <c r="L1346" s="64"/>
      <c r="M1346" s="64"/>
      <c r="N1346" s="64"/>
      <c r="O1346" s="64"/>
      <c r="P1346" s="64"/>
      <c r="Q1346" s="64"/>
      <c r="R1346" s="64"/>
      <c r="S1346" s="64"/>
      <c r="T1346" s="64"/>
      <c r="U1346" s="64"/>
      <c r="V1346" s="64"/>
      <c r="W1346" s="64"/>
      <c r="X1346" s="64"/>
      <c r="Y1346" s="64"/>
      <c r="Z1346" s="64"/>
      <c r="AA1346" s="64"/>
      <c r="AB1346" s="64"/>
      <c r="AC1346" s="64"/>
      <c r="AD1346" s="64"/>
      <c r="AE1346" s="64"/>
      <c r="AF1346" s="64"/>
      <c r="AG1346" s="64"/>
      <c r="AH1346" s="64"/>
      <c r="AI1346" s="64"/>
      <c r="AJ1346" s="64"/>
      <c r="AK1346" s="64"/>
      <c r="AL1346" s="64"/>
      <c r="AM1346" s="169"/>
      <c r="AN1346" s="169"/>
      <c r="AO1346" s="169"/>
      <c r="AP1346" s="169"/>
      <c r="AQ1346" s="169"/>
      <c r="AR1346" s="169"/>
      <c r="AS1346" s="169"/>
      <c r="AT1346" s="169"/>
    </row>
    <row r="1347" spans="10:46">
      <c r="J1347" s="64"/>
      <c r="K1347" s="64"/>
      <c r="L1347" s="64"/>
      <c r="M1347" s="64"/>
      <c r="N1347" s="64"/>
      <c r="O1347" s="64"/>
      <c r="P1347" s="64"/>
      <c r="Q1347" s="64"/>
      <c r="R1347" s="64"/>
      <c r="S1347" s="64"/>
      <c r="T1347" s="64"/>
      <c r="U1347" s="64"/>
      <c r="V1347" s="64"/>
      <c r="W1347" s="64"/>
      <c r="X1347" s="64"/>
      <c r="Y1347" s="64"/>
      <c r="Z1347" s="64"/>
      <c r="AA1347" s="64"/>
      <c r="AB1347" s="64"/>
      <c r="AC1347" s="64"/>
      <c r="AD1347" s="64"/>
      <c r="AE1347" s="64"/>
      <c r="AF1347" s="64"/>
      <c r="AG1347" s="64"/>
      <c r="AH1347" s="64"/>
      <c r="AI1347" s="64"/>
      <c r="AJ1347" s="64"/>
      <c r="AK1347" s="64"/>
      <c r="AL1347" s="64"/>
      <c r="AM1347" s="169"/>
      <c r="AN1347" s="169"/>
      <c r="AO1347" s="169"/>
      <c r="AP1347" s="169"/>
      <c r="AQ1347" s="169"/>
      <c r="AR1347" s="169"/>
      <c r="AS1347" s="169"/>
      <c r="AT1347" s="169"/>
    </row>
    <row r="1348" spans="10:46">
      <c r="J1348" s="64"/>
      <c r="K1348" s="64"/>
      <c r="L1348" s="64"/>
      <c r="M1348" s="64"/>
      <c r="N1348" s="64"/>
      <c r="O1348" s="64"/>
      <c r="P1348" s="64"/>
      <c r="Q1348" s="64"/>
      <c r="R1348" s="64"/>
      <c r="S1348" s="64"/>
      <c r="T1348" s="64"/>
      <c r="U1348" s="64"/>
      <c r="V1348" s="64"/>
      <c r="W1348" s="64"/>
      <c r="X1348" s="64"/>
      <c r="Y1348" s="64"/>
      <c r="Z1348" s="64"/>
      <c r="AA1348" s="64"/>
      <c r="AB1348" s="64"/>
      <c r="AC1348" s="64"/>
      <c r="AD1348" s="64"/>
      <c r="AE1348" s="64"/>
      <c r="AF1348" s="64"/>
      <c r="AG1348" s="64"/>
      <c r="AH1348" s="64"/>
      <c r="AI1348" s="64"/>
      <c r="AJ1348" s="64"/>
      <c r="AK1348" s="64"/>
      <c r="AL1348" s="64"/>
      <c r="AM1348" s="169"/>
      <c r="AN1348" s="169"/>
      <c r="AO1348" s="169"/>
      <c r="AP1348" s="169"/>
      <c r="AQ1348" s="169"/>
      <c r="AR1348" s="169"/>
      <c r="AS1348" s="169"/>
      <c r="AT1348" s="169"/>
    </row>
    <row r="1349" spans="10:46">
      <c r="J1349" s="64"/>
      <c r="K1349" s="64"/>
      <c r="L1349" s="64"/>
      <c r="M1349" s="64"/>
      <c r="N1349" s="64"/>
      <c r="O1349" s="64"/>
      <c r="P1349" s="64"/>
      <c r="Q1349" s="64"/>
      <c r="R1349" s="64"/>
      <c r="S1349" s="64"/>
      <c r="T1349" s="64"/>
      <c r="U1349" s="64"/>
      <c r="V1349" s="64"/>
      <c r="W1349" s="64"/>
      <c r="X1349" s="64"/>
      <c r="Y1349" s="64"/>
      <c r="Z1349" s="64"/>
      <c r="AA1349" s="64"/>
      <c r="AB1349" s="64"/>
      <c r="AC1349" s="64"/>
      <c r="AD1349" s="64"/>
      <c r="AE1349" s="64"/>
      <c r="AF1349" s="64"/>
      <c r="AG1349" s="64"/>
      <c r="AH1349" s="64"/>
      <c r="AI1349" s="64"/>
      <c r="AJ1349" s="64"/>
      <c r="AK1349" s="64"/>
      <c r="AL1349" s="64"/>
      <c r="AM1349" s="169"/>
      <c r="AN1349" s="169"/>
      <c r="AO1349" s="169"/>
      <c r="AP1349" s="169"/>
      <c r="AQ1349" s="169"/>
      <c r="AR1349" s="169"/>
      <c r="AS1349" s="169"/>
      <c r="AT1349" s="169"/>
    </row>
    <row r="1350" spans="10:46">
      <c r="J1350" s="64"/>
      <c r="K1350" s="64"/>
      <c r="L1350" s="64"/>
      <c r="M1350" s="64"/>
      <c r="N1350" s="64"/>
      <c r="O1350" s="64"/>
      <c r="P1350" s="64"/>
      <c r="Q1350" s="64"/>
      <c r="R1350" s="64"/>
      <c r="S1350" s="64"/>
      <c r="T1350" s="64"/>
      <c r="U1350" s="64"/>
      <c r="V1350" s="64"/>
      <c r="W1350" s="64"/>
      <c r="X1350" s="64"/>
      <c r="Y1350" s="64"/>
      <c r="Z1350" s="64"/>
      <c r="AA1350" s="64"/>
      <c r="AB1350" s="64"/>
      <c r="AC1350" s="64"/>
      <c r="AD1350" s="64"/>
      <c r="AE1350" s="64"/>
      <c r="AF1350" s="64"/>
      <c r="AG1350" s="64"/>
      <c r="AH1350" s="64"/>
      <c r="AI1350" s="64"/>
      <c r="AJ1350" s="64"/>
      <c r="AK1350" s="64"/>
      <c r="AL1350" s="64"/>
      <c r="AM1350" s="169"/>
      <c r="AN1350" s="169"/>
      <c r="AO1350" s="169"/>
      <c r="AP1350" s="169"/>
      <c r="AQ1350" s="169"/>
      <c r="AR1350" s="169"/>
      <c r="AS1350" s="169"/>
      <c r="AT1350" s="169"/>
    </row>
    <row r="1351" spans="10:46">
      <c r="J1351" s="64"/>
      <c r="K1351" s="64"/>
      <c r="L1351" s="64"/>
      <c r="M1351" s="64"/>
      <c r="N1351" s="64"/>
      <c r="O1351" s="64"/>
      <c r="P1351" s="64"/>
      <c r="Q1351" s="64"/>
      <c r="R1351" s="64"/>
      <c r="S1351" s="64"/>
      <c r="T1351" s="64"/>
      <c r="U1351" s="64"/>
      <c r="V1351" s="64"/>
      <c r="W1351" s="64"/>
      <c r="X1351" s="64"/>
      <c r="Y1351" s="64"/>
      <c r="Z1351" s="64"/>
      <c r="AA1351" s="64"/>
      <c r="AB1351" s="64"/>
      <c r="AC1351" s="64"/>
      <c r="AD1351" s="64"/>
      <c r="AE1351" s="64"/>
      <c r="AF1351" s="64"/>
      <c r="AG1351" s="64"/>
      <c r="AH1351" s="64"/>
      <c r="AI1351" s="64"/>
      <c r="AJ1351" s="64"/>
      <c r="AK1351" s="64"/>
      <c r="AL1351" s="64"/>
      <c r="AM1351" s="169"/>
      <c r="AN1351" s="169"/>
      <c r="AO1351" s="169"/>
      <c r="AP1351" s="169"/>
      <c r="AQ1351" s="169"/>
      <c r="AR1351" s="169"/>
      <c r="AS1351" s="169"/>
      <c r="AT1351" s="169"/>
    </row>
    <row r="1352" spans="10:46">
      <c r="J1352" s="64"/>
      <c r="K1352" s="64"/>
      <c r="L1352" s="64"/>
      <c r="M1352" s="64"/>
      <c r="N1352" s="64"/>
      <c r="O1352" s="64"/>
      <c r="P1352" s="64"/>
      <c r="Q1352" s="64"/>
      <c r="R1352" s="64"/>
      <c r="S1352" s="64"/>
      <c r="T1352" s="64"/>
      <c r="U1352" s="64"/>
      <c r="V1352" s="64"/>
      <c r="W1352" s="64"/>
      <c r="X1352" s="64"/>
      <c r="Y1352" s="64"/>
      <c r="Z1352" s="64"/>
      <c r="AA1352" s="64"/>
      <c r="AB1352" s="64"/>
      <c r="AC1352" s="64"/>
      <c r="AD1352" s="64"/>
      <c r="AE1352" s="64"/>
      <c r="AF1352" s="64"/>
      <c r="AG1352" s="64"/>
      <c r="AH1352" s="64"/>
      <c r="AI1352" s="64"/>
      <c r="AJ1352" s="64"/>
      <c r="AK1352" s="64"/>
      <c r="AL1352" s="64"/>
      <c r="AM1352" s="169"/>
      <c r="AN1352" s="169"/>
      <c r="AO1352" s="169"/>
      <c r="AP1352" s="169"/>
      <c r="AQ1352" s="169"/>
      <c r="AR1352" s="169"/>
      <c r="AS1352" s="169"/>
      <c r="AT1352" s="169"/>
    </row>
    <row r="1353" spans="10:46">
      <c r="J1353" s="64"/>
      <c r="K1353" s="64"/>
      <c r="L1353" s="64"/>
      <c r="M1353" s="64"/>
      <c r="N1353" s="64"/>
      <c r="O1353" s="64"/>
      <c r="P1353" s="64"/>
      <c r="Q1353" s="64"/>
      <c r="R1353" s="64"/>
      <c r="S1353" s="64"/>
      <c r="T1353" s="64"/>
      <c r="U1353" s="64"/>
      <c r="V1353" s="64"/>
      <c r="W1353" s="64"/>
      <c r="X1353" s="64"/>
      <c r="Y1353" s="64"/>
      <c r="Z1353" s="64"/>
      <c r="AA1353" s="64"/>
      <c r="AB1353" s="64"/>
      <c r="AC1353" s="64"/>
      <c r="AD1353" s="64"/>
      <c r="AE1353" s="64"/>
      <c r="AF1353" s="64"/>
      <c r="AG1353" s="64"/>
      <c r="AH1353" s="64"/>
      <c r="AI1353" s="64"/>
      <c r="AJ1353" s="64"/>
      <c r="AK1353" s="64"/>
      <c r="AL1353" s="64"/>
      <c r="AM1353" s="169"/>
      <c r="AN1353" s="169"/>
      <c r="AO1353" s="169"/>
      <c r="AP1353" s="169"/>
      <c r="AQ1353" s="169"/>
      <c r="AR1353" s="169"/>
      <c r="AS1353" s="169"/>
      <c r="AT1353" s="169"/>
    </row>
    <row r="1354" spans="10:46">
      <c r="J1354" s="64"/>
      <c r="K1354" s="64"/>
      <c r="L1354" s="64"/>
      <c r="M1354" s="64"/>
      <c r="N1354" s="64"/>
      <c r="O1354" s="64"/>
      <c r="P1354" s="64"/>
      <c r="Q1354" s="64"/>
      <c r="R1354" s="64"/>
      <c r="S1354" s="64"/>
      <c r="T1354" s="64"/>
      <c r="U1354" s="64"/>
      <c r="V1354" s="64"/>
      <c r="W1354" s="64"/>
      <c r="X1354" s="64"/>
      <c r="Y1354" s="64"/>
      <c r="Z1354" s="64"/>
      <c r="AA1354" s="64"/>
      <c r="AB1354" s="64"/>
      <c r="AC1354" s="64"/>
      <c r="AD1354" s="64"/>
      <c r="AE1354" s="64"/>
      <c r="AF1354" s="64"/>
      <c r="AG1354" s="64"/>
      <c r="AH1354" s="64"/>
      <c r="AI1354" s="64"/>
      <c r="AJ1354" s="64"/>
      <c r="AK1354" s="64"/>
      <c r="AL1354" s="64"/>
      <c r="AM1354" s="169"/>
      <c r="AN1354" s="169"/>
      <c r="AO1354" s="169"/>
      <c r="AP1354" s="169"/>
      <c r="AQ1354" s="169"/>
      <c r="AR1354" s="169"/>
      <c r="AS1354" s="169"/>
      <c r="AT1354" s="169"/>
    </row>
    <row r="1355" spans="10:46">
      <c r="J1355" s="64"/>
      <c r="K1355" s="64"/>
      <c r="L1355" s="64"/>
      <c r="M1355" s="64"/>
      <c r="N1355" s="64"/>
      <c r="O1355" s="64"/>
      <c r="P1355" s="64"/>
      <c r="Q1355" s="64"/>
      <c r="R1355" s="64"/>
      <c r="S1355" s="64"/>
      <c r="T1355" s="64"/>
      <c r="U1355" s="64"/>
      <c r="V1355" s="64"/>
      <c r="W1355" s="64"/>
      <c r="X1355" s="64"/>
      <c r="Y1355" s="64"/>
      <c r="Z1355" s="64"/>
      <c r="AA1355" s="64"/>
      <c r="AB1355" s="64"/>
      <c r="AC1355" s="64"/>
      <c r="AD1355" s="64"/>
      <c r="AE1355" s="64"/>
      <c r="AF1355" s="64"/>
      <c r="AG1355" s="64"/>
      <c r="AH1355" s="64"/>
      <c r="AI1355" s="64"/>
      <c r="AJ1355" s="64"/>
      <c r="AK1355" s="64"/>
      <c r="AL1355" s="64"/>
      <c r="AM1355" s="169"/>
      <c r="AN1355" s="169"/>
      <c r="AO1355" s="169"/>
      <c r="AP1355" s="169"/>
      <c r="AQ1355" s="169"/>
      <c r="AR1355" s="169"/>
      <c r="AS1355" s="169"/>
      <c r="AT1355" s="169"/>
    </row>
    <row r="1356" spans="10:46">
      <c r="J1356" s="64"/>
      <c r="K1356" s="64"/>
      <c r="L1356" s="64"/>
      <c r="M1356" s="64"/>
      <c r="N1356" s="64"/>
      <c r="O1356" s="64"/>
      <c r="P1356" s="64"/>
      <c r="Q1356" s="64"/>
      <c r="R1356" s="64"/>
      <c r="S1356" s="64"/>
      <c r="T1356" s="64"/>
      <c r="U1356" s="64"/>
      <c r="V1356" s="64"/>
      <c r="W1356" s="64"/>
      <c r="X1356" s="64"/>
      <c r="Y1356" s="64"/>
      <c r="Z1356" s="64"/>
      <c r="AA1356" s="64"/>
      <c r="AB1356" s="64"/>
      <c r="AC1356" s="64"/>
      <c r="AD1356" s="64"/>
      <c r="AE1356" s="64"/>
      <c r="AF1356" s="64"/>
      <c r="AG1356" s="64"/>
      <c r="AH1356" s="64"/>
      <c r="AI1356" s="64"/>
      <c r="AJ1356" s="64"/>
      <c r="AK1356" s="64"/>
      <c r="AL1356" s="64"/>
      <c r="AM1356" s="169"/>
      <c r="AN1356" s="169"/>
      <c r="AO1356" s="169"/>
      <c r="AP1356" s="169"/>
      <c r="AQ1356" s="169"/>
      <c r="AR1356" s="169"/>
      <c r="AS1356" s="169"/>
      <c r="AT1356" s="169"/>
    </row>
    <row r="1357" spans="10:46">
      <c r="J1357" s="64"/>
      <c r="K1357" s="64"/>
      <c r="L1357" s="64"/>
      <c r="M1357" s="64"/>
      <c r="N1357" s="64"/>
      <c r="O1357" s="64"/>
      <c r="P1357" s="64"/>
      <c r="Q1357" s="64"/>
      <c r="R1357" s="64"/>
      <c r="S1357" s="64"/>
      <c r="T1357" s="64"/>
      <c r="U1357" s="64"/>
      <c r="V1357" s="64"/>
      <c r="W1357" s="64"/>
      <c r="X1357" s="64"/>
      <c r="Y1357" s="64"/>
      <c r="Z1357" s="64"/>
      <c r="AA1357" s="64"/>
      <c r="AB1357" s="64"/>
      <c r="AC1357" s="64"/>
      <c r="AD1357" s="64"/>
      <c r="AE1357" s="64"/>
      <c r="AF1357" s="64"/>
      <c r="AG1357" s="64"/>
      <c r="AH1357" s="64"/>
      <c r="AI1357" s="64"/>
      <c r="AJ1357" s="64"/>
      <c r="AK1357" s="64"/>
      <c r="AL1357" s="64"/>
      <c r="AM1357" s="169"/>
      <c r="AN1357" s="169"/>
      <c r="AO1357" s="169"/>
      <c r="AP1357" s="169"/>
      <c r="AQ1357" s="169"/>
      <c r="AR1357" s="169"/>
      <c r="AS1357" s="169"/>
      <c r="AT1357" s="169"/>
    </row>
    <row r="1358" spans="10:46">
      <c r="J1358" s="64"/>
      <c r="K1358" s="64"/>
      <c r="L1358" s="64"/>
      <c r="M1358" s="64"/>
      <c r="N1358" s="64"/>
      <c r="O1358" s="64"/>
      <c r="P1358" s="64"/>
      <c r="Q1358" s="64"/>
      <c r="R1358" s="64"/>
      <c r="S1358" s="64"/>
      <c r="T1358" s="64"/>
      <c r="U1358" s="64"/>
      <c r="V1358" s="64"/>
      <c r="W1358" s="64"/>
      <c r="X1358" s="64"/>
      <c r="Y1358" s="64"/>
      <c r="Z1358" s="64"/>
      <c r="AA1358" s="64"/>
      <c r="AB1358" s="64"/>
      <c r="AC1358" s="64"/>
      <c r="AD1358" s="64"/>
      <c r="AE1358" s="64"/>
      <c r="AF1358" s="64"/>
      <c r="AG1358" s="64"/>
      <c r="AH1358" s="64"/>
      <c r="AI1358" s="64"/>
      <c r="AJ1358" s="64"/>
      <c r="AK1358" s="64"/>
      <c r="AL1358" s="64"/>
      <c r="AM1358" s="169"/>
      <c r="AN1358" s="169"/>
      <c r="AO1358" s="169"/>
      <c r="AP1358" s="169"/>
      <c r="AQ1358" s="169"/>
      <c r="AR1358" s="169"/>
      <c r="AS1358" s="169"/>
      <c r="AT1358" s="169"/>
    </row>
    <row r="1359" spans="10:46">
      <c r="J1359" s="64"/>
      <c r="K1359" s="64"/>
      <c r="L1359" s="64"/>
      <c r="M1359" s="64"/>
      <c r="N1359" s="64"/>
      <c r="O1359" s="64"/>
      <c r="P1359" s="64"/>
      <c r="Q1359" s="64"/>
      <c r="R1359" s="64"/>
      <c r="S1359" s="64"/>
      <c r="T1359" s="64"/>
      <c r="U1359" s="64"/>
      <c r="V1359" s="64"/>
      <c r="W1359" s="64"/>
      <c r="X1359" s="64"/>
      <c r="Y1359" s="64"/>
      <c r="Z1359" s="64"/>
      <c r="AA1359" s="64"/>
      <c r="AB1359" s="64"/>
      <c r="AC1359" s="64"/>
      <c r="AD1359" s="64"/>
      <c r="AE1359" s="64"/>
      <c r="AF1359" s="64"/>
      <c r="AG1359" s="64"/>
      <c r="AH1359" s="64"/>
      <c r="AI1359" s="64"/>
      <c r="AJ1359" s="64"/>
      <c r="AK1359" s="64"/>
      <c r="AL1359" s="64"/>
      <c r="AM1359" s="169"/>
      <c r="AN1359" s="169"/>
      <c r="AO1359" s="169"/>
      <c r="AP1359" s="169"/>
      <c r="AQ1359" s="169"/>
      <c r="AR1359" s="169"/>
      <c r="AS1359" s="169"/>
      <c r="AT1359" s="169"/>
    </row>
    <row r="1360" spans="10:46">
      <c r="J1360" s="64"/>
      <c r="K1360" s="64"/>
      <c r="L1360" s="64"/>
      <c r="M1360" s="64"/>
      <c r="N1360" s="64"/>
      <c r="O1360" s="64"/>
      <c r="P1360" s="64"/>
      <c r="Q1360" s="64"/>
      <c r="R1360" s="64"/>
      <c r="S1360" s="64"/>
      <c r="T1360" s="64"/>
      <c r="U1360" s="64"/>
      <c r="V1360" s="64"/>
      <c r="W1360" s="64"/>
      <c r="X1360" s="64"/>
      <c r="Y1360" s="64"/>
      <c r="Z1360" s="64"/>
      <c r="AA1360" s="64"/>
      <c r="AB1360" s="64"/>
      <c r="AC1360" s="64"/>
      <c r="AD1360" s="64"/>
      <c r="AE1360" s="64"/>
      <c r="AF1360" s="64"/>
      <c r="AG1360" s="64"/>
      <c r="AH1360" s="64"/>
      <c r="AI1360" s="64"/>
      <c r="AJ1360" s="64"/>
      <c r="AK1360" s="64"/>
      <c r="AL1360" s="64"/>
      <c r="AM1360" s="169"/>
      <c r="AN1360" s="169"/>
      <c r="AO1360" s="169"/>
      <c r="AP1360" s="169"/>
      <c r="AQ1360" s="169"/>
      <c r="AR1360" s="169"/>
      <c r="AS1360" s="169"/>
      <c r="AT1360" s="169"/>
    </row>
    <row r="1361" spans="10:46">
      <c r="J1361" s="64"/>
      <c r="K1361" s="64"/>
      <c r="L1361" s="64"/>
      <c r="M1361" s="64"/>
      <c r="N1361" s="64"/>
      <c r="O1361" s="64"/>
      <c r="P1361" s="64"/>
      <c r="Q1361" s="64"/>
      <c r="R1361" s="64"/>
      <c r="S1361" s="64"/>
      <c r="T1361" s="64"/>
      <c r="U1361" s="64"/>
      <c r="V1361" s="64"/>
      <c r="W1361" s="64"/>
      <c r="X1361" s="64"/>
      <c r="Y1361" s="64"/>
      <c r="Z1361" s="64"/>
      <c r="AA1361" s="64"/>
      <c r="AB1361" s="64"/>
      <c r="AC1361" s="64"/>
      <c r="AD1361" s="64"/>
      <c r="AE1361" s="64"/>
      <c r="AF1361" s="64"/>
      <c r="AG1361" s="64"/>
      <c r="AH1361" s="64"/>
      <c r="AI1361" s="64"/>
      <c r="AJ1361" s="64"/>
      <c r="AK1361" s="64"/>
      <c r="AL1361" s="64"/>
      <c r="AM1361" s="169"/>
      <c r="AN1361" s="169"/>
      <c r="AO1361" s="169"/>
      <c r="AP1361" s="169"/>
      <c r="AQ1361" s="169"/>
      <c r="AR1361" s="169"/>
      <c r="AS1361" s="169"/>
      <c r="AT1361" s="169"/>
    </row>
    <row r="1362" spans="10:46">
      <c r="J1362" s="64"/>
      <c r="K1362" s="64"/>
      <c r="L1362" s="64"/>
      <c r="M1362" s="64"/>
      <c r="N1362" s="64"/>
      <c r="O1362" s="64"/>
      <c r="P1362" s="64"/>
      <c r="Q1362" s="64"/>
      <c r="R1362" s="64"/>
      <c r="S1362" s="64"/>
      <c r="T1362" s="64"/>
      <c r="U1362" s="64"/>
      <c r="V1362" s="64"/>
      <c r="W1362" s="64"/>
      <c r="X1362" s="64"/>
      <c r="Y1362" s="64"/>
      <c r="Z1362" s="64"/>
      <c r="AA1362" s="64"/>
      <c r="AB1362" s="64"/>
      <c r="AC1362" s="64"/>
      <c r="AD1362" s="64"/>
      <c r="AE1362" s="64"/>
      <c r="AF1362" s="64"/>
      <c r="AG1362" s="64"/>
      <c r="AH1362" s="64"/>
      <c r="AI1362" s="64"/>
      <c r="AJ1362" s="64"/>
      <c r="AK1362" s="64"/>
      <c r="AL1362" s="64"/>
      <c r="AM1362" s="169"/>
      <c r="AN1362" s="169"/>
      <c r="AO1362" s="169"/>
      <c r="AP1362" s="169"/>
      <c r="AQ1362" s="169"/>
      <c r="AR1362" s="169"/>
      <c r="AS1362" s="169"/>
      <c r="AT1362" s="169"/>
    </row>
    <row r="1363" spans="10:46">
      <c r="J1363" s="64"/>
      <c r="K1363" s="64"/>
      <c r="L1363" s="64"/>
      <c r="M1363" s="64"/>
      <c r="N1363" s="64"/>
      <c r="O1363" s="64"/>
      <c r="P1363" s="64"/>
      <c r="Q1363" s="64"/>
      <c r="R1363" s="64"/>
      <c r="S1363" s="64"/>
      <c r="T1363" s="64"/>
      <c r="U1363" s="64"/>
      <c r="V1363" s="64"/>
      <c r="W1363" s="64"/>
      <c r="X1363" s="64"/>
      <c r="Y1363" s="64"/>
      <c r="Z1363" s="64"/>
      <c r="AA1363" s="64"/>
      <c r="AB1363" s="64"/>
      <c r="AC1363" s="64"/>
      <c r="AD1363" s="64"/>
      <c r="AE1363" s="64"/>
      <c r="AF1363" s="64"/>
      <c r="AG1363" s="64"/>
      <c r="AH1363" s="64"/>
      <c r="AI1363" s="64"/>
      <c r="AJ1363" s="64"/>
      <c r="AK1363" s="64"/>
      <c r="AL1363" s="64"/>
      <c r="AM1363" s="169"/>
      <c r="AN1363" s="169"/>
      <c r="AO1363" s="169"/>
      <c r="AP1363" s="169"/>
      <c r="AQ1363" s="169"/>
      <c r="AR1363" s="169"/>
      <c r="AS1363" s="169"/>
      <c r="AT1363" s="169"/>
    </row>
    <row r="1364" spans="10:46">
      <c r="J1364" s="64"/>
      <c r="K1364" s="64"/>
      <c r="L1364" s="64"/>
      <c r="M1364" s="64"/>
      <c r="N1364" s="64"/>
      <c r="O1364" s="64"/>
      <c r="P1364" s="64"/>
      <c r="Q1364" s="64"/>
      <c r="R1364" s="64"/>
      <c r="S1364" s="64"/>
      <c r="T1364" s="64"/>
      <c r="U1364" s="64"/>
      <c r="V1364" s="64"/>
      <c r="W1364" s="64"/>
      <c r="X1364" s="64"/>
      <c r="Y1364" s="64"/>
      <c r="Z1364" s="64"/>
      <c r="AA1364" s="64"/>
      <c r="AB1364" s="64"/>
      <c r="AC1364" s="64"/>
      <c r="AD1364" s="64"/>
      <c r="AE1364" s="64"/>
      <c r="AF1364" s="64"/>
      <c r="AG1364" s="64"/>
      <c r="AH1364" s="64"/>
      <c r="AI1364" s="64"/>
      <c r="AJ1364" s="64"/>
      <c r="AK1364" s="64"/>
      <c r="AL1364" s="64"/>
      <c r="AM1364" s="169"/>
      <c r="AN1364" s="169"/>
      <c r="AO1364" s="169"/>
      <c r="AP1364" s="169"/>
      <c r="AQ1364" s="169"/>
      <c r="AR1364" s="169"/>
      <c r="AS1364" s="169"/>
      <c r="AT1364" s="169"/>
    </row>
    <row r="1365" spans="10:46">
      <c r="J1365" s="64"/>
      <c r="K1365" s="64"/>
      <c r="L1365" s="64"/>
      <c r="M1365" s="64"/>
      <c r="N1365" s="64"/>
      <c r="O1365" s="64"/>
      <c r="P1365" s="64"/>
      <c r="Q1365" s="64"/>
      <c r="R1365" s="64"/>
      <c r="S1365" s="64"/>
      <c r="T1365" s="64"/>
      <c r="U1365" s="64"/>
      <c r="V1365" s="64"/>
      <c r="W1365" s="64"/>
      <c r="X1365" s="64"/>
      <c r="Y1365" s="64"/>
      <c r="Z1365" s="64"/>
      <c r="AA1365" s="64"/>
      <c r="AB1365" s="64"/>
      <c r="AC1365" s="64"/>
      <c r="AD1365" s="64"/>
      <c r="AE1365" s="64"/>
      <c r="AF1365" s="64"/>
      <c r="AG1365" s="64"/>
      <c r="AH1365" s="64"/>
      <c r="AI1365" s="64"/>
      <c r="AJ1365" s="64"/>
      <c r="AK1365" s="64"/>
      <c r="AL1365" s="64"/>
      <c r="AM1365" s="169"/>
      <c r="AN1365" s="169"/>
      <c r="AO1365" s="169"/>
      <c r="AP1365" s="169"/>
      <c r="AQ1365" s="169"/>
      <c r="AR1365" s="169"/>
      <c r="AS1365" s="169"/>
      <c r="AT1365" s="169"/>
    </row>
    <row r="1366" spans="10:46">
      <c r="J1366" s="64"/>
      <c r="K1366" s="64"/>
      <c r="L1366" s="64"/>
      <c r="M1366" s="64"/>
      <c r="N1366" s="64"/>
      <c r="O1366" s="64"/>
      <c r="P1366" s="64"/>
      <c r="Q1366" s="64"/>
      <c r="R1366" s="64"/>
      <c r="S1366" s="64"/>
      <c r="T1366" s="64"/>
      <c r="U1366" s="64"/>
      <c r="V1366" s="64"/>
      <c r="W1366" s="64"/>
      <c r="X1366" s="64"/>
      <c r="Y1366" s="64"/>
      <c r="Z1366" s="64"/>
      <c r="AA1366" s="64"/>
      <c r="AB1366" s="64"/>
      <c r="AC1366" s="64"/>
      <c r="AD1366" s="64"/>
      <c r="AE1366" s="64"/>
      <c r="AF1366" s="64"/>
      <c r="AG1366" s="64"/>
      <c r="AH1366" s="64"/>
      <c r="AI1366" s="64"/>
      <c r="AJ1366" s="64"/>
      <c r="AK1366" s="64"/>
      <c r="AL1366" s="64"/>
      <c r="AM1366" s="169"/>
      <c r="AN1366" s="169"/>
      <c r="AO1366" s="169"/>
      <c r="AP1366" s="169"/>
      <c r="AQ1366" s="169"/>
      <c r="AR1366" s="169"/>
      <c r="AS1366" s="169"/>
      <c r="AT1366" s="169"/>
    </row>
    <row r="1367" spans="10:46">
      <c r="J1367" s="64"/>
      <c r="K1367" s="64"/>
      <c r="L1367" s="64"/>
      <c r="M1367" s="64"/>
      <c r="N1367" s="64"/>
      <c r="O1367" s="64"/>
      <c r="P1367" s="64"/>
      <c r="Q1367" s="64"/>
      <c r="R1367" s="64"/>
      <c r="S1367" s="64"/>
      <c r="T1367" s="64"/>
      <c r="U1367" s="64"/>
      <c r="V1367" s="64"/>
      <c r="W1367" s="64"/>
      <c r="X1367" s="64"/>
      <c r="Y1367" s="64"/>
      <c r="Z1367" s="64"/>
      <c r="AA1367" s="64"/>
      <c r="AB1367" s="64"/>
      <c r="AC1367" s="64"/>
      <c r="AD1367" s="64"/>
      <c r="AE1367" s="64"/>
      <c r="AF1367" s="64"/>
      <c r="AG1367" s="64"/>
      <c r="AH1367" s="64"/>
      <c r="AI1367" s="64"/>
      <c r="AJ1367" s="64"/>
      <c r="AK1367" s="64"/>
      <c r="AL1367" s="64"/>
      <c r="AM1367" s="169"/>
      <c r="AN1367" s="169"/>
      <c r="AO1367" s="169"/>
      <c r="AP1367" s="169"/>
      <c r="AQ1367" s="169"/>
      <c r="AR1367" s="169"/>
      <c r="AS1367" s="169"/>
      <c r="AT1367" s="169"/>
    </row>
    <row r="1368" spans="10:46">
      <c r="J1368" s="64"/>
      <c r="K1368" s="64"/>
      <c r="L1368" s="64"/>
      <c r="M1368" s="64"/>
      <c r="N1368" s="64"/>
      <c r="O1368" s="64"/>
      <c r="P1368" s="64"/>
      <c r="Q1368" s="64"/>
      <c r="R1368" s="64"/>
      <c r="S1368" s="64"/>
      <c r="T1368" s="64"/>
      <c r="U1368" s="64"/>
      <c r="V1368" s="64"/>
      <c r="W1368" s="64"/>
      <c r="X1368" s="64"/>
      <c r="Y1368" s="64"/>
      <c r="Z1368" s="64"/>
      <c r="AA1368" s="64"/>
      <c r="AB1368" s="64"/>
      <c r="AC1368" s="64"/>
      <c r="AD1368" s="64"/>
      <c r="AE1368" s="64"/>
      <c r="AF1368" s="64"/>
      <c r="AG1368" s="64"/>
      <c r="AH1368" s="64"/>
      <c r="AI1368" s="64"/>
      <c r="AJ1368" s="64"/>
      <c r="AK1368" s="64"/>
      <c r="AL1368" s="64"/>
      <c r="AM1368" s="169"/>
      <c r="AN1368" s="169"/>
      <c r="AO1368" s="169"/>
      <c r="AP1368" s="169"/>
      <c r="AQ1368" s="169"/>
      <c r="AR1368" s="169"/>
      <c r="AS1368" s="169"/>
      <c r="AT1368" s="169"/>
    </row>
    <row r="1369" spans="10:46">
      <c r="J1369" s="64"/>
      <c r="K1369" s="64"/>
      <c r="L1369" s="64"/>
      <c r="M1369" s="64"/>
      <c r="N1369" s="64"/>
      <c r="O1369" s="64"/>
      <c r="P1369" s="64"/>
      <c r="Q1369" s="64"/>
      <c r="R1369" s="64"/>
      <c r="S1369" s="64"/>
      <c r="T1369" s="64"/>
      <c r="U1369" s="64"/>
      <c r="V1369" s="64"/>
      <c r="W1369" s="64"/>
      <c r="X1369" s="64"/>
      <c r="Y1369" s="64"/>
      <c r="Z1369" s="64"/>
      <c r="AA1369" s="64"/>
      <c r="AB1369" s="64"/>
      <c r="AC1369" s="64"/>
      <c r="AD1369" s="64"/>
      <c r="AE1369" s="64"/>
      <c r="AF1369" s="64"/>
      <c r="AG1369" s="64"/>
      <c r="AH1369" s="64"/>
      <c r="AI1369" s="64"/>
      <c r="AJ1369" s="64"/>
      <c r="AK1369" s="64"/>
      <c r="AL1369" s="64"/>
      <c r="AM1369" s="169"/>
      <c r="AN1369" s="169"/>
      <c r="AO1369" s="169"/>
      <c r="AP1369" s="169"/>
      <c r="AQ1369" s="169"/>
      <c r="AR1369" s="169"/>
      <c r="AS1369" s="169"/>
      <c r="AT1369" s="169"/>
    </row>
    <row r="1370" spans="10:46">
      <c r="J1370" s="64"/>
      <c r="K1370" s="64"/>
      <c r="L1370" s="64"/>
      <c r="M1370" s="64"/>
      <c r="N1370" s="64"/>
      <c r="O1370" s="64"/>
      <c r="P1370" s="64"/>
      <c r="Q1370" s="64"/>
      <c r="R1370" s="64"/>
      <c r="S1370" s="64"/>
      <c r="T1370" s="64"/>
      <c r="U1370" s="64"/>
      <c r="V1370" s="64"/>
      <c r="W1370" s="64"/>
      <c r="X1370" s="64"/>
      <c r="Y1370" s="64"/>
      <c r="Z1370" s="64"/>
      <c r="AA1370" s="64"/>
      <c r="AB1370" s="64"/>
      <c r="AC1370" s="64"/>
      <c r="AD1370" s="64"/>
      <c r="AE1370" s="64"/>
      <c r="AF1370" s="64"/>
      <c r="AG1370" s="64"/>
      <c r="AH1370" s="64"/>
      <c r="AI1370" s="64"/>
      <c r="AJ1370" s="64"/>
      <c r="AK1370" s="64"/>
      <c r="AL1370" s="64"/>
      <c r="AM1370" s="169"/>
      <c r="AN1370" s="169"/>
      <c r="AO1370" s="169"/>
      <c r="AP1370" s="169"/>
      <c r="AQ1370" s="169"/>
      <c r="AR1370" s="169"/>
      <c r="AS1370" s="169"/>
      <c r="AT1370" s="169"/>
    </row>
    <row r="1371" spans="10:46">
      <c r="J1371" s="64"/>
      <c r="K1371" s="64"/>
      <c r="L1371" s="64"/>
      <c r="M1371" s="64"/>
      <c r="N1371" s="64"/>
      <c r="O1371" s="64"/>
      <c r="P1371" s="64"/>
      <c r="Q1371" s="64"/>
      <c r="R1371" s="64"/>
      <c r="S1371" s="64"/>
      <c r="T1371" s="64"/>
      <c r="U1371" s="64"/>
      <c r="V1371" s="64"/>
      <c r="W1371" s="64"/>
      <c r="X1371" s="64"/>
      <c r="Y1371" s="64"/>
      <c r="Z1371" s="64"/>
      <c r="AA1371" s="64"/>
      <c r="AB1371" s="64"/>
      <c r="AC1371" s="64"/>
      <c r="AD1371" s="64"/>
      <c r="AE1371" s="64"/>
      <c r="AF1371" s="64"/>
      <c r="AG1371" s="64"/>
      <c r="AH1371" s="64"/>
      <c r="AI1371" s="64"/>
      <c r="AJ1371" s="64"/>
      <c r="AK1371" s="64"/>
      <c r="AL1371" s="64"/>
      <c r="AM1371" s="169"/>
      <c r="AN1371" s="169"/>
      <c r="AO1371" s="169"/>
      <c r="AP1371" s="169"/>
      <c r="AQ1371" s="169"/>
      <c r="AR1371" s="169"/>
      <c r="AS1371" s="169"/>
      <c r="AT1371" s="169"/>
    </row>
    <row r="1372" spans="10:46">
      <c r="J1372" s="64"/>
      <c r="K1372" s="64"/>
      <c r="L1372" s="64"/>
      <c r="M1372" s="64"/>
      <c r="N1372" s="64"/>
      <c r="O1372" s="64"/>
      <c r="P1372" s="64"/>
      <c r="Q1372" s="64"/>
      <c r="R1372" s="64"/>
      <c r="S1372" s="64"/>
      <c r="T1372" s="64"/>
      <c r="U1372" s="64"/>
      <c r="V1372" s="64"/>
      <c r="W1372" s="64"/>
      <c r="X1372" s="64"/>
      <c r="Y1372" s="64"/>
      <c r="Z1372" s="64"/>
      <c r="AA1372" s="64"/>
      <c r="AB1372" s="64"/>
      <c r="AC1372" s="64"/>
      <c r="AD1372" s="64"/>
      <c r="AE1372" s="64"/>
      <c r="AF1372" s="64"/>
      <c r="AG1372" s="64"/>
      <c r="AH1372" s="64"/>
      <c r="AI1372" s="64"/>
      <c r="AJ1372" s="64"/>
      <c r="AK1372" s="64"/>
      <c r="AL1372" s="64"/>
      <c r="AM1372" s="169"/>
      <c r="AN1372" s="169"/>
      <c r="AO1372" s="169"/>
      <c r="AP1372" s="169"/>
      <c r="AQ1372" s="169"/>
      <c r="AR1372" s="169"/>
      <c r="AS1372" s="169"/>
      <c r="AT1372" s="169"/>
    </row>
    <row r="1373" spans="10:46">
      <c r="J1373" s="64"/>
      <c r="K1373" s="64"/>
      <c r="L1373" s="64"/>
      <c r="M1373" s="64"/>
      <c r="N1373" s="64"/>
      <c r="O1373" s="64"/>
      <c r="P1373" s="64"/>
      <c r="Q1373" s="64"/>
      <c r="R1373" s="64"/>
      <c r="S1373" s="64"/>
      <c r="T1373" s="64"/>
      <c r="U1373" s="64"/>
      <c r="V1373" s="64"/>
      <c r="W1373" s="64"/>
      <c r="X1373" s="64"/>
      <c r="Y1373" s="64"/>
      <c r="Z1373" s="64"/>
      <c r="AA1373" s="64"/>
      <c r="AB1373" s="64"/>
      <c r="AC1373" s="64"/>
      <c r="AD1373" s="64"/>
      <c r="AE1373" s="64"/>
      <c r="AF1373" s="64"/>
      <c r="AG1373" s="64"/>
      <c r="AH1373" s="64"/>
      <c r="AI1373" s="64"/>
      <c r="AJ1373" s="64"/>
      <c r="AK1373" s="64"/>
      <c r="AL1373" s="64"/>
      <c r="AM1373" s="169"/>
      <c r="AN1373" s="169"/>
      <c r="AO1373" s="169"/>
      <c r="AP1373" s="169"/>
      <c r="AQ1373" s="169"/>
      <c r="AR1373" s="169"/>
      <c r="AS1373" s="169"/>
      <c r="AT1373" s="169"/>
    </row>
    <row r="1374" spans="10:46">
      <c r="J1374" s="64"/>
      <c r="K1374" s="64"/>
      <c r="L1374" s="64"/>
      <c r="M1374" s="64"/>
      <c r="N1374" s="64"/>
      <c r="O1374" s="64"/>
      <c r="P1374" s="64"/>
      <c r="Q1374" s="64"/>
      <c r="R1374" s="64"/>
      <c r="S1374" s="64"/>
      <c r="T1374" s="64"/>
      <c r="U1374" s="64"/>
      <c r="V1374" s="64"/>
      <c r="W1374" s="64"/>
      <c r="X1374" s="64"/>
      <c r="Y1374" s="64"/>
      <c r="Z1374" s="64"/>
      <c r="AA1374" s="64"/>
      <c r="AB1374" s="64"/>
      <c r="AC1374" s="64"/>
      <c r="AD1374" s="64"/>
      <c r="AE1374" s="64"/>
      <c r="AF1374" s="64"/>
      <c r="AG1374" s="64"/>
      <c r="AH1374" s="64"/>
      <c r="AI1374" s="64"/>
      <c r="AJ1374" s="64"/>
      <c r="AK1374" s="64"/>
      <c r="AL1374" s="64"/>
      <c r="AM1374" s="169"/>
      <c r="AN1374" s="169"/>
      <c r="AO1374" s="169"/>
      <c r="AP1374" s="169"/>
      <c r="AQ1374" s="169"/>
      <c r="AR1374" s="169"/>
      <c r="AS1374" s="169"/>
      <c r="AT1374" s="169"/>
    </row>
    <row r="1375" spans="10:46">
      <c r="J1375" s="64"/>
      <c r="K1375" s="64"/>
      <c r="L1375" s="64"/>
      <c r="M1375" s="64"/>
      <c r="N1375" s="64"/>
      <c r="O1375" s="64"/>
      <c r="P1375" s="64"/>
      <c r="Q1375" s="64"/>
      <c r="R1375" s="64"/>
      <c r="S1375" s="64"/>
      <c r="T1375" s="64"/>
      <c r="U1375" s="64"/>
      <c r="V1375" s="64"/>
      <c r="W1375" s="64"/>
      <c r="X1375" s="64"/>
      <c r="Y1375" s="64"/>
      <c r="Z1375" s="64"/>
      <c r="AA1375" s="64"/>
      <c r="AB1375" s="64"/>
      <c r="AC1375" s="64"/>
      <c r="AD1375" s="64"/>
      <c r="AE1375" s="64"/>
      <c r="AF1375" s="64"/>
      <c r="AG1375" s="64"/>
      <c r="AH1375" s="64"/>
      <c r="AI1375" s="64"/>
      <c r="AJ1375" s="64"/>
      <c r="AK1375" s="64"/>
      <c r="AL1375" s="64"/>
      <c r="AM1375" s="169"/>
      <c r="AN1375" s="169"/>
      <c r="AO1375" s="169"/>
      <c r="AP1375" s="169"/>
      <c r="AQ1375" s="169"/>
      <c r="AR1375" s="169"/>
      <c r="AS1375" s="169"/>
      <c r="AT1375" s="169"/>
    </row>
    <row r="1376" spans="10:46">
      <c r="J1376" s="64"/>
      <c r="K1376" s="64"/>
      <c r="L1376" s="64"/>
      <c r="M1376" s="64"/>
      <c r="N1376" s="64"/>
      <c r="O1376" s="64"/>
      <c r="P1376" s="64"/>
      <c r="Q1376" s="64"/>
      <c r="R1376" s="64"/>
      <c r="S1376" s="64"/>
      <c r="T1376" s="64"/>
      <c r="U1376" s="64"/>
      <c r="V1376" s="64"/>
      <c r="W1376" s="64"/>
      <c r="X1376" s="64"/>
      <c r="Y1376" s="64"/>
      <c r="Z1376" s="64"/>
      <c r="AA1376" s="64"/>
      <c r="AB1376" s="64"/>
      <c r="AC1376" s="64"/>
      <c r="AD1376" s="64"/>
      <c r="AE1376" s="64"/>
      <c r="AF1376" s="64"/>
      <c r="AG1376" s="64"/>
      <c r="AH1376" s="64"/>
      <c r="AI1376" s="64"/>
      <c r="AJ1376" s="64"/>
      <c r="AK1376" s="64"/>
      <c r="AL1376" s="64"/>
      <c r="AM1376" s="169"/>
      <c r="AN1376" s="169"/>
      <c r="AO1376" s="169"/>
      <c r="AP1376" s="169"/>
      <c r="AQ1376" s="169"/>
      <c r="AR1376" s="169"/>
      <c r="AS1376" s="169"/>
      <c r="AT1376" s="169"/>
    </row>
    <row r="1377" spans="10:46">
      <c r="J1377" s="64"/>
      <c r="K1377" s="64"/>
      <c r="L1377" s="64"/>
      <c r="M1377" s="64"/>
      <c r="N1377" s="64"/>
      <c r="O1377" s="64"/>
      <c r="P1377" s="64"/>
      <c r="Q1377" s="64"/>
      <c r="R1377" s="64"/>
      <c r="S1377" s="64"/>
      <c r="T1377" s="64"/>
      <c r="U1377" s="64"/>
      <c r="V1377" s="64"/>
      <c r="W1377" s="64"/>
      <c r="X1377" s="64"/>
      <c r="Y1377" s="64"/>
      <c r="Z1377" s="64"/>
      <c r="AA1377" s="64"/>
      <c r="AB1377" s="64"/>
      <c r="AC1377" s="64"/>
      <c r="AD1377" s="64"/>
      <c r="AE1377" s="64"/>
      <c r="AF1377" s="64"/>
      <c r="AG1377" s="64"/>
      <c r="AH1377" s="64"/>
      <c r="AI1377" s="64"/>
      <c r="AJ1377" s="64"/>
      <c r="AK1377" s="64"/>
      <c r="AL1377" s="64"/>
      <c r="AM1377" s="169"/>
      <c r="AN1377" s="169"/>
      <c r="AO1377" s="169"/>
      <c r="AP1377" s="169"/>
      <c r="AQ1377" s="169"/>
      <c r="AR1377" s="169"/>
      <c r="AS1377" s="169"/>
      <c r="AT1377" s="169"/>
    </row>
    <row r="1378" spans="10:46">
      <c r="J1378" s="64"/>
      <c r="K1378" s="64"/>
      <c r="L1378" s="64"/>
      <c r="M1378" s="64"/>
      <c r="N1378" s="64"/>
      <c r="O1378" s="64"/>
      <c r="P1378" s="64"/>
      <c r="Q1378" s="64"/>
      <c r="R1378" s="64"/>
      <c r="S1378" s="64"/>
      <c r="T1378" s="64"/>
      <c r="U1378" s="64"/>
      <c r="V1378" s="64"/>
      <c r="W1378" s="64"/>
      <c r="X1378" s="64"/>
      <c r="Y1378" s="64"/>
      <c r="Z1378" s="64"/>
      <c r="AA1378" s="64"/>
      <c r="AB1378" s="64"/>
      <c r="AC1378" s="64"/>
      <c r="AD1378" s="64"/>
      <c r="AE1378" s="64"/>
      <c r="AF1378" s="64"/>
      <c r="AG1378" s="64"/>
      <c r="AH1378" s="64"/>
      <c r="AI1378" s="64"/>
      <c r="AJ1378" s="64"/>
      <c r="AK1378" s="64"/>
      <c r="AL1378" s="64"/>
      <c r="AM1378" s="169"/>
      <c r="AN1378" s="169"/>
      <c r="AO1378" s="169"/>
      <c r="AP1378" s="169"/>
      <c r="AQ1378" s="169"/>
      <c r="AR1378" s="169"/>
      <c r="AS1378" s="169"/>
      <c r="AT1378" s="169"/>
    </row>
    <row r="1379" spans="10:46">
      <c r="J1379" s="64"/>
      <c r="K1379" s="64"/>
      <c r="L1379" s="64"/>
      <c r="M1379" s="64"/>
      <c r="N1379" s="64"/>
      <c r="O1379" s="64"/>
      <c r="P1379" s="64"/>
      <c r="Q1379" s="64"/>
      <c r="R1379" s="64"/>
      <c r="S1379" s="64"/>
      <c r="T1379" s="64"/>
      <c r="U1379" s="64"/>
      <c r="V1379" s="64"/>
      <c r="W1379" s="64"/>
      <c r="X1379" s="64"/>
      <c r="Y1379" s="64"/>
      <c r="Z1379" s="64"/>
      <c r="AA1379" s="64"/>
      <c r="AB1379" s="64"/>
      <c r="AC1379" s="64"/>
      <c r="AD1379" s="64"/>
      <c r="AE1379" s="64"/>
      <c r="AF1379" s="64"/>
      <c r="AG1379" s="64"/>
      <c r="AH1379" s="64"/>
      <c r="AI1379" s="64"/>
      <c r="AJ1379" s="64"/>
      <c r="AK1379" s="64"/>
      <c r="AL1379" s="64"/>
      <c r="AM1379" s="169"/>
      <c r="AN1379" s="169"/>
      <c r="AO1379" s="169"/>
      <c r="AP1379" s="169"/>
      <c r="AQ1379" s="169"/>
      <c r="AR1379" s="169"/>
      <c r="AS1379" s="169"/>
      <c r="AT1379" s="169"/>
    </row>
    <row r="1380" spans="10:46">
      <c r="J1380" s="64"/>
      <c r="K1380" s="64"/>
      <c r="L1380" s="64"/>
      <c r="M1380" s="64"/>
      <c r="N1380" s="64"/>
      <c r="O1380" s="64"/>
      <c r="P1380" s="64"/>
      <c r="Q1380" s="64"/>
      <c r="R1380" s="64"/>
      <c r="S1380" s="64"/>
      <c r="T1380" s="64"/>
      <c r="U1380" s="64"/>
      <c r="V1380" s="64"/>
      <c r="W1380" s="64"/>
      <c r="X1380" s="64"/>
      <c r="Y1380" s="64"/>
      <c r="Z1380" s="64"/>
      <c r="AA1380" s="64"/>
      <c r="AB1380" s="64"/>
      <c r="AC1380" s="64"/>
      <c r="AD1380" s="64"/>
      <c r="AE1380" s="64"/>
      <c r="AF1380" s="64"/>
      <c r="AG1380" s="64"/>
      <c r="AH1380" s="64"/>
      <c r="AI1380" s="64"/>
      <c r="AJ1380" s="64"/>
      <c r="AK1380" s="64"/>
      <c r="AL1380" s="64"/>
      <c r="AM1380" s="169"/>
      <c r="AN1380" s="169"/>
      <c r="AO1380" s="169"/>
      <c r="AP1380" s="169"/>
      <c r="AQ1380" s="169"/>
      <c r="AR1380" s="169"/>
      <c r="AS1380" s="169"/>
      <c r="AT1380" s="169"/>
    </row>
    <row r="1381" spans="10:46">
      <c r="J1381" s="64"/>
      <c r="K1381" s="64"/>
      <c r="L1381" s="64"/>
      <c r="M1381" s="64"/>
      <c r="N1381" s="64"/>
      <c r="O1381" s="64"/>
      <c r="P1381" s="64"/>
      <c r="Q1381" s="64"/>
      <c r="R1381" s="64"/>
      <c r="S1381" s="64"/>
      <c r="T1381" s="64"/>
      <c r="U1381" s="64"/>
      <c r="V1381" s="64"/>
      <c r="W1381" s="64"/>
      <c r="X1381" s="64"/>
      <c r="Y1381" s="64"/>
      <c r="Z1381" s="64"/>
      <c r="AA1381" s="64"/>
      <c r="AB1381" s="64"/>
      <c r="AC1381" s="64"/>
      <c r="AD1381" s="64"/>
      <c r="AE1381" s="64"/>
      <c r="AF1381" s="64"/>
      <c r="AG1381" s="64"/>
      <c r="AH1381" s="64"/>
      <c r="AI1381" s="64"/>
      <c r="AJ1381" s="64"/>
      <c r="AK1381" s="64"/>
      <c r="AL1381" s="64"/>
      <c r="AM1381" s="169"/>
      <c r="AN1381" s="169"/>
      <c r="AO1381" s="169"/>
      <c r="AP1381" s="169"/>
      <c r="AQ1381" s="169"/>
      <c r="AR1381" s="169"/>
      <c r="AS1381" s="169"/>
      <c r="AT1381" s="169"/>
    </row>
    <row r="1382" spans="10:46">
      <c r="J1382" s="64"/>
      <c r="K1382" s="64"/>
      <c r="L1382" s="64"/>
      <c r="M1382" s="64"/>
      <c r="N1382" s="64"/>
      <c r="O1382" s="64"/>
      <c r="P1382" s="64"/>
      <c r="Q1382" s="64"/>
      <c r="R1382" s="64"/>
      <c r="S1382" s="64"/>
      <c r="T1382" s="64"/>
      <c r="U1382" s="64"/>
      <c r="V1382" s="64"/>
      <c r="W1382" s="64"/>
      <c r="X1382" s="64"/>
      <c r="Y1382" s="64"/>
      <c r="Z1382" s="64"/>
      <c r="AA1382" s="64"/>
      <c r="AB1382" s="64"/>
      <c r="AC1382" s="64"/>
      <c r="AD1382" s="64"/>
      <c r="AE1382" s="64"/>
      <c r="AF1382" s="64"/>
      <c r="AG1382" s="64"/>
      <c r="AH1382" s="64"/>
      <c r="AI1382" s="64"/>
      <c r="AJ1382" s="64"/>
      <c r="AK1382" s="64"/>
      <c r="AL1382" s="64"/>
      <c r="AM1382" s="169"/>
      <c r="AN1382" s="169"/>
      <c r="AO1382" s="169"/>
      <c r="AP1382" s="169"/>
      <c r="AQ1382" s="169"/>
      <c r="AR1382" s="169"/>
      <c r="AS1382" s="169"/>
      <c r="AT1382" s="169"/>
    </row>
    <row r="1383" spans="10:46">
      <c r="J1383" s="64"/>
      <c r="K1383" s="64"/>
      <c r="L1383" s="64"/>
      <c r="M1383" s="64"/>
      <c r="N1383" s="64"/>
      <c r="O1383" s="64"/>
      <c r="P1383" s="64"/>
      <c r="Q1383" s="64"/>
      <c r="R1383" s="64"/>
      <c r="S1383" s="64"/>
      <c r="T1383" s="64"/>
      <c r="U1383" s="64"/>
      <c r="V1383" s="64"/>
      <c r="W1383" s="64"/>
      <c r="X1383" s="64"/>
      <c r="Y1383" s="64"/>
      <c r="Z1383" s="64"/>
      <c r="AA1383" s="64"/>
      <c r="AB1383" s="64"/>
      <c r="AC1383" s="64"/>
      <c r="AD1383" s="64"/>
      <c r="AE1383" s="64"/>
      <c r="AF1383" s="64"/>
      <c r="AG1383" s="64"/>
      <c r="AH1383" s="64"/>
      <c r="AI1383" s="64"/>
      <c r="AJ1383" s="64"/>
      <c r="AK1383" s="64"/>
      <c r="AL1383" s="64"/>
      <c r="AM1383" s="169"/>
      <c r="AN1383" s="169"/>
      <c r="AO1383" s="169"/>
      <c r="AP1383" s="169"/>
      <c r="AQ1383" s="169"/>
      <c r="AR1383" s="169"/>
      <c r="AS1383" s="169"/>
      <c r="AT1383" s="169"/>
    </row>
    <row r="1384" spans="10:46">
      <c r="J1384" s="64"/>
      <c r="K1384" s="64"/>
      <c r="L1384" s="64"/>
      <c r="M1384" s="64"/>
      <c r="N1384" s="64"/>
      <c r="O1384" s="64"/>
      <c r="P1384" s="64"/>
      <c r="Q1384" s="64"/>
      <c r="R1384" s="64"/>
      <c r="S1384" s="64"/>
      <c r="T1384" s="64"/>
      <c r="U1384" s="64"/>
      <c r="V1384" s="64"/>
      <c r="W1384" s="64"/>
      <c r="X1384" s="64"/>
      <c r="Y1384" s="64"/>
      <c r="Z1384" s="64"/>
      <c r="AA1384" s="64"/>
      <c r="AB1384" s="64"/>
      <c r="AC1384" s="64"/>
      <c r="AD1384" s="64"/>
      <c r="AE1384" s="64"/>
      <c r="AF1384" s="64"/>
      <c r="AG1384" s="64"/>
      <c r="AH1384" s="64"/>
      <c r="AI1384" s="64"/>
      <c r="AJ1384" s="64"/>
      <c r="AK1384" s="64"/>
      <c r="AL1384" s="64"/>
      <c r="AM1384" s="169"/>
      <c r="AN1384" s="169"/>
      <c r="AO1384" s="169"/>
      <c r="AP1384" s="169"/>
      <c r="AQ1384" s="169"/>
      <c r="AR1384" s="169"/>
      <c r="AS1384" s="169"/>
      <c r="AT1384" s="169"/>
    </row>
    <row r="1385" spans="10:46">
      <c r="J1385" s="64"/>
      <c r="K1385" s="64"/>
      <c r="L1385" s="64"/>
      <c r="M1385" s="64"/>
      <c r="N1385" s="64"/>
      <c r="O1385" s="64"/>
      <c r="P1385" s="64"/>
      <c r="Q1385" s="64"/>
      <c r="R1385" s="64"/>
      <c r="S1385" s="64"/>
      <c r="T1385" s="64"/>
      <c r="U1385" s="64"/>
      <c r="V1385" s="64"/>
      <c r="W1385" s="64"/>
      <c r="X1385" s="64"/>
      <c r="Y1385" s="64"/>
      <c r="Z1385" s="64"/>
      <c r="AA1385" s="64"/>
      <c r="AB1385" s="64"/>
      <c r="AC1385" s="64"/>
      <c r="AD1385" s="64"/>
      <c r="AE1385" s="64"/>
      <c r="AF1385" s="64"/>
      <c r="AG1385" s="64"/>
      <c r="AH1385" s="64"/>
      <c r="AI1385" s="64"/>
      <c r="AJ1385" s="64"/>
      <c r="AK1385" s="64"/>
      <c r="AL1385" s="64"/>
      <c r="AM1385" s="169"/>
      <c r="AN1385" s="169"/>
      <c r="AO1385" s="169"/>
      <c r="AP1385" s="169"/>
      <c r="AQ1385" s="169"/>
      <c r="AR1385" s="169"/>
      <c r="AS1385" s="169"/>
      <c r="AT1385" s="169"/>
    </row>
    <row r="1386" spans="10:46">
      <c r="J1386" s="64"/>
      <c r="K1386" s="64"/>
      <c r="L1386" s="64"/>
      <c r="M1386" s="64"/>
      <c r="N1386" s="64"/>
      <c r="O1386" s="64"/>
      <c r="P1386" s="64"/>
      <c r="Q1386" s="64"/>
      <c r="R1386" s="64"/>
      <c r="S1386" s="64"/>
      <c r="T1386" s="64"/>
      <c r="U1386" s="64"/>
      <c r="V1386" s="64"/>
      <c r="W1386" s="64"/>
      <c r="X1386" s="64"/>
      <c r="Y1386" s="64"/>
      <c r="Z1386" s="64"/>
      <c r="AA1386" s="64"/>
      <c r="AB1386" s="64"/>
      <c r="AC1386" s="64"/>
      <c r="AD1386" s="64"/>
      <c r="AE1386" s="64"/>
      <c r="AF1386" s="64"/>
      <c r="AG1386" s="64"/>
      <c r="AH1386" s="64"/>
      <c r="AI1386" s="64"/>
      <c r="AJ1386" s="64"/>
      <c r="AK1386" s="64"/>
      <c r="AL1386" s="64"/>
      <c r="AM1386" s="169"/>
      <c r="AN1386" s="169"/>
      <c r="AO1386" s="169"/>
      <c r="AP1386" s="169"/>
      <c r="AQ1386" s="169"/>
      <c r="AR1386" s="169"/>
      <c r="AS1386" s="169"/>
      <c r="AT1386" s="169"/>
    </row>
    <row r="1387" spans="10:46">
      <c r="J1387" s="64"/>
      <c r="K1387" s="64"/>
      <c r="L1387" s="64"/>
      <c r="M1387" s="64"/>
      <c r="N1387" s="64"/>
      <c r="O1387" s="64"/>
      <c r="P1387" s="64"/>
      <c r="Q1387" s="64"/>
      <c r="R1387" s="64"/>
      <c r="S1387" s="64"/>
      <c r="T1387" s="64"/>
      <c r="U1387" s="64"/>
      <c r="V1387" s="64"/>
      <c r="W1387" s="64"/>
      <c r="X1387" s="64"/>
      <c r="Y1387" s="64"/>
      <c r="Z1387" s="64"/>
      <c r="AA1387" s="64"/>
      <c r="AB1387" s="64"/>
      <c r="AC1387" s="64"/>
      <c r="AD1387" s="64"/>
      <c r="AE1387" s="64"/>
      <c r="AF1387" s="64"/>
      <c r="AG1387" s="64"/>
      <c r="AH1387" s="64"/>
      <c r="AI1387" s="64"/>
      <c r="AJ1387" s="64"/>
      <c r="AK1387" s="64"/>
      <c r="AL1387" s="64"/>
      <c r="AM1387" s="169"/>
      <c r="AN1387" s="169"/>
      <c r="AO1387" s="169"/>
      <c r="AP1387" s="169"/>
      <c r="AQ1387" s="169"/>
      <c r="AR1387" s="169"/>
      <c r="AS1387" s="169"/>
      <c r="AT1387" s="169"/>
    </row>
    <row r="1388" spans="10:46">
      <c r="J1388" s="64"/>
      <c r="K1388" s="64"/>
      <c r="L1388" s="64"/>
      <c r="M1388" s="64"/>
      <c r="N1388" s="64"/>
      <c r="O1388" s="64"/>
      <c r="P1388" s="64"/>
      <c r="Q1388" s="64"/>
      <c r="R1388" s="64"/>
      <c r="S1388" s="64"/>
      <c r="T1388" s="64"/>
      <c r="U1388" s="64"/>
      <c r="V1388" s="64"/>
      <c r="W1388" s="64"/>
      <c r="X1388" s="64"/>
      <c r="Y1388" s="64"/>
      <c r="Z1388" s="64"/>
      <c r="AA1388" s="64"/>
      <c r="AB1388" s="64"/>
      <c r="AC1388" s="64"/>
      <c r="AD1388" s="64"/>
      <c r="AE1388" s="64"/>
      <c r="AF1388" s="64"/>
      <c r="AG1388" s="64"/>
      <c r="AH1388" s="64"/>
      <c r="AI1388" s="64"/>
      <c r="AJ1388" s="64"/>
      <c r="AK1388" s="64"/>
      <c r="AL1388" s="64"/>
      <c r="AM1388" s="169"/>
      <c r="AN1388" s="169"/>
      <c r="AO1388" s="169"/>
      <c r="AP1388" s="169"/>
      <c r="AQ1388" s="169"/>
      <c r="AR1388" s="169"/>
      <c r="AS1388" s="169"/>
      <c r="AT1388" s="169"/>
    </row>
    <row r="1389" spans="10:46">
      <c r="J1389" s="64"/>
      <c r="K1389" s="64"/>
      <c r="L1389" s="64"/>
      <c r="M1389" s="64"/>
      <c r="N1389" s="64"/>
      <c r="O1389" s="64"/>
      <c r="P1389" s="64"/>
      <c r="Q1389" s="64"/>
      <c r="R1389" s="64"/>
      <c r="S1389" s="64"/>
      <c r="T1389" s="64"/>
      <c r="U1389" s="64"/>
      <c r="V1389" s="64"/>
      <c r="W1389" s="64"/>
      <c r="X1389" s="64"/>
      <c r="Y1389" s="64"/>
      <c r="Z1389" s="64"/>
      <c r="AA1389" s="64"/>
      <c r="AB1389" s="64"/>
      <c r="AC1389" s="64"/>
      <c r="AD1389" s="64"/>
      <c r="AE1389" s="64"/>
      <c r="AF1389" s="64"/>
      <c r="AG1389" s="64"/>
      <c r="AH1389" s="64"/>
      <c r="AI1389" s="64"/>
      <c r="AJ1389" s="64"/>
      <c r="AK1389" s="64"/>
      <c r="AL1389" s="64"/>
      <c r="AM1389" s="169"/>
      <c r="AN1389" s="169"/>
      <c r="AO1389" s="169"/>
      <c r="AP1389" s="169"/>
      <c r="AQ1389" s="169"/>
      <c r="AR1389" s="169"/>
      <c r="AS1389" s="169"/>
      <c r="AT1389" s="169"/>
    </row>
    <row r="1390" spans="10:46">
      <c r="J1390" s="64"/>
      <c r="K1390" s="64"/>
      <c r="L1390" s="64"/>
      <c r="M1390" s="64"/>
      <c r="N1390" s="64"/>
      <c r="O1390" s="64"/>
      <c r="P1390" s="64"/>
      <c r="Q1390" s="64"/>
      <c r="R1390" s="64"/>
      <c r="S1390" s="64"/>
      <c r="T1390" s="64"/>
      <c r="U1390" s="64"/>
      <c r="V1390" s="64"/>
      <c r="W1390" s="64"/>
      <c r="X1390" s="64"/>
      <c r="Y1390" s="64"/>
      <c r="Z1390" s="64"/>
      <c r="AA1390" s="64"/>
      <c r="AB1390" s="64"/>
      <c r="AC1390" s="64"/>
      <c r="AD1390" s="64"/>
      <c r="AE1390" s="64"/>
      <c r="AF1390" s="64"/>
      <c r="AG1390" s="64"/>
      <c r="AH1390" s="64"/>
      <c r="AI1390" s="64"/>
      <c r="AJ1390" s="64"/>
      <c r="AK1390" s="64"/>
      <c r="AL1390" s="64"/>
      <c r="AM1390" s="169"/>
      <c r="AN1390" s="169"/>
      <c r="AO1390" s="169"/>
      <c r="AP1390" s="169"/>
      <c r="AQ1390" s="169"/>
      <c r="AR1390" s="169"/>
      <c r="AS1390" s="169"/>
      <c r="AT1390" s="169"/>
    </row>
    <row r="1391" spans="10:46">
      <c r="J1391" s="64"/>
      <c r="K1391" s="64"/>
      <c r="L1391" s="64"/>
      <c r="M1391" s="64"/>
      <c r="N1391" s="64"/>
      <c r="O1391" s="64"/>
      <c r="P1391" s="64"/>
      <c r="Q1391" s="64"/>
      <c r="R1391" s="64"/>
      <c r="S1391" s="64"/>
      <c r="T1391" s="64"/>
      <c r="U1391" s="64"/>
      <c r="V1391" s="64"/>
      <c r="W1391" s="64"/>
      <c r="X1391" s="64"/>
      <c r="Y1391" s="64"/>
      <c r="Z1391" s="64"/>
      <c r="AA1391" s="64"/>
      <c r="AB1391" s="64"/>
      <c r="AC1391" s="64"/>
      <c r="AD1391" s="64"/>
      <c r="AE1391" s="64"/>
      <c r="AF1391" s="64"/>
      <c r="AG1391" s="64"/>
      <c r="AH1391" s="64"/>
      <c r="AI1391" s="64"/>
      <c r="AJ1391" s="64"/>
      <c r="AK1391" s="64"/>
      <c r="AL1391" s="64"/>
      <c r="AM1391" s="169"/>
      <c r="AN1391" s="169"/>
      <c r="AO1391" s="169"/>
      <c r="AP1391" s="169"/>
      <c r="AQ1391" s="169"/>
      <c r="AR1391" s="169"/>
      <c r="AS1391" s="169"/>
      <c r="AT1391" s="169"/>
    </row>
    <row r="1392" spans="10:46">
      <c r="J1392" s="64"/>
      <c r="K1392" s="64"/>
      <c r="L1392" s="64"/>
      <c r="M1392" s="64"/>
      <c r="N1392" s="64"/>
      <c r="O1392" s="64"/>
      <c r="P1392" s="64"/>
      <c r="Q1392" s="64"/>
      <c r="R1392" s="64"/>
      <c r="S1392" s="64"/>
      <c r="T1392" s="64"/>
      <c r="U1392" s="64"/>
      <c r="V1392" s="64"/>
      <c r="W1392" s="64"/>
      <c r="X1392" s="64"/>
      <c r="Y1392" s="64"/>
      <c r="Z1392" s="64"/>
      <c r="AA1392" s="64"/>
      <c r="AB1392" s="64"/>
      <c r="AC1392" s="64"/>
      <c r="AD1392" s="64"/>
      <c r="AE1392" s="64"/>
      <c r="AF1392" s="64"/>
      <c r="AG1392" s="64"/>
      <c r="AH1392" s="64"/>
      <c r="AI1392" s="64"/>
      <c r="AJ1392" s="64"/>
      <c r="AK1392" s="64"/>
      <c r="AL1392" s="64"/>
      <c r="AM1392" s="169"/>
      <c r="AN1392" s="169"/>
      <c r="AO1392" s="169"/>
      <c r="AP1392" s="169"/>
      <c r="AQ1392" s="169"/>
      <c r="AR1392" s="169"/>
      <c r="AS1392" s="169"/>
      <c r="AT1392" s="169"/>
    </row>
    <row r="1393" spans="10:46">
      <c r="J1393" s="64"/>
      <c r="K1393" s="64"/>
      <c r="L1393" s="64"/>
      <c r="M1393" s="64"/>
      <c r="N1393" s="64"/>
      <c r="O1393" s="64"/>
      <c r="P1393" s="64"/>
      <c r="Q1393" s="64"/>
      <c r="R1393" s="64"/>
      <c r="S1393" s="64"/>
      <c r="T1393" s="64"/>
      <c r="U1393" s="64"/>
      <c r="V1393" s="64"/>
      <c r="W1393" s="64"/>
      <c r="X1393" s="64"/>
      <c r="Y1393" s="64"/>
      <c r="Z1393" s="64"/>
      <c r="AA1393" s="64"/>
      <c r="AB1393" s="64"/>
      <c r="AC1393" s="64"/>
      <c r="AD1393" s="64"/>
      <c r="AE1393" s="64"/>
      <c r="AF1393" s="64"/>
      <c r="AG1393" s="64"/>
      <c r="AH1393" s="64"/>
      <c r="AI1393" s="64"/>
      <c r="AJ1393" s="64"/>
      <c r="AK1393" s="64"/>
      <c r="AL1393" s="64"/>
      <c r="AM1393" s="169"/>
      <c r="AN1393" s="169"/>
      <c r="AO1393" s="169"/>
      <c r="AP1393" s="169"/>
      <c r="AQ1393" s="169"/>
      <c r="AR1393" s="169"/>
      <c r="AS1393" s="169"/>
      <c r="AT1393" s="169"/>
    </row>
    <row r="1394" spans="10:46">
      <c r="J1394" s="64"/>
      <c r="K1394" s="64"/>
      <c r="L1394" s="64"/>
      <c r="M1394" s="64"/>
      <c r="N1394" s="64"/>
      <c r="O1394" s="64"/>
      <c r="P1394" s="64"/>
      <c r="Q1394" s="64"/>
      <c r="R1394" s="64"/>
      <c r="S1394" s="64"/>
      <c r="T1394" s="64"/>
      <c r="U1394" s="64"/>
      <c r="V1394" s="64"/>
      <c r="W1394" s="64"/>
      <c r="X1394" s="64"/>
      <c r="Y1394" s="64"/>
      <c r="Z1394" s="64"/>
      <c r="AA1394" s="64"/>
      <c r="AB1394" s="64"/>
      <c r="AC1394" s="64"/>
      <c r="AD1394" s="64"/>
      <c r="AE1394" s="64"/>
      <c r="AF1394" s="64"/>
      <c r="AG1394" s="64"/>
      <c r="AH1394" s="64"/>
      <c r="AI1394" s="64"/>
      <c r="AJ1394" s="64"/>
      <c r="AK1394" s="64"/>
      <c r="AL1394" s="64"/>
      <c r="AM1394" s="169"/>
      <c r="AN1394" s="169"/>
      <c r="AO1394" s="169"/>
      <c r="AP1394" s="169"/>
      <c r="AQ1394" s="169"/>
      <c r="AR1394" s="169"/>
      <c r="AS1394" s="169"/>
      <c r="AT1394" s="169"/>
    </row>
    <row r="1395" spans="10:46">
      <c r="J1395" s="64"/>
      <c r="K1395" s="64"/>
      <c r="L1395" s="64"/>
      <c r="M1395" s="64"/>
      <c r="N1395" s="64"/>
      <c r="O1395" s="64"/>
      <c r="P1395" s="64"/>
      <c r="Q1395" s="64"/>
      <c r="R1395" s="64"/>
      <c r="S1395" s="64"/>
      <c r="T1395" s="64"/>
      <c r="U1395" s="64"/>
      <c r="V1395" s="64"/>
      <c r="W1395" s="64"/>
      <c r="X1395" s="64"/>
      <c r="Y1395" s="64"/>
      <c r="Z1395" s="64"/>
      <c r="AA1395" s="64"/>
      <c r="AB1395" s="64"/>
      <c r="AC1395" s="64"/>
      <c r="AD1395" s="64"/>
      <c r="AE1395" s="64"/>
      <c r="AF1395" s="64"/>
      <c r="AG1395" s="64"/>
      <c r="AH1395" s="64"/>
      <c r="AI1395" s="64"/>
      <c r="AJ1395" s="64"/>
      <c r="AK1395" s="64"/>
      <c r="AL1395" s="64"/>
      <c r="AM1395" s="169"/>
      <c r="AN1395" s="169"/>
      <c r="AO1395" s="169"/>
      <c r="AP1395" s="169"/>
      <c r="AQ1395" s="169"/>
      <c r="AR1395" s="169"/>
      <c r="AS1395" s="169"/>
      <c r="AT1395" s="169"/>
    </row>
    <row r="1396" spans="10:46">
      <c r="J1396" s="64"/>
      <c r="K1396" s="64"/>
      <c r="L1396" s="64"/>
      <c r="M1396" s="64"/>
      <c r="N1396" s="64"/>
      <c r="O1396" s="64"/>
      <c r="P1396" s="64"/>
      <c r="Q1396" s="64"/>
      <c r="R1396" s="64"/>
      <c r="S1396" s="64"/>
      <c r="T1396" s="64"/>
      <c r="U1396" s="64"/>
      <c r="V1396" s="64"/>
      <c r="W1396" s="64"/>
      <c r="X1396" s="64"/>
      <c r="Y1396" s="64"/>
      <c r="Z1396" s="64"/>
      <c r="AA1396" s="64"/>
      <c r="AB1396" s="64"/>
      <c r="AC1396" s="64"/>
      <c r="AD1396" s="64"/>
      <c r="AE1396" s="64"/>
      <c r="AF1396" s="64"/>
      <c r="AG1396" s="64"/>
      <c r="AH1396" s="64"/>
      <c r="AI1396" s="64"/>
      <c r="AJ1396" s="64"/>
      <c r="AK1396" s="64"/>
      <c r="AL1396" s="64"/>
      <c r="AM1396" s="169"/>
      <c r="AN1396" s="169"/>
      <c r="AO1396" s="169"/>
      <c r="AP1396" s="169"/>
      <c r="AQ1396" s="169"/>
      <c r="AR1396" s="169"/>
      <c r="AS1396" s="169"/>
      <c r="AT1396" s="169"/>
    </row>
    <row r="1397" spans="10:46">
      <c r="J1397" s="64"/>
      <c r="K1397" s="64"/>
      <c r="L1397" s="64"/>
      <c r="M1397" s="64"/>
      <c r="N1397" s="64"/>
      <c r="O1397" s="64"/>
      <c r="P1397" s="64"/>
      <c r="Q1397" s="64"/>
      <c r="R1397" s="64"/>
      <c r="S1397" s="64"/>
      <c r="T1397" s="64"/>
      <c r="U1397" s="64"/>
      <c r="V1397" s="64"/>
      <c r="W1397" s="64"/>
      <c r="X1397" s="64"/>
      <c r="Y1397" s="64"/>
      <c r="Z1397" s="64"/>
      <c r="AA1397" s="64"/>
      <c r="AB1397" s="64"/>
      <c r="AC1397" s="64"/>
      <c r="AD1397" s="64"/>
      <c r="AE1397" s="64"/>
      <c r="AF1397" s="64"/>
      <c r="AG1397" s="64"/>
      <c r="AH1397" s="64"/>
      <c r="AI1397" s="64"/>
      <c r="AJ1397" s="64"/>
      <c r="AK1397" s="64"/>
      <c r="AL1397" s="64"/>
      <c r="AM1397" s="169"/>
      <c r="AN1397" s="169"/>
      <c r="AO1397" s="169"/>
      <c r="AP1397" s="169"/>
      <c r="AQ1397" s="169"/>
      <c r="AR1397" s="169"/>
      <c r="AS1397" s="169"/>
      <c r="AT1397" s="169"/>
    </row>
    <row r="1398" spans="10:46">
      <c r="J1398" s="64"/>
      <c r="K1398" s="64"/>
      <c r="L1398" s="64"/>
      <c r="M1398" s="64"/>
      <c r="N1398" s="64"/>
      <c r="O1398" s="64"/>
      <c r="P1398" s="64"/>
      <c r="Q1398" s="64"/>
      <c r="R1398" s="64"/>
      <c r="S1398" s="64"/>
      <c r="T1398" s="64"/>
      <c r="U1398" s="64"/>
      <c r="V1398" s="64"/>
      <c r="W1398" s="64"/>
      <c r="X1398" s="64"/>
      <c r="Y1398" s="64"/>
      <c r="Z1398" s="64"/>
      <c r="AA1398" s="64"/>
      <c r="AB1398" s="64"/>
      <c r="AC1398" s="64"/>
      <c r="AD1398" s="64"/>
      <c r="AE1398" s="64"/>
      <c r="AF1398" s="64"/>
      <c r="AG1398" s="64"/>
      <c r="AH1398" s="64"/>
      <c r="AI1398" s="64"/>
      <c r="AJ1398" s="64"/>
      <c r="AK1398" s="64"/>
      <c r="AL1398" s="64"/>
      <c r="AM1398" s="169"/>
      <c r="AN1398" s="169"/>
      <c r="AO1398" s="169"/>
      <c r="AP1398" s="169"/>
      <c r="AQ1398" s="169"/>
      <c r="AR1398" s="169"/>
      <c r="AS1398" s="169"/>
      <c r="AT1398" s="169"/>
    </row>
    <row r="1399" spans="10:46">
      <c r="J1399" s="64"/>
      <c r="K1399" s="64"/>
      <c r="L1399" s="64"/>
      <c r="M1399" s="64"/>
      <c r="N1399" s="64"/>
      <c r="O1399" s="64"/>
      <c r="P1399" s="64"/>
      <c r="Q1399" s="64"/>
      <c r="R1399" s="64"/>
      <c r="S1399" s="64"/>
      <c r="T1399" s="64"/>
      <c r="U1399" s="64"/>
      <c r="V1399" s="64"/>
      <c r="W1399" s="64"/>
      <c r="X1399" s="64"/>
      <c r="Y1399" s="64"/>
      <c r="Z1399" s="64"/>
      <c r="AA1399" s="64"/>
      <c r="AB1399" s="64"/>
      <c r="AC1399" s="64"/>
      <c r="AD1399" s="64"/>
      <c r="AE1399" s="64"/>
      <c r="AF1399" s="64"/>
      <c r="AG1399" s="64"/>
      <c r="AH1399" s="64"/>
      <c r="AI1399" s="64"/>
      <c r="AJ1399" s="64"/>
      <c r="AK1399" s="64"/>
      <c r="AL1399" s="64"/>
      <c r="AM1399" s="169"/>
      <c r="AN1399" s="169"/>
      <c r="AO1399" s="169"/>
      <c r="AP1399" s="169"/>
      <c r="AQ1399" s="169"/>
      <c r="AR1399" s="169"/>
      <c r="AS1399" s="169"/>
      <c r="AT1399" s="169"/>
    </row>
    <row r="1400" spans="10:46">
      <c r="J1400" s="64"/>
      <c r="K1400" s="64"/>
      <c r="L1400" s="64"/>
      <c r="M1400" s="64"/>
      <c r="N1400" s="64"/>
      <c r="O1400" s="64"/>
      <c r="P1400" s="64"/>
      <c r="Q1400" s="64"/>
      <c r="R1400" s="64"/>
      <c r="S1400" s="64"/>
      <c r="T1400" s="64"/>
      <c r="U1400" s="64"/>
      <c r="V1400" s="64"/>
      <c r="W1400" s="64"/>
      <c r="X1400" s="64"/>
      <c r="Y1400" s="64"/>
      <c r="Z1400" s="64"/>
      <c r="AA1400" s="64"/>
      <c r="AB1400" s="64"/>
      <c r="AC1400" s="64"/>
      <c r="AD1400" s="64"/>
      <c r="AE1400" s="64"/>
      <c r="AF1400" s="64"/>
      <c r="AG1400" s="64"/>
      <c r="AH1400" s="64"/>
      <c r="AI1400" s="64"/>
      <c r="AJ1400" s="64"/>
      <c r="AK1400" s="64"/>
      <c r="AL1400" s="64"/>
      <c r="AM1400" s="169"/>
      <c r="AN1400" s="169"/>
      <c r="AO1400" s="169"/>
      <c r="AP1400" s="169"/>
      <c r="AQ1400" s="169"/>
      <c r="AR1400" s="169"/>
      <c r="AS1400" s="169"/>
      <c r="AT1400" s="169"/>
    </row>
    <row r="1401" spans="10:46">
      <c r="J1401" s="64"/>
      <c r="K1401" s="64"/>
      <c r="L1401" s="64"/>
      <c r="M1401" s="64"/>
      <c r="N1401" s="64"/>
      <c r="O1401" s="64"/>
      <c r="P1401" s="64"/>
      <c r="Q1401" s="64"/>
      <c r="R1401" s="64"/>
      <c r="S1401" s="64"/>
      <c r="T1401" s="64"/>
      <c r="U1401" s="64"/>
      <c r="V1401" s="64"/>
      <c r="W1401" s="64"/>
      <c r="X1401" s="64"/>
      <c r="Y1401" s="64"/>
      <c r="Z1401" s="64"/>
      <c r="AA1401" s="64"/>
      <c r="AB1401" s="64"/>
      <c r="AC1401" s="64"/>
      <c r="AD1401" s="64"/>
      <c r="AE1401" s="64"/>
      <c r="AF1401" s="64"/>
      <c r="AG1401" s="64"/>
      <c r="AH1401" s="64"/>
      <c r="AI1401" s="64"/>
      <c r="AJ1401" s="64"/>
      <c r="AK1401" s="64"/>
      <c r="AL1401" s="64"/>
      <c r="AM1401" s="169"/>
      <c r="AN1401" s="169"/>
      <c r="AO1401" s="169"/>
      <c r="AP1401" s="169"/>
      <c r="AQ1401" s="169"/>
      <c r="AR1401" s="169"/>
      <c r="AS1401" s="169"/>
      <c r="AT1401" s="169"/>
    </row>
    <row r="1402" spans="10:46">
      <c r="J1402" s="64"/>
      <c r="K1402" s="64"/>
      <c r="L1402" s="64"/>
      <c r="M1402" s="64"/>
      <c r="N1402" s="64"/>
      <c r="O1402" s="64"/>
      <c r="P1402" s="64"/>
      <c r="Q1402" s="64"/>
      <c r="R1402" s="64"/>
      <c r="S1402" s="64"/>
      <c r="T1402" s="64"/>
      <c r="U1402" s="64"/>
      <c r="V1402" s="64"/>
      <c r="W1402" s="64"/>
      <c r="X1402" s="64"/>
      <c r="Y1402" s="64"/>
      <c r="Z1402" s="64"/>
      <c r="AA1402" s="64"/>
      <c r="AB1402" s="64"/>
      <c r="AC1402" s="64"/>
      <c r="AD1402" s="64"/>
      <c r="AE1402" s="64"/>
      <c r="AF1402" s="64"/>
      <c r="AG1402" s="64"/>
      <c r="AH1402" s="64"/>
      <c r="AI1402" s="64"/>
      <c r="AJ1402" s="64"/>
      <c r="AK1402" s="64"/>
      <c r="AL1402" s="64"/>
      <c r="AM1402" s="169"/>
      <c r="AN1402" s="169"/>
      <c r="AO1402" s="169"/>
      <c r="AP1402" s="169"/>
      <c r="AQ1402" s="169"/>
      <c r="AR1402" s="169"/>
      <c r="AS1402" s="169"/>
      <c r="AT1402" s="169"/>
    </row>
    <row r="1403" spans="10:46">
      <c r="J1403" s="64"/>
      <c r="K1403" s="64"/>
      <c r="L1403" s="64"/>
      <c r="M1403" s="64"/>
      <c r="N1403" s="64"/>
      <c r="O1403" s="64"/>
      <c r="P1403" s="64"/>
      <c r="Q1403" s="64"/>
      <c r="R1403" s="64"/>
      <c r="S1403" s="64"/>
      <c r="T1403" s="64"/>
      <c r="U1403" s="64"/>
      <c r="V1403" s="64"/>
      <c r="W1403" s="64"/>
      <c r="X1403" s="64"/>
      <c r="Y1403" s="64"/>
      <c r="Z1403" s="64"/>
      <c r="AA1403" s="64"/>
      <c r="AB1403" s="64"/>
      <c r="AC1403" s="64"/>
      <c r="AD1403" s="64"/>
      <c r="AE1403" s="64"/>
      <c r="AF1403" s="64"/>
      <c r="AG1403" s="64"/>
      <c r="AH1403" s="64"/>
      <c r="AI1403" s="64"/>
      <c r="AJ1403" s="64"/>
      <c r="AK1403" s="64"/>
      <c r="AL1403" s="64"/>
      <c r="AM1403" s="169"/>
      <c r="AN1403" s="169"/>
      <c r="AO1403" s="169"/>
      <c r="AP1403" s="169"/>
      <c r="AQ1403" s="169"/>
      <c r="AR1403" s="169"/>
      <c r="AS1403" s="169"/>
      <c r="AT1403" s="169"/>
    </row>
    <row r="1404" spans="10:46">
      <c r="J1404" s="64"/>
      <c r="K1404" s="64"/>
      <c r="L1404" s="64"/>
      <c r="M1404" s="64"/>
      <c r="N1404" s="64"/>
      <c r="O1404" s="64"/>
      <c r="P1404" s="64"/>
      <c r="Q1404" s="64"/>
      <c r="R1404" s="64"/>
      <c r="S1404" s="64"/>
      <c r="T1404" s="64"/>
      <c r="U1404" s="64"/>
      <c r="V1404" s="64"/>
      <c r="W1404" s="64"/>
      <c r="X1404" s="64"/>
      <c r="Y1404" s="64"/>
      <c r="Z1404" s="64"/>
      <c r="AA1404" s="64"/>
      <c r="AB1404" s="64"/>
      <c r="AC1404" s="64"/>
      <c r="AD1404" s="64"/>
      <c r="AE1404" s="64"/>
      <c r="AF1404" s="64"/>
      <c r="AG1404" s="64"/>
      <c r="AH1404" s="64"/>
      <c r="AI1404" s="64"/>
      <c r="AJ1404" s="64"/>
      <c r="AK1404" s="64"/>
      <c r="AL1404" s="64"/>
      <c r="AM1404" s="169"/>
      <c r="AN1404" s="169"/>
      <c r="AO1404" s="169"/>
      <c r="AP1404" s="169"/>
      <c r="AQ1404" s="169"/>
      <c r="AR1404" s="169"/>
      <c r="AS1404" s="169"/>
      <c r="AT1404" s="169"/>
    </row>
    <row r="1405" spans="10:46">
      <c r="J1405" s="64"/>
      <c r="K1405" s="64"/>
      <c r="L1405" s="64"/>
      <c r="M1405" s="64"/>
      <c r="N1405" s="64"/>
      <c r="O1405" s="64"/>
      <c r="P1405" s="64"/>
      <c r="Q1405" s="64"/>
      <c r="R1405" s="64"/>
      <c r="S1405" s="64"/>
      <c r="T1405" s="64"/>
      <c r="U1405" s="64"/>
      <c r="V1405" s="64"/>
      <c r="W1405" s="64"/>
      <c r="X1405" s="64"/>
      <c r="Y1405" s="64"/>
      <c r="Z1405" s="64"/>
      <c r="AA1405" s="64"/>
      <c r="AB1405" s="64"/>
      <c r="AC1405" s="64"/>
      <c r="AD1405" s="64"/>
      <c r="AE1405" s="64"/>
      <c r="AF1405" s="64"/>
      <c r="AG1405" s="64"/>
      <c r="AH1405" s="64"/>
      <c r="AI1405" s="64"/>
      <c r="AJ1405" s="64"/>
      <c r="AK1405" s="64"/>
      <c r="AL1405" s="64"/>
      <c r="AM1405" s="169"/>
      <c r="AN1405" s="169"/>
      <c r="AO1405" s="169"/>
      <c r="AP1405" s="169"/>
      <c r="AQ1405" s="169"/>
      <c r="AR1405" s="169"/>
      <c r="AS1405" s="169"/>
      <c r="AT1405" s="169"/>
    </row>
    <row r="1406" spans="10:46">
      <c r="J1406" s="64"/>
      <c r="K1406" s="64"/>
      <c r="L1406" s="64"/>
      <c r="M1406" s="64"/>
      <c r="N1406" s="64"/>
      <c r="O1406" s="64"/>
      <c r="P1406" s="64"/>
      <c r="Q1406" s="64"/>
      <c r="R1406" s="64"/>
      <c r="S1406" s="64"/>
      <c r="T1406" s="64"/>
      <c r="U1406" s="64"/>
      <c r="V1406" s="64"/>
      <c r="W1406" s="64"/>
      <c r="X1406" s="64"/>
      <c r="Y1406" s="64"/>
      <c r="Z1406" s="64"/>
      <c r="AA1406" s="64"/>
      <c r="AB1406" s="64"/>
      <c r="AC1406" s="64"/>
      <c r="AD1406" s="64"/>
      <c r="AE1406" s="64"/>
      <c r="AF1406" s="64"/>
      <c r="AG1406" s="64"/>
      <c r="AH1406" s="64"/>
      <c r="AI1406" s="64"/>
      <c r="AJ1406" s="64"/>
      <c r="AK1406" s="64"/>
      <c r="AL1406" s="64"/>
      <c r="AM1406" s="169"/>
      <c r="AN1406" s="169"/>
      <c r="AO1406" s="169"/>
      <c r="AP1406" s="169"/>
      <c r="AQ1406" s="169"/>
      <c r="AR1406" s="169"/>
      <c r="AS1406" s="169"/>
      <c r="AT1406" s="169"/>
    </row>
    <row r="1407" spans="10:46">
      <c r="J1407" s="64"/>
      <c r="K1407" s="64"/>
      <c r="L1407" s="64"/>
      <c r="M1407" s="64"/>
      <c r="N1407" s="64"/>
      <c r="O1407" s="64"/>
      <c r="P1407" s="64"/>
      <c r="Q1407" s="64"/>
      <c r="R1407" s="64"/>
      <c r="S1407" s="64"/>
      <c r="T1407" s="64"/>
      <c r="U1407" s="64"/>
      <c r="V1407" s="64"/>
      <c r="W1407" s="64"/>
      <c r="X1407" s="64"/>
      <c r="Y1407" s="64"/>
      <c r="Z1407" s="64"/>
      <c r="AA1407" s="64"/>
      <c r="AB1407" s="64"/>
      <c r="AC1407" s="64"/>
      <c r="AD1407" s="64"/>
      <c r="AE1407" s="64"/>
      <c r="AF1407" s="64"/>
      <c r="AG1407" s="64"/>
      <c r="AH1407" s="64"/>
      <c r="AI1407" s="64"/>
      <c r="AJ1407" s="64"/>
      <c r="AK1407" s="64"/>
      <c r="AL1407" s="64"/>
      <c r="AM1407" s="169"/>
      <c r="AN1407" s="169"/>
      <c r="AO1407" s="169"/>
      <c r="AP1407" s="169"/>
      <c r="AQ1407" s="169"/>
      <c r="AR1407" s="169"/>
      <c r="AS1407" s="169"/>
      <c r="AT1407" s="169"/>
    </row>
    <row r="1408" spans="10:46">
      <c r="J1408" s="64"/>
      <c r="K1408" s="64"/>
      <c r="L1408" s="64"/>
      <c r="M1408" s="64"/>
      <c r="N1408" s="64"/>
      <c r="O1408" s="64"/>
      <c r="P1408" s="64"/>
      <c r="Q1408" s="64"/>
      <c r="R1408" s="64"/>
      <c r="S1408" s="64"/>
      <c r="T1408" s="64"/>
      <c r="U1408" s="64"/>
      <c r="V1408" s="64"/>
      <c r="W1408" s="64"/>
      <c r="X1408" s="64"/>
      <c r="Y1408" s="64"/>
      <c r="Z1408" s="64"/>
      <c r="AA1408" s="64"/>
      <c r="AB1408" s="64"/>
      <c r="AC1408" s="64"/>
      <c r="AD1408" s="64"/>
      <c r="AE1408" s="64"/>
      <c r="AF1408" s="64"/>
      <c r="AG1408" s="64"/>
      <c r="AH1408" s="64"/>
      <c r="AI1408" s="64"/>
      <c r="AJ1408" s="64"/>
      <c r="AK1408" s="64"/>
      <c r="AL1408" s="64"/>
      <c r="AM1408" s="169"/>
      <c r="AN1408" s="169"/>
      <c r="AO1408" s="169"/>
      <c r="AP1408" s="169"/>
      <c r="AQ1408" s="169"/>
      <c r="AR1408" s="169"/>
      <c r="AS1408" s="169"/>
      <c r="AT1408" s="169"/>
    </row>
    <row r="1409" spans="10:46">
      <c r="J1409" s="64"/>
      <c r="K1409" s="64"/>
      <c r="L1409" s="64"/>
      <c r="M1409" s="64"/>
      <c r="N1409" s="64"/>
      <c r="O1409" s="64"/>
      <c r="P1409" s="64"/>
      <c r="Q1409" s="64"/>
      <c r="R1409" s="64"/>
      <c r="S1409" s="64"/>
      <c r="T1409" s="64"/>
      <c r="U1409" s="64"/>
      <c r="V1409" s="64"/>
      <c r="W1409" s="64"/>
      <c r="X1409" s="64"/>
      <c r="Y1409" s="64"/>
      <c r="Z1409" s="64"/>
      <c r="AA1409" s="64"/>
      <c r="AB1409" s="64"/>
      <c r="AC1409" s="64"/>
      <c r="AD1409" s="64"/>
      <c r="AE1409" s="64"/>
      <c r="AF1409" s="64"/>
      <c r="AG1409" s="64"/>
      <c r="AH1409" s="64"/>
      <c r="AI1409" s="64"/>
      <c r="AJ1409" s="64"/>
      <c r="AK1409" s="64"/>
      <c r="AL1409" s="64"/>
      <c r="AM1409" s="169"/>
      <c r="AN1409" s="169"/>
      <c r="AO1409" s="169"/>
      <c r="AP1409" s="169"/>
      <c r="AQ1409" s="169"/>
      <c r="AR1409" s="169"/>
      <c r="AS1409" s="169"/>
      <c r="AT1409" s="169"/>
    </row>
    <row r="1410" spans="10:46">
      <c r="J1410" s="64"/>
      <c r="K1410" s="64"/>
      <c r="L1410" s="64"/>
      <c r="M1410" s="64"/>
      <c r="N1410" s="64"/>
      <c r="O1410" s="64"/>
      <c r="P1410" s="64"/>
      <c r="Q1410" s="64"/>
      <c r="R1410" s="64"/>
      <c r="S1410" s="64"/>
      <c r="T1410" s="64"/>
      <c r="U1410" s="64"/>
      <c r="V1410" s="64"/>
      <c r="W1410" s="64"/>
      <c r="X1410" s="64"/>
      <c r="Y1410" s="64"/>
      <c r="Z1410" s="64"/>
      <c r="AA1410" s="64"/>
      <c r="AB1410" s="64"/>
      <c r="AC1410" s="64"/>
      <c r="AD1410" s="64"/>
      <c r="AE1410" s="64"/>
      <c r="AF1410" s="64"/>
      <c r="AG1410" s="64"/>
      <c r="AH1410" s="64"/>
      <c r="AI1410" s="64"/>
      <c r="AJ1410" s="64"/>
      <c r="AK1410" s="64"/>
      <c r="AL1410" s="64"/>
      <c r="AM1410" s="169"/>
      <c r="AN1410" s="169"/>
      <c r="AO1410" s="169"/>
      <c r="AP1410" s="169"/>
      <c r="AQ1410" s="169"/>
      <c r="AR1410" s="169"/>
      <c r="AS1410" s="169"/>
      <c r="AT1410" s="169"/>
    </row>
    <row r="1411" spans="10:46">
      <c r="J1411" s="64"/>
      <c r="K1411" s="64"/>
      <c r="L1411" s="64"/>
      <c r="M1411" s="64"/>
      <c r="N1411" s="64"/>
      <c r="O1411" s="64"/>
      <c r="P1411" s="64"/>
      <c r="Q1411" s="64"/>
      <c r="R1411" s="64"/>
      <c r="S1411" s="64"/>
      <c r="T1411" s="64"/>
      <c r="U1411" s="64"/>
      <c r="V1411" s="64"/>
      <c r="W1411" s="64"/>
      <c r="X1411" s="64"/>
      <c r="Y1411" s="64"/>
      <c r="Z1411" s="64"/>
      <c r="AA1411" s="64"/>
      <c r="AB1411" s="64"/>
      <c r="AC1411" s="64"/>
      <c r="AD1411" s="64"/>
      <c r="AE1411" s="64"/>
      <c r="AF1411" s="64"/>
      <c r="AG1411" s="64"/>
      <c r="AH1411" s="64"/>
      <c r="AI1411" s="64"/>
      <c r="AJ1411" s="64"/>
      <c r="AK1411" s="64"/>
      <c r="AL1411" s="64"/>
      <c r="AM1411" s="169"/>
      <c r="AN1411" s="169"/>
      <c r="AO1411" s="169"/>
      <c r="AP1411" s="169"/>
      <c r="AQ1411" s="169"/>
      <c r="AR1411" s="169"/>
      <c r="AS1411" s="169"/>
      <c r="AT1411" s="169"/>
    </row>
    <row r="1412" spans="10:46">
      <c r="J1412" s="64"/>
      <c r="K1412" s="64"/>
      <c r="L1412" s="64"/>
      <c r="M1412" s="64"/>
      <c r="N1412" s="64"/>
      <c r="O1412" s="64"/>
      <c r="P1412" s="64"/>
      <c r="Q1412" s="64"/>
      <c r="R1412" s="64"/>
      <c r="S1412" s="64"/>
      <c r="T1412" s="64"/>
      <c r="U1412" s="64"/>
      <c r="V1412" s="64"/>
      <c r="W1412" s="64"/>
      <c r="X1412" s="64"/>
      <c r="Y1412" s="64"/>
      <c r="Z1412" s="64"/>
      <c r="AA1412" s="64"/>
      <c r="AB1412" s="64"/>
      <c r="AC1412" s="64"/>
      <c r="AD1412" s="64"/>
      <c r="AE1412" s="64"/>
      <c r="AF1412" s="64"/>
      <c r="AG1412" s="64"/>
      <c r="AH1412" s="64"/>
      <c r="AI1412" s="64"/>
      <c r="AJ1412" s="64"/>
      <c r="AK1412" s="64"/>
      <c r="AL1412" s="64"/>
      <c r="AM1412" s="169"/>
      <c r="AN1412" s="169"/>
      <c r="AO1412" s="169"/>
      <c r="AP1412" s="169"/>
      <c r="AQ1412" s="169"/>
      <c r="AR1412" s="169"/>
      <c r="AS1412" s="169"/>
      <c r="AT1412" s="169"/>
    </row>
    <row r="1413" spans="10:46">
      <c r="J1413" s="64"/>
      <c r="K1413" s="64"/>
      <c r="L1413" s="64"/>
      <c r="M1413" s="64"/>
      <c r="N1413" s="64"/>
      <c r="O1413" s="64"/>
      <c r="P1413" s="64"/>
      <c r="Q1413" s="64"/>
      <c r="R1413" s="64"/>
      <c r="S1413" s="64"/>
      <c r="T1413" s="64"/>
      <c r="U1413" s="64"/>
      <c r="V1413" s="64"/>
      <c r="W1413" s="64"/>
      <c r="X1413" s="64"/>
      <c r="Y1413" s="64"/>
      <c r="Z1413" s="64"/>
      <c r="AA1413" s="64"/>
      <c r="AB1413" s="64"/>
      <c r="AC1413" s="64"/>
      <c r="AD1413" s="64"/>
      <c r="AE1413" s="64"/>
      <c r="AF1413" s="64"/>
      <c r="AG1413" s="64"/>
      <c r="AH1413" s="64"/>
      <c r="AI1413" s="64"/>
      <c r="AJ1413" s="64"/>
      <c r="AK1413" s="64"/>
      <c r="AL1413" s="64"/>
      <c r="AM1413" s="169"/>
      <c r="AN1413" s="169"/>
      <c r="AO1413" s="169"/>
      <c r="AP1413" s="169"/>
      <c r="AQ1413" s="169"/>
      <c r="AR1413" s="169"/>
      <c r="AS1413" s="169"/>
      <c r="AT1413" s="169"/>
    </row>
    <row r="1414" spans="10:46">
      <c r="J1414" s="64"/>
      <c r="K1414" s="64"/>
      <c r="L1414" s="64"/>
      <c r="M1414" s="64"/>
      <c r="N1414" s="64"/>
      <c r="O1414" s="64"/>
      <c r="P1414" s="64"/>
      <c r="Q1414" s="64"/>
      <c r="R1414" s="64"/>
      <c r="S1414" s="64"/>
      <c r="T1414" s="64"/>
      <c r="U1414" s="64"/>
      <c r="V1414" s="64"/>
      <c r="W1414" s="64"/>
      <c r="X1414" s="64"/>
      <c r="Y1414" s="64"/>
      <c r="Z1414" s="64"/>
      <c r="AA1414" s="64"/>
      <c r="AB1414" s="64"/>
      <c r="AC1414" s="64"/>
      <c r="AD1414" s="64"/>
      <c r="AE1414" s="64"/>
      <c r="AF1414" s="64"/>
      <c r="AG1414" s="64"/>
      <c r="AH1414" s="64"/>
      <c r="AI1414" s="64"/>
      <c r="AJ1414" s="64"/>
      <c r="AK1414" s="64"/>
      <c r="AL1414" s="64"/>
      <c r="AM1414" s="169"/>
      <c r="AN1414" s="169"/>
      <c r="AO1414" s="169"/>
      <c r="AP1414" s="169"/>
      <c r="AQ1414" s="169"/>
      <c r="AR1414" s="169"/>
      <c r="AS1414" s="169"/>
      <c r="AT1414" s="169"/>
    </row>
    <row r="1415" spans="10:46">
      <c r="J1415" s="64"/>
      <c r="K1415" s="64"/>
      <c r="L1415" s="64"/>
      <c r="M1415" s="64"/>
      <c r="N1415" s="64"/>
      <c r="O1415" s="64"/>
      <c r="P1415" s="64"/>
      <c r="Q1415" s="64"/>
      <c r="R1415" s="64"/>
      <c r="S1415" s="64"/>
      <c r="T1415" s="64"/>
      <c r="U1415" s="64"/>
      <c r="V1415" s="64"/>
      <c r="W1415" s="64"/>
      <c r="X1415" s="64"/>
      <c r="Y1415" s="64"/>
      <c r="Z1415" s="64"/>
      <c r="AA1415" s="64"/>
      <c r="AB1415" s="64"/>
      <c r="AC1415" s="64"/>
      <c r="AD1415" s="64"/>
      <c r="AE1415" s="64"/>
      <c r="AF1415" s="64"/>
      <c r="AG1415" s="64"/>
      <c r="AH1415" s="64"/>
      <c r="AI1415" s="64"/>
      <c r="AJ1415" s="64"/>
      <c r="AK1415" s="64"/>
      <c r="AL1415" s="64"/>
      <c r="AM1415" s="169"/>
      <c r="AN1415" s="169"/>
      <c r="AO1415" s="169"/>
      <c r="AP1415" s="169"/>
      <c r="AQ1415" s="169"/>
      <c r="AR1415" s="169"/>
      <c r="AS1415" s="169"/>
      <c r="AT1415" s="169"/>
    </row>
    <row r="1416" spans="10:46">
      <c r="J1416" s="64"/>
      <c r="K1416" s="64"/>
      <c r="L1416" s="64"/>
      <c r="M1416" s="64"/>
      <c r="N1416" s="64"/>
      <c r="O1416" s="64"/>
      <c r="P1416" s="64"/>
      <c r="Q1416" s="64"/>
      <c r="R1416" s="64"/>
      <c r="S1416" s="64"/>
      <c r="T1416" s="64"/>
      <c r="U1416" s="64"/>
      <c r="V1416" s="64"/>
      <c r="W1416" s="64"/>
      <c r="X1416" s="64"/>
      <c r="Y1416" s="64"/>
      <c r="Z1416" s="64"/>
      <c r="AA1416" s="64"/>
      <c r="AB1416" s="64"/>
      <c r="AC1416" s="64"/>
      <c r="AD1416" s="64"/>
      <c r="AE1416" s="64"/>
      <c r="AF1416" s="64"/>
      <c r="AG1416" s="64"/>
      <c r="AH1416" s="64"/>
      <c r="AI1416" s="64"/>
      <c r="AJ1416" s="64"/>
      <c r="AK1416" s="64"/>
      <c r="AL1416" s="64"/>
      <c r="AM1416" s="169"/>
      <c r="AN1416" s="169"/>
      <c r="AO1416" s="169"/>
      <c r="AP1416" s="169"/>
      <c r="AQ1416" s="169"/>
      <c r="AR1416" s="169"/>
      <c r="AS1416" s="169"/>
      <c r="AT1416" s="169"/>
    </row>
    <row r="1417" spans="10:46">
      <c r="J1417" s="64"/>
      <c r="K1417" s="64"/>
      <c r="L1417" s="64"/>
      <c r="M1417" s="64"/>
      <c r="N1417" s="64"/>
      <c r="O1417" s="64"/>
      <c r="P1417" s="64"/>
      <c r="Q1417" s="64"/>
      <c r="R1417" s="64"/>
      <c r="S1417" s="64"/>
      <c r="T1417" s="64"/>
      <c r="U1417" s="64"/>
      <c r="V1417" s="64"/>
      <c r="W1417" s="64"/>
      <c r="X1417" s="64"/>
      <c r="Y1417" s="64"/>
      <c r="Z1417" s="64"/>
      <c r="AA1417" s="64"/>
      <c r="AB1417" s="64"/>
      <c r="AC1417" s="64"/>
      <c r="AD1417" s="64"/>
      <c r="AE1417" s="64"/>
      <c r="AF1417" s="64"/>
      <c r="AG1417" s="64"/>
      <c r="AH1417" s="64"/>
      <c r="AI1417" s="64"/>
      <c r="AJ1417" s="64"/>
      <c r="AK1417" s="64"/>
      <c r="AL1417" s="64"/>
      <c r="AM1417" s="169"/>
      <c r="AN1417" s="169"/>
      <c r="AO1417" s="169"/>
      <c r="AP1417" s="169"/>
      <c r="AQ1417" s="169"/>
      <c r="AR1417" s="169"/>
      <c r="AS1417" s="169"/>
      <c r="AT1417" s="169"/>
    </row>
    <row r="1418" spans="10:46">
      <c r="J1418" s="64"/>
      <c r="K1418" s="64"/>
      <c r="L1418" s="64"/>
      <c r="M1418" s="64"/>
      <c r="N1418" s="64"/>
      <c r="O1418" s="64"/>
      <c r="P1418" s="64"/>
      <c r="Q1418" s="64"/>
      <c r="R1418" s="64"/>
      <c r="S1418" s="64"/>
      <c r="T1418" s="64"/>
      <c r="U1418" s="64"/>
      <c r="V1418" s="64"/>
      <c r="W1418" s="64"/>
      <c r="X1418" s="64"/>
      <c r="Y1418" s="64"/>
      <c r="Z1418" s="64"/>
      <c r="AA1418" s="64"/>
      <c r="AB1418" s="64"/>
      <c r="AC1418" s="64"/>
      <c r="AD1418" s="64"/>
      <c r="AE1418" s="64"/>
      <c r="AF1418" s="64"/>
      <c r="AG1418" s="64"/>
      <c r="AH1418" s="64"/>
      <c r="AI1418" s="64"/>
      <c r="AJ1418" s="64"/>
      <c r="AK1418" s="64"/>
      <c r="AL1418" s="64"/>
      <c r="AM1418" s="169"/>
      <c r="AN1418" s="169"/>
      <c r="AO1418" s="169"/>
      <c r="AP1418" s="169"/>
      <c r="AQ1418" s="169"/>
      <c r="AR1418" s="169"/>
      <c r="AS1418" s="169"/>
      <c r="AT1418" s="169"/>
    </row>
    <row r="1419" spans="10:46">
      <c r="J1419" s="64"/>
      <c r="K1419" s="64"/>
      <c r="L1419" s="64"/>
      <c r="M1419" s="64"/>
      <c r="N1419" s="64"/>
      <c r="O1419" s="64"/>
      <c r="P1419" s="64"/>
      <c r="Q1419" s="64"/>
      <c r="R1419" s="64"/>
      <c r="S1419" s="64"/>
      <c r="T1419" s="64"/>
      <c r="U1419" s="64"/>
      <c r="V1419" s="64"/>
      <c r="W1419" s="64"/>
      <c r="X1419" s="64"/>
      <c r="Y1419" s="64"/>
      <c r="Z1419" s="64"/>
      <c r="AA1419" s="64"/>
      <c r="AB1419" s="64"/>
      <c r="AC1419" s="64"/>
      <c r="AD1419" s="64"/>
      <c r="AE1419" s="64"/>
      <c r="AF1419" s="64"/>
      <c r="AG1419" s="64"/>
      <c r="AH1419" s="64"/>
      <c r="AI1419" s="64"/>
      <c r="AJ1419" s="64"/>
      <c r="AK1419" s="64"/>
      <c r="AL1419" s="64"/>
      <c r="AM1419" s="169"/>
      <c r="AN1419" s="169"/>
      <c r="AO1419" s="169"/>
      <c r="AP1419" s="169"/>
      <c r="AQ1419" s="169"/>
      <c r="AR1419" s="169"/>
      <c r="AS1419" s="169"/>
      <c r="AT1419" s="169"/>
    </row>
    <row r="1420" spans="10:46">
      <c r="J1420" s="64"/>
      <c r="K1420" s="64"/>
      <c r="L1420" s="64"/>
      <c r="M1420" s="64"/>
      <c r="N1420" s="64"/>
      <c r="O1420" s="64"/>
      <c r="P1420" s="64"/>
      <c r="Q1420" s="64"/>
      <c r="R1420" s="64"/>
      <c r="S1420" s="64"/>
      <c r="T1420" s="64"/>
      <c r="U1420" s="64"/>
      <c r="V1420" s="64"/>
      <c r="W1420" s="64"/>
      <c r="X1420" s="64"/>
      <c r="Y1420" s="64"/>
      <c r="Z1420" s="64"/>
      <c r="AA1420" s="64"/>
      <c r="AB1420" s="64"/>
      <c r="AC1420" s="64"/>
      <c r="AD1420" s="64"/>
      <c r="AE1420" s="64"/>
      <c r="AF1420" s="64"/>
      <c r="AG1420" s="64"/>
      <c r="AH1420" s="64"/>
      <c r="AI1420" s="64"/>
      <c r="AJ1420" s="64"/>
      <c r="AK1420" s="64"/>
      <c r="AL1420" s="64"/>
      <c r="AM1420" s="169"/>
      <c r="AN1420" s="169"/>
      <c r="AO1420" s="169"/>
      <c r="AP1420" s="169"/>
      <c r="AQ1420" s="169"/>
      <c r="AR1420" s="169"/>
      <c r="AS1420" s="169"/>
      <c r="AT1420" s="169"/>
    </row>
    <row r="1421" spans="10:46">
      <c r="J1421" s="64"/>
      <c r="K1421" s="64"/>
      <c r="L1421" s="64"/>
      <c r="M1421" s="64"/>
      <c r="N1421" s="64"/>
      <c r="O1421" s="64"/>
      <c r="P1421" s="64"/>
      <c r="Q1421" s="64"/>
      <c r="R1421" s="64"/>
      <c r="S1421" s="64"/>
      <c r="T1421" s="64"/>
      <c r="U1421" s="64"/>
      <c r="V1421" s="64"/>
      <c r="W1421" s="64"/>
      <c r="X1421" s="64"/>
      <c r="Y1421" s="64"/>
      <c r="Z1421" s="64"/>
      <c r="AA1421" s="64"/>
      <c r="AB1421" s="64"/>
      <c r="AC1421" s="64"/>
      <c r="AD1421" s="64"/>
      <c r="AE1421" s="64"/>
      <c r="AF1421" s="64"/>
      <c r="AG1421" s="64"/>
      <c r="AH1421" s="64"/>
      <c r="AI1421" s="64"/>
      <c r="AJ1421" s="64"/>
      <c r="AK1421" s="64"/>
      <c r="AL1421" s="64"/>
      <c r="AM1421" s="169"/>
      <c r="AN1421" s="169"/>
      <c r="AO1421" s="169"/>
      <c r="AP1421" s="169"/>
      <c r="AQ1421" s="169"/>
      <c r="AR1421" s="169"/>
      <c r="AS1421" s="169"/>
      <c r="AT1421" s="169"/>
    </row>
    <row r="1422" spans="10:46">
      <c r="J1422" s="64"/>
      <c r="K1422" s="64"/>
      <c r="L1422" s="64"/>
      <c r="M1422" s="64"/>
      <c r="N1422" s="64"/>
      <c r="O1422" s="64"/>
      <c r="P1422" s="64"/>
      <c r="Q1422" s="64"/>
      <c r="R1422" s="64"/>
      <c r="S1422" s="64"/>
      <c r="T1422" s="64"/>
      <c r="U1422" s="64"/>
      <c r="V1422" s="64"/>
      <c r="W1422" s="64"/>
      <c r="X1422" s="64"/>
      <c r="Y1422" s="64"/>
      <c r="Z1422" s="64"/>
      <c r="AA1422" s="64"/>
      <c r="AB1422" s="64"/>
      <c r="AC1422" s="64"/>
      <c r="AD1422" s="64"/>
      <c r="AE1422" s="64"/>
      <c r="AF1422" s="64"/>
      <c r="AG1422" s="64"/>
      <c r="AH1422" s="64"/>
      <c r="AI1422" s="64"/>
      <c r="AJ1422" s="64"/>
      <c r="AK1422" s="64"/>
      <c r="AL1422" s="64"/>
      <c r="AM1422" s="169"/>
      <c r="AN1422" s="169"/>
      <c r="AO1422" s="169"/>
      <c r="AP1422" s="169"/>
      <c r="AQ1422" s="169"/>
      <c r="AR1422" s="169"/>
      <c r="AS1422" s="169"/>
      <c r="AT1422" s="169"/>
    </row>
    <row r="1423" spans="10:46">
      <c r="J1423" s="64"/>
      <c r="K1423" s="64"/>
      <c r="L1423" s="64"/>
      <c r="M1423" s="64"/>
      <c r="N1423" s="64"/>
      <c r="O1423" s="64"/>
      <c r="P1423" s="64"/>
      <c r="Q1423" s="64"/>
      <c r="R1423" s="64"/>
      <c r="S1423" s="64"/>
      <c r="T1423" s="64"/>
      <c r="U1423" s="64"/>
      <c r="V1423" s="64"/>
      <c r="W1423" s="64"/>
      <c r="X1423" s="64"/>
      <c r="Y1423" s="64"/>
      <c r="Z1423" s="64"/>
      <c r="AA1423" s="64"/>
      <c r="AB1423" s="64"/>
      <c r="AC1423" s="64"/>
      <c r="AD1423" s="64"/>
      <c r="AE1423" s="64"/>
      <c r="AF1423" s="64"/>
      <c r="AG1423" s="64"/>
      <c r="AH1423" s="64"/>
      <c r="AI1423" s="64"/>
      <c r="AJ1423" s="64"/>
      <c r="AK1423" s="64"/>
      <c r="AL1423" s="64"/>
      <c r="AM1423" s="169"/>
      <c r="AN1423" s="169"/>
      <c r="AO1423" s="169"/>
      <c r="AP1423" s="169"/>
      <c r="AQ1423" s="169"/>
      <c r="AR1423" s="169"/>
      <c r="AS1423" s="169"/>
      <c r="AT1423" s="169"/>
    </row>
    <row r="1424" spans="10:46">
      <c r="J1424" s="64"/>
      <c r="K1424" s="64"/>
      <c r="L1424" s="64"/>
      <c r="M1424" s="64"/>
      <c r="N1424" s="64"/>
      <c r="O1424" s="64"/>
      <c r="P1424" s="64"/>
      <c r="Q1424" s="64"/>
      <c r="R1424" s="64"/>
      <c r="S1424" s="64"/>
      <c r="T1424" s="64"/>
      <c r="U1424" s="64"/>
      <c r="V1424" s="64"/>
      <c r="W1424" s="64"/>
      <c r="X1424" s="64"/>
      <c r="Y1424" s="64"/>
      <c r="Z1424" s="64"/>
      <c r="AA1424" s="64"/>
      <c r="AB1424" s="64"/>
      <c r="AC1424" s="64"/>
      <c r="AD1424" s="64"/>
      <c r="AE1424" s="64"/>
      <c r="AF1424" s="64"/>
      <c r="AG1424" s="64"/>
      <c r="AH1424" s="64"/>
      <c r="AI1424" s="64"/>
      <c r="AJ1424" s="64"/>
      <c r="AK1424" s="64"/>
      <c r="AL1424" s="64"/>
      <c r="AM1424" s="169"/>
      <c r="AN1424" s="169"/>
      <c r="AO1424" s="169"/>
      <c r="AP1424" s="169"/>
      <c r="AQ1424" s="169"/>
      <c r="AR1424" s="169"/>
      <c r="AS1424" s="169"/>
      <c r="AT1424" s="169"/>
    </row>
    <row r="1425" spans="10:46">
      <c r="J1425" s="64"/>
      <c r="K1425" s="64"/>
      <c r="L1425" s="64"/>
      <c r="M1425" s="64"/>
      <c r="N1425" s="64"/>
      <c r="O1425" s="64"/>
      <c r="P1425" s="64"/>
      <c r="Q1425" s="64"/>
      <c r="R1425" s="64"/>
      <c r="S1425" s="64"/>
      <c r="T1425" s="64"/>
      <c r="U1425" s="64"/>
      <c r="V1425" s="64"/>
      <c r="W1425" s="64"/>
      <c r="X1425" s="64"/>
      <c r="Y1425" s="64"/>
      <c r="Z1425" s="64"/>
      <c r="AA1425" s="64"/>
      <c r="AB1425" s="64"/>
      <c r="AC1425" s="64"/>
      <c r="AD1425" s="64"/>
      <c r="AE1425" s="64"/>
      <c r="AF1425" s="64"/>
      <c r="AG1425" s="64"/>
      <c r="AH1425" s="64"/>
      <c r="AI1425" s="64"/>
      <c r="AJ1425" s="64"/>
      <c r="AK1425" s="64"/>
      <c r="AL1425" s="64"/>
      <c r="AM1425" s="169"/>
      <c r="AN1425" s="169"/>
      <c r="AO1425" s="169"/>
      <c r="AP1425" s="169"/>
      <c r="AQ1425" s="169"/>
      <c r="AR1425" s="169"/>
      <c r="AS1425" s="169"/>
      <c r="AT1425" s="169"/>
    </row>
    <row r="1426" spans="10:46">
      <c r="J1426" s="64"/>
      <c r="K1426" s="64"/>
      <c r="L1426" s="64"/>
      <c r="M1426" s="64"/>
      <c r="N1426" s="64"/>
      <c r="O1426" s="64"/>
      <c r="P1426" s="64"/>
      <c r="Q1426" s="64"/>
      <c r="R1426" s="64"/>
      <c r="S1426" s="64"/>
      <c r="T1426" s="64"/>
      <c r="U1426" s="64"/>
      <c r="V1426" s="64"/>
      <c r="W1426" s="64"/>
      <c r="X1426" s="64"/>
      <c r="Y1426" s="64"/>
      <c r="Z1426" s="64"/>
      <c r="AA1426" s="64"/>
      <c r="AB1426" s="64"/>
      <c r="AC1426" s="64"/>
      <c r="AD1426" s="64"/>
      <c r="AE1426" s="64"/>
      <c r="AF1426" s="64"/>
      <c r="AG1426" s="64"/>
      <c r="AH1426" s="64"/>
      <c r="AI1426" s="64"/>
      <c r="AJ1426" s="64"/>
      <c r="AK1426" s="64"/>
      <c r="AL1426" s="64"/>
      <c r="AM1426" s="169"/>
      <c r="AN1426" s="169"/>
      <c r="AO1426" s="169"/>
      <c r="AP1426" s="169"/>
      <c r="AQ1426" s="169"/>
      <c r="AR1426" s="169"/>
      <c r="AS1426" s="169"/>
      <c r="AT1426" s="169"/>
    </row>
    <row r="1427" spans="10:46">
      <c r="J1427" s="64"/>
      <c r="K1427" s="64"/>
      <c r="L1427" s="64"/>
      <c r="M1427" s="64"/>
      <c r="N1427" s="64"/>
      <c r="O1427" s="64"/>
      <c r="P1427" s="64"/>
      <c r="Q1427" s="64"/>
      <c r="R1427" s="64"/>
      <c r="S1427" s="64"/>
      <c r="T1427" s="64"/>
      <c r="U1427" s="64"/>
      <c r="V1427" s="64"/>
      <c r="W1427" s="64"/>
      <c r="X1427" s="64"/>
      <c r="Y1427" s="64"/>
      <c r="Z1427" s="64"/>
      <c r="AA1427" s="64"/>
      <c r="AB1427" s="64"/>
      <c r="AC1427" s="64"/>
      <c r="AD1427" s="64"/>
      <c r="AE1427" s="64"/>
      <c r="AF1427" s="64"/>
      <c r="AG1427" s="64"/>
      <c r="AH1427" s="64"/>
      <c r="AI1427" s="64"/>
      <c r="AJ1427" s="64"/>
      <c r="AK1427" s="64"/>
      <c r="AL1427" s="64"/>
      <c r="AM1427" s="169"/>
      <c r="AN1427" s="169"/>
      <c r="AO1427" s="169"/>
      <c r="AP1427" s="169"/>
      <c r="AQ1427" s="169"/>
      <c r="AR1427" s="169"/>
      <c r="AS1427" s="169"/>
      <c r="AT1427" s="169"/>
    </row>
    <row r="1428" spans="10:46">
      <c r="J1428" s="64"/>
      <c r="K1428" s="64"/>
      <c r="L1428" s="64"/>
      <c r="M1428" s="64"/>
      <c r="N1428" s="64"/>
      <c r="O1428" s="64"/>
      <c r="P1428" s="64"/>
      <c r="Q1428" s="64"/>
      <c r="R1428" s="64"/>
      <c r="S1428" s="64"/>
      <c r="T1428" s="64"/>
      <c r="U1428" s="64"/>
      <c r="V1428" s="64"/>
      <c r="W1428" s="64"/>
      <c r="X1428" s="64"/>
      <c r="Y1428" s="64"/>
      <c r="Z1428" s="64"/>
      <c r="AA1428" s="64"/>
      <c r="AB1428" s="64"/>
      <c r="AC1428" s="64"/>
      <c r="AD1428" s="64"/>
      <c r="AE1428" s="64"/>
      <c r="AF1428" s="64"/>
      <c r="AG1428" s="64"/>
      <c r="AH1428" s="64"/>
      <c r="AI1428" s="64"/>
      <c r="AJ1428" s="64"/>
      <c r="AK1428" s="64"/>
      <c r="AL1428" s="64"/>
      <c r="AM1428" s="169"/>
      <c r="AN1428" s="169"/>
      <c r="AO1428" s="169"/>
      <c r="AP1428" s="169"/>
      <c r="AQ1428" s="169"/>
      <c r="AR1428" s="169"/>
      <c r="AS1428" s="169"/>
      <c r="AT1428" s="169"/>
    </row>
    <row r="1429" spans="10:46">
      <c r="J1429" s="64"/>
      <c r="K1429" s="64"/>
      <c r="L1429" s="64"/>
      <c r="M1429" s="64"/>
      <c r="N1429" s="64"/>
      <c r="O1429" s="64"/>
      <c r="P1429" s="64"/>
      <c r="Q1429" s="64"/>
      <c r="R1429" s="64"/>
      <c r="S1429" s="64"/>
      <c r="T1429" s="64"/>
      <c r="U1429" s="64"/>
      <c r="V1429" s="64"/>
      <c r="W1429" s="64"/>
      <c r="X1429" s="64"/>
      <c r="Y1429" s="64"/>
      <c r="Z1429" s="64"/>
      <c r="AA1429" s="64"/>
      <c r="AB1429" s="64"/>
      <c r="AC1429" s="64"/>
      <c r="AD1429" s="64"/>
      <c r="AE1429" s="64"/>
      <c r="AF1429" s="64"/>
      <c r="AG1429" s="64"/>
      <c r="AH1429" s="64"/>
      <c r="AI1429" s="64"/>
      <c r="AJ1429" s="64"/>
      <c r="AK1429" s="64"/>
      <c r="AL1429" s="64"/>
      <c r="AM1429" s="169"/>
      <c r="AN1429" s="169"/>
      <c r="AO1429" s="169"/>
      <c r="AP1429" s="169"/>
      <c r="AQ1429" s="169"/>
      <c r="AR1429" s="169"/>
      <c r="AS1429" s="169"/>
      <c r="AT1429" s="169"/>
    </row>
    <row r="1430" spans="10:46">
      <c r="J1430" s="64"/>
      <c r="K1430" s="64"/>
      <c r="L1430" s="64"/>
      <c r="M1430" s="64"/>
      <c r="N1430" s="64"/>
      <c r="O1430" s="64"/>
      <c r="P1430" s="64"/>
      <c r="Q1430" s="64"/>
      <c r="R1430" s="64"/>
      <c r="S1430" s="64"/>
      <c r="T1430" s="64"/>
      <c r="U1430" s="64"/>
      <c r="V1430" s="64"/>
      <c r="W1430" s="64"/>
      <c r="X1430" s="64"/>
      <c r="Y1430" s="64"/>
      <c r="Z1430" s="64"/>
      <c r="AA1430" s="64"/>
      <c r="AB1430" s="64"/>
      <c r="AC1430" s="64"/>
      <c r="AD1430" s="64"/>
      <c r="AE1430" s="64"/>
      <c r="AF1430" s="64"/>
      <c r="AG1430" s="64"/>
      <c r="AH1430" s="64"/>
      <c r="AI1430" s="64"/>
      <c r="AJ1430" s="64"/>
      <c r="AK1430" s="64"/>
      <c r="AL1430" s="64"/>
      <c r="AM1430" s="169"/>
      <c r="AN1430" s="169"/>
      <c r="AO1430" s="169"/>
      <c r="AP1430" s="169"/>
      <c r="AQ1430" s="169"/>
      <c r="AR1430" s="169"/>
      <c r="AS1430" s="169"/>
      <c r="AT1430" s="169"/>
    </row>
    <row r="1431" spans="10:46">
      <c r="J1431" s="64"/>
      <c r="K1431" s="64"/>
      <c r="L1431" s="64"/>
      <c r="M1431" s="64"/>
      <c r="N1431" s="64"/>
      <c r="O1431" s="64"/>
      <c r="P1431" s="64"/>
      <c r="Q1431" s="64"/>
      <c r="R1431" s="64"/>
      <c r="S1431" s="64"/>
      <c r="T1431" s="64"/>
      <c r="U1431" s="64"/>
      <c r="V1431" s="64"/>
      <c r="W1431" s="64"/>
      <c r="X1431" s="64"/>
      <c r="Y1431" s="64"/>
      <c r="Z1431" s="64"/>
      <c r="AA1431" s="64"/>
      <c r="AB1431" s="64"/>
      <c r="AC1431" s="64"/>
      <c r="AD1431" s="64"/>
      <c r="AE1431" s="64"/>
      <c r="AF1431" s="64"/>
      <c r="AG1431" s="64"/>
      <c r="AH1431" s="64"/>
      <c r="AI1431" s="64"/>
      <c r="AJ1431" s="64"/>
      <c r="AK1431" s="64"/>
      <c r="AL1431" s="64"/>
      <c r="AM1431" s="169"/>
      <c r="AN1431" s="169"/>
      <c r="AO1431" s="169"/>
      <c r="AP1431" s="169"/>
      <c r="AQ1431" s="169"/>
      <c r="AR1431" s="169"/>
      <c r="AS1431" s="169"/>
      <c r="AT1431" s="169"/>
    </row>
    <row r="1432" spans="10:46">
      <c r="J1432" s="64"/>
      <c r="K1432" s="64"/>
      <c r="L1432" s="64"/>
      <c r="M1432" s="64"/>
      <c r="N1432" s="64"/>
      <c r="O1432" s="64"/>
      <c r="P1432" s="64"/>
      <c r="Q1432" s="64"/>
      <c r="R1432" s="64"/>
      <c r="S1432" s="64"/>
      <c r="T1432" s="64"/>
      <c r="U1432" s="64"/>
      <c r="V1432" s="64"/>
      <c r="W1432" s="64"/>
      <c r="X1432" s="64"/>
      <c r="Y1432" s="64"/>
      <c r="Z1432" s="64"/>
      <c r="AA1432" s="64"/>
      <c r="AB1432" s="64"/>
      <c r="AC1432" s="64"/>
      <c r="AD1432" s="64"/>
      <c r="AE1432" s="64"/>
      <c r="AF1432" s="64"/>
      <c r="AG1432" s="64"/>
      <c r="AH1432" s="64"/>
      <c r="AI1432" s="64"/>
      <c r="AJ1432" s="64"/>
      <c r="AK1432" s="64"/>
      <c r="AL1432" s="64"/>
      <c r="AM1432" s="169"/>
      <c r="AN1432" s="169"/>
      <c r="AO1432" s="169"/>
      <c r="AP1432" s="169"/>
      <c r="AQ1432" s="169"/>
      <c r="AR1432" s="169"/>
      <c r="AS1432" s="169"/>
      <c r="AT1432" s="169"/>
    </row>
    <row r="1433" spans="10:46">
      <c r="J1433" s="64"/>
      <c r="K1433" s="64"/>
      <c r="L1433" s="64"/>
      <c r="M1433" s="64"/>
      <c r="N1433" s="64"/>
      <c r="O1433" s="64"/>
      <c r="P1433" s="64"/>
      <c r="Q1433" s="64"/>
      <c r="R1433" s="64"/>
      <c r="S1433" s="64"/>
      <c r="T1433" s="64"/>
      <c r="U1433" s="64"/>
      <c r="V1433" s="64"/>
      <c r="W1433" s="64"/>
      <c r="X1433" s="64"/>
      <c r="Y1433" s="64"/>
      <c r="Z1433" s="64"/>
      <c r="AA1433" s="64"/>
      <c r="AB1433" s="64"/>
      <c r="AC1433" s="64"/>
      <c r="AD1433" s="64"/>
      <c r="AE1433" s="64"/>
      <c r="AF1433" s="64"/>
      <c r="AG1433" s="64"/>
      <c r="AH1433" s="64"/>
      <c r="AI1433" s="64"/>
      <c r="AJ1433" s="64"/>
      <c r="AK1433" s="64"/>
      <c r="AL1433" s="64"/>
      <c r="AM1433" s="169"/>
      <c r="AN1433" s="169"/>
      <c r="AO1433" s="169"/>
      <c r="AP1433" s="169"/>
      <c r="AQ1433" s="169"/>
      <c r="AR1433" s="169"/>
      <c r="AS1433" s="169"/>
      <c r="AT1433" s="169"/>
    </row>
    <row r="1434" spans="10:46">
      <c r="J1434" s="64"/>
      <c r="K1434" s="64"/>
      <c r="L1434" s="64"/>
      <c r="M1434" s="64"/>
      <c r="N1434" s="64"/>
      <c r="O1434" s="64"/>
      <c r="P1434" s="64"/>
      <c r="Q1434" s="64"/>
      <c r="R1434" s="64"/>
      <c r="S1434" s="64"/>
      <c r="T1434" s="64"/>
      <c r="U1434" s="64"/>
      <c r="V1434" s="64"/>
      <c r="W1434" s="64"/>
      <c r="X1434" s="64"/>
      <c r="Y1434" s="64"/>
      <c r="Z1434" s="64"/>
      <c r="AA1434" s="64"/>
      <c r="AB1434" s="64"/>
      <c r="AC1434" s="64"/>
      <c r="AD1434" s="64"/>
      <c r="AE1434" s="64"/>
      <c r="AF1434" s="64"/>
      <c r="AG1434" s="64"/>
      <c r="AH1434" s="64"/>
      <c r="AI1434" s="64"/>
      <c r="AJ1434" s="64"/>
      <c r="AK1434" s="64"/>
      <c r="AL1434" s="64"/>
      <c r="AM1434" s="169"/>
      <c r="AN1434" s="169"/>
      <c r="AO1434" s="169"/>
      <c r="AP1434" s="169"/>
      <c r="AQ1434" s="169"/>
      <c r="AR1434" s="169"/>
      <c r="AS1434" s="169"/>
      <c r="AT1434" s="169"/>
    </row>
    <row r="1435" spans="10:46">
      <c r="J1435" s="64"/>
      <c r="K1435" s="64"/>
      <c r="L1435" s="64"/>
      <c r="M1435" s="64"/>
      <c r="N1435" s="64"/>
      <c r="O1435" s="64"/>
      <c r="P1435" s="64"/>
      <c r="Q1435" s="64"/>
      <c r="R1435" s="64"/>
      <c r="S1435" s="64"/>
      <c r="T1435" s="64"/>
      <c r="U1435" s="64"/>
      <c r="V1435" s="64"/>
      <c r="W1435" s="64"/>
      <c r="X1435" s="64"/>
      <c r="Y1435" s="64"/>
      <c r="Z1435" s="64"/>
      <c r="AA1435" s="64"/>
      <c r="AB1435" s="64"/>
      <c r="AC1435" s="64"/>
      <c r="AD1435" s="64"/>
      <c r="AE1435" s="64"/>
      <c r="AF1435" s="64"/>
      <c r="AG1435" s="64"/>
      <c r="AH1435" s="64"/>
      <c r="AI1435" s="64"/>
      <c r="AJ1435" s="64"/>
      <c r="AK1435" s="64"/>
      <c r="AL1435" s="64"/>
      <c r="AM1435" s="169"/>
      <c r="AN1435" s="169"/>
      <c r="AO1435" s="169"/>
      <c r="AP1435" s="169"/>
      <c r="AQ1435" s="169"/>
      <c r="AR1435" s="169"/>
      <c r="AS1435" s="169"/>
      <c r="AT1435" s="169"/>
    </row>
    <row r="1436" spans="10:46">
      <c r="J1436" s="64"/>
      <c r="K1436" s="64"/>
      <c r="L1436" s="64"/>
      <c r="M1436" s="64"/>
      <c r="N1436" s="64"/>
      <c r="O1436" s="64"/>
      <c r="P1436" s="64"/>
      <c r="Q1436" s="64"/>
      <c r="R1436" s="64"/>
      <c r="S1436" s="64"/>
      <c r="T1436" s="64"/>
      <c r="U1436" s="64"/>
      <c r="V1436" s="64"/>
      <c r="W1436" s="64"/>
      <c r="X1436" s="64"/>
      <c r="Y1436" s="64"/>
      <c r="Z1436" s="64"/>
      <c r="AA1436" s="64"/>
      <c r="AB1436" s="64"/>
      <c r="AC1436" s="64"/>
      <c r="AD1436" s="64"/>
      <c r="AE1436" s="64"/>
      <c r="AF1436" s="64"/>
      <c r="AG1436" s="64"/>
      <c r="AH1436" s="64"/>
      <c r="AI1436" s="64"/>
      <c r="AJ1436" s="64"/>
      <c r="AK1436" s="64"/>
      <c r="AL1436" s="64"/>
      <c r="AM1436" s="169"/>
      <c r="AN1436" s="169"/>
      <c r="AO1436" s="169"/>
      <c r="AP1436" s="169"/>
      <c r="AQ1436" s="169"/>
      <c r="AR1436" s="169"/>
      <c r="AS1436" s="169"/>
      <c r="AT1436" s="169"/>
    </row>
    <row r="1437" spans="10:46">
      <c r="J1437" s="64"/>
      <c r="K1437" s="64"/>
      <c r="L1437" s="64"/>
      <c r="M1437" s="64"/>
      <c r="N1437" s="64"/>
      <c r="O1437" s="64"/>
      <c r="P1437" s="64"/>
      <c r="Q1437" s="64"/>
      <c r="R1437" s="64"/>
      <c r="S1437" s="64"/>
      <c r="T1437" s="64"/>
      <c r="U1437" s="64"/>
      <c r="V1437" s="64"/>
      <c r="W1437" s="64"/>
      <c r="X1437" s="64"/>
      <c r="Y1437" s="64"/>
      <c r="Z1437" s="64"/>
      <c r="AA1437" s="64"/>
      <c r="AB1437" s="64"/>
      <c r="AC1437" s="64"/>
      <c r="AD1437" s="64"/>
      <c r="AE1437" s="64"/>
      <c r="AF1437" s="64"/>
      <c r="AG1437" s="64"/>
      <c r="AH1437" s="64"/>
      <c r="AI1437" s="64"/>
      <c r="AJ1437" s="64"/>
      <c r="AK1437" s="64"/>
      <c r="AL1437" s="64"/>
      <c r="AM1437" s="169"/>
      <c r="AN1437" s="169"/>
      <c r="AO1437" s="169"/>
      <c r="AP1437" s="169"/>
      <c r="AQ1437" s="169"/>
      <c r="AR1437" s="169"/>
      <c r="AS1437" s="169"/>
      <c r="AT1437" s="169"/>
    </row>
    <row r="1438" spans="10:46">
      <c r="J1438" s="64"/>
      <c r="K1438" s="64"/>
      <c r="L1438" s="64"/>
      <c r="M1438" s="64"/>
      <c r="N1438" s="64"/>
      <c r="O1438" s="64"/>
      <c r="P1438" s="64"/>
      <c r="Q1438" s="64"/>
      <c r="R1438" s="64"/>
      <c r="S1438" s="64"/>
      <c r="T1438" s="64"/>
      <c r="U1438" s="64"/>
      <c r="V1438" s="64"/>
      <c r="W1438" s="64"/>
      <c r="X1438" s="64"/>
      <c r="Y1438" s="64"/>
      <c r="Z1438" s="64"/>
      <c r="AA1438" s="64"/>
      <c r="AB1438" s="64"/>
      <c r="AC1438" s="64"/>
      <c r="AD1438" s="64"/>
      <c r="AE1438" s="64"/>
      <c r="AF1438" s="64"/>
      <c r="AG1438" s="64"/>
      <c r="AH1438" s="64"/>
      <c r="AI1438" s="64"/>
      <c r="AJ1438" s="64"/>
      <c r="AK1438" s="64"/>
      <c r="AL1438" s="64"/>
      <c r="AM1438" s="169"/>
      <c r="AN1438" s="169"/>
      <c r="AO1438" s="169"/>
      <c r="AP1438" s="169"/>
      <c r="AQ1438" s="169"/>
      <c r="AR1438" s="169"/>
      <c r="AS1438" s="169"/>
      <c r="AT1438" s="169"/>
    </row>
    <row r="1439" spans="10:46">
      <c r="J1439" s="64"/>
      <c r="K1439" s="64"/>
      <c r="L1439" s="64"/>
      <c r="M1439" s="64"/>
      <c r="N1439" s="64"/>
      <c r="O1439" s="64"/>
      <c r="P1439" s="64"/>
      <c r="Q1439" s="64"/>
      <c r="R1439" s="64"/>
      <c r="S1439" s="64"/>
      <c r="T1439" s="64"/>
      <c r="U1439" s="64"/>
      <c r="V1439" s="64"/>
      <c r="W1439" s="64"/>
      <c r="X1439" s="64"/>
      <c r="Y1439" s="64"/>
      <c r="Z1439" s="64"/>
      <c r="AA1439" s="64"/>
      <c r="AB1439" s="64"/>
      <c r="AC1439" s="64"/>
      <c r="AD1439" s="64"/>
      <c r="AE1439" s="64"/>
      <c r="AF1439" s="64"/>
      <c r="AG1439" s="64"/>
      <c r="AH1439" s="64"/>
      <c r="AI1439" s="64"/>
      <c r="AJ1439" s="64"/>
      <c r="AK1439" s="64"/>
      <c r="AL1439" s="64"/>
      <c r="AM1439" s="169"/>
      <c r="AN1439" s="169"/>
      <c r="AO1439" s="169"/>
      <c r="AP1439" s="169"/>
      <c r="AQ1439" s="169"/>
      <c r="AR1439" s="169"/>
      <c r="AS1439" s="169"/>
      <c r="AT1439" s="169"/>
    </row>
    <row r="1440" spans="10:46">
      <c r="J1440" s="64"/>
      <c r="K1440" s="64"/>
      <c r="L1440" s="64"/>
      <c r="M1440" s="64"/>
      <c r="N1440" s="64"/>
      <c r="O1440" s="64"/>
      <c r="P1440" s="64"/>
      <c r="Q1440" s="64"/>
      <c r="R1440" s="64"/>
      <c r="S1440" s="64"/>
      <c r="T1440" s="64"/>
      <c r="U1440" s="64"/>
      <c r="V1440" s="64"/>
      <c r="W1440" s="64"/>
      <c r="X1440" s="64"/>
      <c r="Y1440" s="64"/>
      <c r="Z1440" s="64"/>
      <c r="AA1440" s="64"/>
      <c r="AB1440" s="64"/>
      <c r="AC1440" s="64"/>
      <c r="AD1440" s="64"/>
      <c r="AE1440" s="64"/>
      <c r="AF1440" s="64"/>
      <c r="AG1440" s="64"/>
      <c r="AH1440" s="64"/>
      <c r="AI1440" s="64"/>
      <c r="AJ1440" s="64"/>
      <c r="AK1440" s="64"/>
      <c r="AL1440" s="64"/>
      <c r="AM1440" s="169"/>
      <c r="AN1440" s="169"/>
      <c r="AO1440" s="169"/>
      <c r="AP1440" s="169"/>
      <c r="AQ1440" s="169"/>
      <c r="AR1440" s="169"/>
      <c r="AS1440" s="169"/>
      <c r="AT1440" s="169"/>
    </row>
    <row r="1441" spans="10:46">
      <c r="J1441" s="64"/>
      <c r="K1441" s="64"/>
      <c r="L1441" s="64"/>
      <c r="M1441" s="64"/>
      <c r="N1441" s="64"/>
      <c r="O1441" s="64"/>
      <c r="P1441" s="64"/>
      <c r="Q1441" s="64"/>
      <c r="R1441" s="64"/>
      <c r="S1441" s="64"/>
      <c r="T1441" s="64"/>
      <c r="U1441" s="64"/>
      <c r="V1441" s="64"/>
      <c r="W1441" s="64"/>
      <c r="X1441" s="64"/>
      <c r="Y1441" s="64"/>
      <c r="Z1441" s="64"/>
      <c r="AA1441" s="64"/>
      <c r="AB1441" s="64"/>
      <c r="AC1441" s="64"/>
      <c r="AD1441" s="64"/>
      <c r="AE1441" s="64"/>
      <c r="AF1441" s="64"/>
      <c r="AG1441" s="64"/>
      <c r="AH1441" s="64"/>
      <c r="AI1441" s="64"/>
      <c r="AJ1441" s="64"/>
      <c r="AK1441" s="64"/>
      <c r="AL1441" s="64"/>
      <c r="AM1441" s="169"/>
      <c r="AN1441" s="169"/>
      <c r="AO1441" s="169"/>
      <c r="AP1441" s="169"/>
      <c r="AQ1441" s="169"/>
      <c r="AR1441" s="169"/>
      <c r="AS1441" s="169"/>
      <c r="AT1441" s="169"/>
    </row>
    <row r="1442" spans="10:46">
      <c r="J1442" s="64"/>
      <c r="K1442" s="64"/>
      <c r="L1442" s="64"/>
      <c r="M1442" s="64"/>
      <c r="N1442" s="64"/>
      <c r="O1442" s="64"/>
      <c r="P1442" s="64"/>
      <c r="Q1442" s="64"/>
      <c r="R1442" s="64"/>
      <c r="S1442" s="64"/>
      <c r="T1442" s="64"/>
      <c r="U1442" s="64"/>
      <c r="V1442" s="64"/>
      <c r="W1442" s="64"/>
      <c r="X1442" s="64"/>
      <c r="Y1442" s="64"/>
      <c r="Z1442" s="64"/>
      <c r="AA1442" s="64"/>
      <c r="AB1442" s="64"/>
      <c r="AC1442" s="64"/>
      <c r="AD1442" s="64"/>
      <c r="AE1442" s="64"/>
      <c r="AF1442" s="64"/>
      <c r="AG1442" s="64"/>
      <c r="AH1442" s="64"/>
      <c r="AI1442" s="64"/>
      <c r="AJ1442" s="64"/>
      <c r="AK1442" s="64"/>
      <c r="AL1442" s="64"/>
      <c r="AM1442" s="169"/>
      <c r="AN1442" s="169"/>
      <c r="AO1442" s="169"/>
      <c r="AP1442" s="169"/>
      <c r="AQ1442" s="169"/>
      <c r="AR1442" s="169"/>
      <c r="AS1442" s="169"/>
      <c r="AT1442" s="169"/>
    </row>
    <row r="1443" spans="10:46">
      <c r="J1443" s="64"/>
      <c r="K1443" s="64"/>
      <c r="L1443" s="64"/>
      <c r="M1443" s="64"/>
      <c r="N1443" s="64"/>
      <c r="O1443" s="64"/>
      <c r="P1443" s="64"/>
      <c r="Q1443" s="64"/>
      <c r="R1443" s="64"/>
      <c r="S1443" s="64"/>
      <c r="T1443" s="64"/>
      <c r="U1443" s="64"/>
      <c r="V1443" s="64"/>
      <c r="W1443" s="64"/>
      <c r="X1443" s="64"/>
      <c r="Y1443" s="64"/>
      <c r="Z1443" s="64"/>
      <c r="AA1443" s="64"/>
      <c r="AB1443" s="64"/>
      <c r="AC1443" s="64"/>
      <c r="AD1443" s="64"/>
      <c r="AE1443" s="64"/>
      <c r="AF1443" s="64"/>
      <c r="AG1443" s="64"/>
      <c r="AH1443" s="64"/>
      <c r="AI1443" s="64"/>
      <c r="AJ1443" s="64"/>
      <c r="AK1443" s="64"/>
      <c r="AL1443" s="64"/>
      <c r="AM1443" s="169"/>
      <c r="AN1443" s="169"/>
      <c r="AO1443" s="169"/>
      <c r="AP1443" s="169"/>
      <c r="AQ1443" s="169"/>
      <c r="AR1443" s="169"/>
      <c r="AS1443" s="169"/>
      <c r="AT1443" s="169"/>
    </row>
    <row r="1444" spans="10:46">
      <c r="J1444" s="64"/>
      <c r="K1444" s="64"/>
      <c r="L1444" s="64"/>
      <c r="M1444" s="64"/>
      <c r="N1444" s="64"/>
      <c r="O1444" s="64"/>
      <c r="P1444" s="64"/>
      <c r="Q1444" s="64"/>
      <c r="R1444" s="64"/>
      <c r="S1444" s="64"/>
      <c r="T1444" s="64"/>
      <c r="U1444" s="64"/>
      <c r="V1444" s="64"/>
      <c r="W1444" s="64"/>
      <c r="X1444" s="64"/>
      <c r="Y1444" s="64"/>
      <c r="Z1444" s="64"/>
      <c r="AA1444" s="64"/>
      <c r="AB1444" s="64"/>
      <c r="AC1444" s="64"/>
      <c r="AD1444" s="64"/>
      <c r="AE1444" s="64"/>
      <c r="AF1444" s="64"/>
      <c r="AG1444" s="64"/>
      <c r="AH1444" s="64"/>
      <c r="AI1444" s="64"/>
      <c r="AJ1444" s="64"/>
      <c r="AK1444" s="64"/>
      <c r="AL1444" s="64"/>
      <c r="AM1444" s="169"/>
      <c r="AN1444" s="169"/>
      <c r="AO1444" s="169"/>
      <c r="AP1444" s="169"/>
      <c r="AQ1444" s="169"/>
      <c r="AR1444" s="169"/>
      <c r="AS1444" s="169"/>
      <c r="AT1444" s="169"/>
    </row>
    <row r="1445" spans="10:46">
      <c r="J1445" s="64"/>
      <c r="K1445" s="64"/>
      <c r="L1445" s="64"/>
      <c r="M1445" s="64"/>
      <c r="N1445" s="64"/>
      <c r="O1445" s="64"/>
      <c r="P1445" s="64"/>
      <c r="Q1445" s="64"/>
      <c r="R1445" s="64"/>
      <c r="S1445" s="64"/>
      <c r="T1445" s="64"/>
      <c r="U1445" s="64"/>
      <c r="V1445" s="64"/>
      <c r="W1445" s="64"/>
      <c r="X1445" s="64"/>
      <c r="Y1445" s="64"/>
      <c r="Z1445" s="64"/>
      <c r="AA1445" s="64"/>
      <c r="AB1445" s="64"/>
      <c r="AC1445" s="64"/>
      <c r="AD1445" s="64"/>
      <c r="AE1445" s="64"/>
      <c r="AF1445" s="64"/>
      <c r="AG1445" s="64"/>
      <c r="AH1445" s="64"/>
      <c r="AI1445" s="64"/>
      <c r="AJ1445" s="64"/>
      <c r="AK1445" s="64"/>
      <c r="AL1445" s="64"/>
      <c r="AM1445" s="169"/>
      <c r="AN1445" s="169"/>
      <c r="AO1445" s="169"/>
      <c r="AP1445" s="169"/>
      <c r="AQ1445" s="169"/>
      <c r="AR1445" s="169"/>
      <c r="AS1445" s="169"/>
      <c r="AT1445" s="169"/>
    </row>
    <row r="1446" spans="10:46">
      <c r="J1446" s="64"/>
      <c r="K1446" s="64"/>
      <c r="L1446" s="64"/>
      <c r="M1446" s="64"/>
      <c r="N1446" s="64"/>
      <c r="O1446" s="64"/>
      <c r="P1446" s="64"/>
      <c r="Q1446" s="64"/>
      <c r="R1446" s="64"/>
      <c r="S1446" s="64"/>
      <c r="T1446" s="64"/>
      <c r="U1446" s="64"/>
      <c r="V1446" s="64"/>
      <c r="W1446" s="64"/>
      <c r="X1446" s="64"/>
      <c r="Y1446" s="64"/>
      <c r="Z1446" s="64"/>
      <c r="AA1446" s="64"/>
      <c r="AB1446" s="64"/>
      <c r="AC1446" s="64"/>
      <c r="AD1446" s="64"/>
      <c r="AE1446" s="64"/>
      <c r="AF1446" s="64"/>
      <c r="AG1446" s="64"/>
      <c r="AH1446" s="64"/>
      <c r="AI1446" s="64"/>
      <c r="AJ1446" s="64"/>
      <c r="AK1446" s="64"/>
      <c r="AL1446" s="64"/>
      <c r="AM1446" s="169"/>
      <c r="AN1446" s="169"/>
      <c r="AO1446" s="169"/>
      <c r="AP1446" s="169"/>
      <c r="AQ1446" s="169"/>
      <c r="AR1446" s="169"/>
      <c r="AS1446" s="169"/>
      <c r="AT1446" s="169"/>
    </row>
    <row r="1447" spans="10:46">
      <c r="J1447" s="64"/>
      <c r="K1447" s="64"/>
      <c r="L1447" s="64"/>
      <c r="M1447" s="64"/>
      <c r="N1447" s="64"/>
      <c r="O1447" s="64"/>
      <c r="P1447" s="64"/>
      <c r="Q1447" s="64"/>
      <c r="R1447" s="64"/>
      <c r="S1447" s="64"/>
      <c r="T1447" s="64"/>
      <c r="U1447" s="64"/>
      <c r="V1447" s="64"/>
      <c r="W1447" s="64"/>
      <c r="X1447" s="64"/>
      <c r="Y1447" s="64"/>
      <c r="Z1447" s="64"/>
      <c r="AA1447" s="64"/>
      <c r="AB1447" s="64"/>
      <c r="AC1447" s="64"/>
      <c r="AD1447" s="64"/>
      <c r="AE1447" s="64"/>
      <c r="AF1447" s="64"/>
      <c r="AG1447" s="64"/>
      <c r="AH1447" s="64"/>
      <c r="AI1447" s="64"/>
      <c r="AJ1447" s="64"/>
      <c r="AK1447" s="64"/>
      <c r="AL1447" s="64"/>
      <c r="AM1447" s="169"/>
      <c r="AN1447" s="169"/>
      <c r="AO1447" s="169"/>
      <c r="AP1447" s="169"/>
      <c r="AQ1447" s="169"/>
      <c r="AR1447" s="169"/>
      <c r="AS1447" s="169"/>
      <c r="AT1447" s="169"/>
    </row>
    <row r="1448" spans="10:46">
      <c r="J1448" s="64"/>
      <c r="K1448" s="64"/>
      <c r="L1448" s="64"/>
      <c r="M1448" s="64"/>
      <c r="N1448" s="64"/>
      <c r="O1448" s="64"/>
      <c r="P1448" s="64"/>
      <c r="Q1448" s="64"/>
      <c r="R1448" s="64"/>
      <c r="S1448" s="64"/>
      <c r="T1448" s="64"/>
      <c r="U1448" s="64"/>
      <c r="V1448" s="64"/>
      <c r="W1448" s="64"/>
      <c r="X1448" s="64"/>
      <c r="Y1448" s="64"/>
      <c r="Z1448" s="64"/>
      <c r="AA1448" s="64"/>
      <c r="AB1448" s="64"/>
      <c r="AC1448" s="64"/>
      <c r="AD1448" s="64"/>
      <c r="AE1448" s="64"/>
      <c r="AF1448" s="64"/>
      <c r="AG1448" s="64"/>
      <c r="AH1448" s="64"/>
      <c r="AI1448" s="64"/>
      <c r="AJ1448" s="64"/>
      <c r="AK1448" s="64"/>
      <c r="AL1448" s="64"/>
      <c r="AM1448" s="169"/>
      <c r="AN1448" s="169"/>
      <c r="AO1448" s="169"/>
      <c r="AP1448" s="169"/>
      <c r="AQ1448" s="169"/>
      <c r="AR1448" s="169"/>
      <c r="AS1448" s="169"/>
      <c r="AT1448" s="169"/>
    </row>
    <row r="1449" spans="10:46">
      <c r="J1449" s="64"/>
      <c r="K1449" s="64"/>
      <c r="L1449" s="64"/>
      <c r="M1449" s="64"/>
      <c r="N1449" s="64"/>
      <c r="O1449" s="64"/>
      <c r="P1449" s="64"/>
      <c r="Q1449" s="64"/>
      <c r="R1449" s="64"/>
      <c r="S1449" s="64"/>
      <c r="T1449" s="64"/>
      <c r="U1449" s="64"/>
      <c r="V1449" s="64"/>
      <c r="W1449" s="64"/>
      <c r="X1449" s="64"/>
      <c r="Y1449" s="64"/>
      <c r="Z1449" s="64"/>
      <c r="AA1449" s="64"/>
      <c r="AB1449" s="64"/>
      <c r="AC1449" s="64"/>
      <c r="AD1449" s="64"/>
      <c r="AE1449" s="64"/>
      <c r="AF1449" s="64"/>
      <c r="AG1449" s="64"/>
      <c r="AH1449" s="64"/>
      <c r="AI1449" s="64"/>
      <c r="AJ1449" s="64"/>
      <c r="AK1449" s="64"/>
      <c r="AL1449" s="64"/>
      <c r="AM1449" s="169"/>
      <c r="AN1449" s="169"/>
      <c r="AO1449" s="169"/>
      <c r="AP1449" s="169"/>
      <c r="AQ1449" s="169"/>
      <c r="AR1449" s="169"/>
      <c r="AS1449" s="169"/>
      <c r="AT1449" s="169"/>
    </row>
    <row r="1450" spans="10:46">
      <c r="J1450" s="64"/>
      <c r="K1450" s="64"/>
      <c r="L1450" s="64"/>
      <c r="M1450" s="64"/>
      <c r="N1450" s="64"/>
      <c r="O1450" s="64"/>
      <c r="P1450" s="64"/>
      <c r="Q1450" s="64"/>
      <c r="R1450" s="64"/>
      <c r="S1450" s="64"/>
      <c r="T1450" s="64"/>
      <c r="U1450" s="64"/>
      <c r="V1450" s="64"/>
      <c r="W1450" s="64"/>
      <c r="X1450" s="64"/>
      <c r="Y1450" s="64"/>
      <c r="Z1450" s="64"/>
      <c r="AA1450" s="64"/>
      <c r="AB1450" s="64"/>
      <c r="AC1450" s="64"/>
      <c r="AD1450" s="64"/>
      <c r="AE1450" s="64"/>
      <c r="AF1450" s="64"/>
      <c r="AG1450" s="64"/>
      <c r="AH1450" s="64"/>
      <c r="AI1450" s="64"/>
      <c r="AJ1450" s="64"/>
      <c r="AK1450" s="64"/>
      <c r="AL1450" s="64"/>
      <c r="AM1450" s="169"/>
      <c r="AN1450" s="169"/>
      <c r="AO1450" s="169"/>
      <c r="AP1450" s="169"/>
      <c r="AQ1450" s="169"/>
      <c r="AR1450" s="169"/>
      <c r="AS1450" s="169"/>
      <c r="AT1450" s="169"/>
    </row>
    <row r="1451" spans="10:46">
      <c r="J1451" s="64"/>
      <c r="K1451" s="64"/>
      <c r="L1451" s="64"/>
      <c r="M1451" s="64"/>
      <c r="N1451" s="64"/>
      <c r="O1451" s="64"/>
      <c r="P1451" s="64"/>
      <c r="Q1451" s="64"/>
      <c r="R1451" s="64"/>
      <c r="S1451" s="64"/>
      <c r="T1451" s="64"/>
      <c r="U1451" s="64"/>
      <c r="V1451" s="64"/>
      <c r="W1451" s="64"/>
      <c r="X1451" s="64"/>
      <c r="Y1451" s="64"/>
      <c r="Z1451" s="64"/>
      <c r="AA1451" s="64"/>
      <c r="AB1451" s="64"/>
      <c r="AC1451" s="64"/>
      <c r="AD1451" s="64"/>
      <c r="AE1451" s="64"/>
      <c r="AF1451" s="64"/>
      <c r="AG1451" s="64"/>
      <c r="AH1451" s="64"/>
      <c r="AI1451" s="64"/>
      <c r="AJ1451" s="64"/>
      <c r="AK1451" s="64"/>
      <c r="AL1451" s="64"/>
      <c r="AM1451" s="169"/>
      <c r="AN1451" s="169"/>
      <c r="AO1451" s="169"/>
      <c r="AP1451" s="169"/>
      <c r="AQ1451" s="169"/>
      <c r="AR1451" s="169"/>
      <c r="AS1451" s="169"/>
      <c r="AT1451" s="169"/>
    </row>
    <row r="1452" spans="10:46">
      <c r="J1452" s="64"/>
      <c r="K1452" s="64"/>
      <c r="L1452" s="64"/>
      <c r="M1452" s="64"/>
      <c r="N1452" s="64"/>
      <c r="O1452" s="64"/>
      <c r="P1452" s="64"/>
      <c r="Q1452" s="64"/>
      <c r="R1452" s="64"/>
      <c r="S1452" s="64"/>
      <c r="T1452" s="64"/>
      <c r="U1452" s="64"/>
      <c r="V1452" s="64"/>
      <c r="W1452" s="64"/>
      <c r="X1452" s="64"/>
      <c r="Y1452" s="64"/>
      <c r="Z1452" s="64"/>
      <c r="AA1452" s="64"/>
      <c r="AB1452" s="64"/>
      <c r="AC1452" s="64"/>
      <c r="AD1452" s="64"/>
      <c r="AE1452" s="64"/>
      <c r="AF1452" s="64"/>
      <c r="AG1452" s="64"/>
      <c r="AH1452" s="64"/>
      <c r="AI1452" s="64"/>
      <c r="AJ1452" s="64"/>
      <c r="AK1452" s="64"/>
      <c r="AL1452" s="64"/>
      <c r="AM1452" s="169"/>
      <c r="AN1452" s="169"/>
      <c r="AO1452" s="169"/>
      <c r="AP1452" s="169"/>
      <c r="AQ1452" s="169"/>
      <c r="AR1452" s="169"/>
      <c r="AS1452" s="169"/>
      <c r="AT1452" s="169"/>
    </row>
    <row r="1453" spans="10:46">
      <c r="J1453" s="64"/>
      <c r="K1453" s="64"/>
      <c r="L1453" s="64"/>
      <c r="M1453" s="64"/>
      <c r="N1453" s="64"/>
      <c r="O1453" s="64"/>
      <c r="P1453" s="64"/>
      <c r="Q1453" s="64"/>
      <c r="R1453" s="64"/>
      <c r="S1453" s="64"/>
      <c r="T1453" s="64"/>
      <c r="U1453" s="64"/>
      <c r="V1453" s="64"/>
      <c r="W1453" s="64"/>
      <c r="X1453" s="64"/>
      <c r="Y1453" s="64"/>
      <c r="Z1453" s="64"/>
      <c r="AA1453" s="64"/>
      <c r="AB1453" s="64"/>
      <c r="AC1453" s="64"/>
      <c r="AD1453" s="64"/>
      <c r="AE1453" s="64"/>
      <c r="AF1453" s="64"/>
      <c r="AG1453" s="64"/>
      <c r="AH1453" s="64"/>
      <c r="AI1453" s="64"/>
      <c r="AJ1453" s="64"/>
      <c r="AK1453" s="64"/>
      <c r="AL1453" s="64"/>
      <c r="AM1453" s="169"/>
      <c r="AN1453" s="169"/>
      <c r="AO1453" s="169"/>
      <c r="AP1453" s="169"/>
      <c r="AQ1453" s="169"/>
      <c r="AR1453" s="169"/>
      <c r="AS1453" s="169"/>
      <c r="AT1453" s="169"/>
    </row>
    <row r="1454" spans="10:46">
      <c r="J1454" s="64"/>
      <c r="K1454" s="64"/>
      <c r="L1454" s="64"/>
      <c r="M1454" s="64"/>
      <c r="N1454" s="64"/>
      <c r="O1454" s="64"/>
      <c r="P1454" s="64"/>
      <c r="Q1454" s="64"/>
      <c r="R1454" s="64"/>
      <c r="S1454" s="64"/>
      <c r="T1454" s="64"/>
      <c r="U1454" s="64"/>
      <c r="V1454" s="64"/>
      <c r="W1454" s="64"/>
      <c r="X1454" s="64"/>
      <c r="Y1454" s="64"/>
      <c r="Z1454" s="64"/>
      <c r="AA1454" s="64"/>
      <c r="AB1454" s="64"/>
      <c r="AC1454" s="64"/>
      <c r="AD1454" s="64"/>
      <c r="AE1454" s="64"/>
      <c r="AF1454" s="64"/>
      <c r="AG1454" s="64"/>
      <c r="AH1454" s="64"/>
      <c r="AI1454" s="64"/>
      <c r="AJ1454" s="64"/>
      <c r="AK1454" s="64"/>
      <c r="AL1454" s="64"/>
      <c r="AM1454" s="169"/>
      <c r="AN1454" s="169"/>
      <c r="AO1454" s="169"/>
      <c r="AP1454" s="169"/>
      <c r="AQ1454" s="169"/>
      <c r="AR1454" s="169"/>
      <c r="AS1454" s="169"/>
      <c r="AT1454" s="169"/>
    </row>
    <row r="1455" spans="10:46">
      <c r="J1455" s="64"/>
      <c r="K1455" s="64"/>
      <c r="L1455" s="64"/>
      <c r="M1455" s="64"/>
      <c r="N1455" s="64"/>
      <c r="O1455" s="64"/>
      <c r="P1455" s="64"/>
      <c r="Q1455" s="64"/>
      <c r="R1455" s="64"/>
      <c r="S1455" s="64"/>
      <c r="T1455" s="64"/>
      <c r="U1455" s="64"/>
      <c r="V1455" s="64"/>
      <c r="W1455" s="64"/>
      <c r="X1455" s="64"/>
      <c r="Y1455" s="64"/>
      <c r="Z1455" s="64"/>
      <c r="AA1455" s="64"/>
      <c r="AB1455" s="64"/>
      <c r="AC1455" s="64"/>
      <c r="AD1455" s="64"/>
      <c r="AE1455" s="64"/>
      <c r="AF1455" s="64"/>
      <c r="AG1455" s="64"/>
      <c r="AH1455" s="64"/>
      <c r="AI1455" s="64"/>
      <c r="AJ1455" s="64"/>
      <c r="AK1455" s="64"/>
      <c r="AL1455" s="64"/>
      <c r="AM1455" s="169"/>
      <c r="AN1455" s="169"/>
      <c r="AO1455" s="169"/>
      <c r="AP1455" s="169"/>
      <c r="AQ1455" s="169"/>
      <c r="AR1455" s="169"/>
      <c r="AS1455" s="169"/>
      <c r="AT1455" s="169"/>
    </row>
    <row r="1456" spans="10:46">
      <c r="J1456" s="64"/>
      <c r="K1456" s="64"/>
      <c r="L1456" s="64"/>
      <c r="M1456" s="64"/>
      <c r="N1456" s="64"/>
      <c r="O1456" s="64"/>
      <c r="P1456" s="64"/>
      <c r="Q1456" s="64"/>
      <c r="R1456" s="64"/>
      <c r="S1456" s="64"/>
      <c r="T1456" s="64"/>
      <c r="U1456" s="64"/>
      <c r="V1456" s="64"/>
      <c r="W1456" s="64"/>
      <c r="X1456" s="64"/>
      <c r="Y1456" s="64"/>
      <c r="Z1456" s="64"/>
      <c r="AA1456" s="64"/>
      <c r="AB1456" s="64"/>
      <c r="AC1456" s="64"/>
      <c r="AD1456" s="64"/>
      <c r="AE1456" s="64"/>
      <c r="AF1456" s="64"/>
      <c r="AG1456" s="64"/>
      <c r="AH1456" s="64"/>
      <c r="AI1456" s="64"/>
      <c r="AJ1456" s="64"/>
      <c r="AK1456" s="64"/>
      <c r="AL1456" s="64"/>
      <c r="AM1456" s="169"/>
      <c r="AN1456" s="169"/>
      <c r="AO1456" s="169"/>
      <c r="AP1456" s="169"/>
      <c r="AQ1456" s="169"/>
      <c r="AR1456" s="169"/>
      <c r="AS1456" s="169"/>
      <c r="AT1456" s="169"/>
    </row>
    <row r="1457" spans="10:46">
      <c r="J1457" s="64"/>
      <c r="K1457" s="64"/>
      <c r="L1457" s="64"/>
      <c r="M1457" s="64"/>
      <c r="N1457" s="64"/>
      <c r="O1457" s="64"/>
      <c r="P1457" s="64"/>
      <c r="Q1457" s="64"/>
      <c r="R1457" s="64"/>
      <c r="S1457" s="64"/>
      <c r="T1457" s="64"/>
      <c r="U1457" s="64"/>
      <c r="V1457" s="64"/>
      <c r="W1457" s="64"/>
      <c r="X1457" s="64"/>
      <c r="Y1457" s="64"/>
      <c r="Z1457" s="64"/>
      <c r="AA1457" s="64"/>
      <c r="AB1457" s="64"/>
      <c r="AC1457" s="64"/>
      <c r="AD1457" s="64"/>
      <c r="AE1457" s="64"/>
      <c r="AF1457" s="64"/>
      <c r="AG1457" s="64"/>
      <c r="AH1457" s="64"/>
      <c r="AI1457" s="64"/>
      <c r="AJ1457" s="64"/>
      <c r="AK1457" s="64"/>
      <c r="AL1457" s="64"/>
      <c r="AM1457" s="169"/>
      <c r="AN1457" s="169"/>
      <c r="AO1457" s="169"/>
      <c r="AP1457" s="169"/>
      <c r="AQ1457" s="169"/>
      <c r="AR1457" s="169"/>
      <c r="AS1457" s="169"/>
      <c r="AT1457" s="169"/>
    </row>
    <row r="1458" spans="10:46">
      <c r="J1458" s="64"/>
      <c r="K1458" s="64"/>
      <c r="L1458" s="64"/>
      <c r="M1458" s="64"/>
      <c r="N1458" s="64"/>
      <c r="O1458" s="64"/>
      <c r="P1458" s="64"/>
      <c r="Q1458" s="64"/>
      <c r="R1458" s="64"/>
      <c r="S1458" s="64"/>
      <c r="T1458" s="64"/>
      <c r="U1458" s="64"/>
      <c r="V1458" s="64"/>
      <c r="W1458" s="64"/>
      <c r="X1458" s="64"/>
      <c r="Y1458" s="64"/>
      <c r="Z1458" s="64"/>
      <c r="AA1458" s="64"/>
      <c r="AB1458" s="64"/>
      <c r="AC1458" s="64"/>
      <c r="AD1458" s="64"/>
      <c r="AE1458" s="64"/>
      <c r="AF1458" s="64"/>
      <c r="AG1458" s="64"/>
      <c r="AH1458" s="64"/>
      <c r="AI1458" s="64"/>
      <c r="AJ1458" s="64"/>
      <c r="AK1458" s="64"/>
      <c r="AL1458" s="64"/>
      <c r="AM1458" s="169"/>
      <c r="AN1458" s="169"/>
      <c r="AO1458" s="169"/>
      <c r="AP1458" s="169"/>
      <c r="AQ1458" s="169"/>
      <c r="AR1458" s="169"/>
      <c r="AS1458" s="169"/>
      <c r="AT1458" s="169"/>
    </row>
    <row r="1459" spans="10:46">
      <c r="J1459" s="64"/>
      <c r="K1459" s="64"/>
      <c r="L1459" s="64"/>
      <c r="M1459" s="64"/>
      <c r="N1459" s="64"/>
      <c r="O1459" s="64"/>
      <c r="P1459" s="64"/>
      <c r="Q1459" s="64"/>
      <c r="R1459" s="64"/>
      <c r="S1459" s="64"/>
      <c r="T1459" s="64"/>
      <c r="U1459" s="64"/>
      <c r="V1459" s="64"/>
      <c r="W1459" s="64"/>
      <c r="X1459" s="64"/>
      <c r="Y1459" s="64"/>
      <c r="Z1459" s="64"/>
      <c r="AA1459" s="64"/>
      <c r="AB1459" s="64"/>
      <c r="AC1459" s="64"/>
      <c r="AD1459" s="64"/>
      <c r="AE1459" s="64"/>
      <c r="AF1459" s="64"/>
      <c r="AG1459" s="64"/>
      <c r="AH1459" s="64"/>
      <c r="AI1459" s="64"/>
      <c r="AJ1459" s="64"/>
      <c r="AK1459" s="64"/>
      <c r="AL1459" s="64"/>
      <c r="AM1459" s="169"/>
      <c r="AN1459" s="169"/>
      <c r="AO1459" s="169"/>
      <c r="AP1459" s="169"/>
      <c r="AQ1459" s="169"/>
      <c r="AR1459" s="169"/>
      <c r="AS1459" s="169"/>
      <c r="AT1459" s="169"/>
    </row>
    <row r="1460" spans="10:46">
      <c r="J1460" s="64"/>
      <c r="K1460" s="64"/>
      <c r="L1460" s="64"/>
      <c r="M1460" s="64"/>
      <c r="N1460" s="64"/>
      <c r="O1460" s="64"/>
      <c r="P1460" s="64"/>
      <c r="Q1460" s="64"/>
      <c r="R1460" s="64"/>
      <c r="S1460" s="64"/>
      <c r="T1460" s="64"/>
      <c r="U1460" s="64"/>
      <c r="V1460" s="64"/>
      <c r="W1460" s="64"/>
      <c r="X1460" s="64"/>
      <c r="Y1460" s="64"/>
      <c r="Z1460" s="64"/>
      <c r="AA1460" s="64"/>
      <c r="AB1460" s="64"/>
      <c r="AC1460" s="64"/>
      <c r="AD1460" s="64"/>
      <c r="AE1460" s="64"/>
      <c r="AF1460" s="64"/>
      <c r="AG1460" s="64"/>
      <c r="AH1460" s="64"/>
      <c r="AI1460" s="64"/>
      <c r="AJ1460" s="64"/>
      <c r="AK1460" s="64"/>
      <c r="AL1460" s="64"/>
      <c r="AM1460" s="169"/>
      <c r="AN1460" s="169"/>
      <c r="AO1460" s="169"/>
      <c r="AP1460" s="169"/>
      <c r="AQ1460" s="169"/>
      <c r="AR1460" s="169"/>
      <c r="AS1460" s="169"/>
      <c r="AT1460" s="169"/>
    </row>
    <row r="1461" spans="10:46">
      <c r="J1461" s="64"/>
      <c r="K1461" s="64"/>
      <c r="L1461" s="64"/>
      <c r="M1461" s="64"/>
      <c r="N1461" s="64"/>
      <c r="O1461" s="64"/>
      <c r="P1461" s="64"/>
      <c r="Q1461" s="64"/>
      <c r="R1461" s="64"/>
      <c r="S1461" s="64"/>
      <c r="T1461" s="64"/>
      <c r="U1461" s="64"/>
      <c r="V1461" s="64"/>
      <c r="W1461" s="64"/>
      <c r="X1461" s="64"/>
      <c r="Y1461" s="64"/>
      <c r="Z1461" s="64"/>
      <c r="AA1461" s="64"/>
      <c r="AB1461" s="64"/>
      <c r="AC1461" s="64"/>
      <c r="AD1461" s="64"/>
      <c r="AE1461" s="64"/>
      <c r="AF1461" s="64"/>
      <c r="AG1461" s="64"/>
      <c r="AH1461" s="64"/>
      <c r="AI1461" s="64"/>
      <c r="AJ1461" s="64"/>
      <c r="AK1461" s="64"/>
      <c r="AL1461" s="64"/>
      <c r="AM1461" s="169"/>
      <c r="AN1461" s="169"/>
      <c r="AO1461" s="169"/>
      <c r="AP1461" s="169"/>
      <c r="AQ1461" s="169"/>
      <c r="AR1461" s="169"/>
      <c r="AS1461" s="169"/>
      <c r="AT1461" s="169"/>
    </row>
    <row r="1462" spans="10:46">
      <c r="J1462" s="64"/>
      <c r="K1462" s="64"/>
      <c r="L1462" s="64"/>
      <c r="M1462" s="64"/>
      <c r="N1462" s="64"/>
      <c r="O1462" s="64"/>
      <c r="P1462" s="64"/>
      <c r="Q1462" s="64"/>
      <c r="R1462" s="64"/>
      <c r="S1462" s="64"/>
      <c r="T1462" s="64"/>
      <c r="U1462" s="64"/>
      <c r="V1462" s="64"/>
      <c r="W1462" s="64"/>
      <c r="X1462" s="64"/>
      <c r="Y1462" s="64"/>
      <c r="Z1462" s="64"/>
      <c r="AA1462" s="64"/>
      <c r="AB1462" s="64"/>
      <c r="AC1462" s="64"/>
      <c r="AD1462" s="64"/>
      <c r="AE1462" s="64"/>
      <c r="AF1462" s="64"/>
      <c r="AG1462" s="64"/>
      <c r="AH1462" s="64"/>
      <c r="AI1462" s="64"/>
      <c r="AJ1462" s="64"/>
      <c r="AK1462" s="64"/>
      <c r="AL1462" s="64"/>
      <c r="AM1462" s="169"/>
      <c r="AN1462" s="169"/>
      <c r="AO1462" s="169"/>
      <c r="AP1462" s="169"/>
      <c r="AQ1462" s="169"/>
      <c r="AR1462" s="169"/>
      <c r="AS1462" s="169"/>
      <c r="AT1462" s="169"/>
    </row>
    <row r="1463" spans="10:46">
      <c r="J1463" s="64"/>
      <c r="K1463" s="64"/>
      <c r="L1463" s="64"/>
      <c r="M1463" s="64"/>
      <c r="N1463" s="64"/>
      <c r="O1463" s="64"/>
      <c r="P1463" s="64"/>
      <c r="Q1463" s="64"/>
      <c r="R1463" s="64"/>
      <c r="S1463" s="64"/>
      <c r="T1463" s="64"/>
      <c r="U1463" s="64"/>
      <c r="V1463" s="64"/>
      <c r="W1463" s="64"/>
      <c r="X1463" s="64"/>
      <c r="Y1463" s="64"/>
      <c r="Z1463" s="64"/>
      <c r="AA1463" s="64"/>
      <c r="AB1463" s="64"/>
      <c r="AC1463" s="64"/>
      <c r="AD1463" s="64"/>
      <c r="AE1463" s="64"/>
      <c r="AF1463" s="64"/>
      <c r="AG1463" s="64"/>
      <c r="AH1463" s="64"/>
      <c r="AI1463" s="64"/>
      <c r="AJ1463" s="64"/>
      <c r="AK1463" s="64"/>
      <c r="AL1463" s="64"/>
      <c r="AM1463" s="169"/>
      <c r="AN1463" s="169"/>
      <c r="AO1463" s="169"/>
      <c r="AP1463" s="169"/>
      <c r="AQ1463" s="169"/>
      <c r="AR1463" s="169"/>
      <c r="AS1463" s="169"/>
      <c r="AT1463" s="169"/>
    </row>
    <row r="1464" spans="10:46">
      <c r="J1464" s="64"/>
      <c r="K1464" s="64"/>
      <c r="L1464" s="64"/>
      <c r="M1464" s="64"/>
      <c r="N1464" s="64"/>
      <c r="O1464" s="64"/>
      <c r="P1464" s="64"/>
      <c r="Q1464" s="64"/>
      <c r="R1464" s="64"/>
      <c r="S1464" s="64"/>
      <c r="T1464" s="64"/>
      <c r="U1464" s="64"/>
      <c r="V1464" s="64"/>
      <c r="W1464" s="64"/>
      <c r="X1464" s="64"/>
      <c r="Y1464" s="64"/>
      <c r="Z1464" s="64"/>
      <c r="AA1464" s="64"/>
      <c r="AB1464" s="64"/>
      <c r="AC1464" s="64"/>
      <c r="AD1464" s="64"/>
      <c r="AE1464" s="64"/>
      <c r="AF1464" s="64"/>
      <c r="AG1464" s="64"/>
      <c r="AH1464" s="64"/>
      <c r="AI1464" s="64"/>
      <c r="AJ1464" s="64"/>
      <c r="AK1464" s="64"/>
      <c r="AL1464" s="64"/>
      <c r="AM1464" s="169"/>
      <c r="AN1464" s="169"/>
      <c r="AO1464" s="169"/>
      <c r="AP1464" s="169"/>
      <c r="AQ1464" s="169"/>
      <c r="AR1464" s="169"/>
      <c r="AS1464" s="169"/>
      <c r="AT1464" s="169"/>
    </row>
    <row r="1465" spans="10:46">
      <c r="J1465" s="64"/>
      <c r="K1465" s="64"/>
      <c r="L1465" s="64"/>
      <c r="M1465" s="64"/>
      <c r="N1465" s="64"/>
      <c r="O1465" s="64"/>
      <c r="P1465" s="64"/>
      <c r="Q1465" s="64"/>
      <c r="R1465" s="64"/>
      <c r="S1465" s="64"/>
      <c r="T1465" s="64"/>
      <c r="U1465" s="64"/>
      <c r="V1465" s="64"/>
      <c r="W1465" s="64"/>
      <c r="X1465" s="64"/>
      <c r="Y1465" s="64"/>
      <c r="Z1465" s="64"/>
      <c r="AA1465" s="64"/>
      <c r="AB1465" s="64"/>
      <c r="AC1465" s="64"/>
      <c r="AD1465" s="64"/>
      <c r="AE1465" s="64"/>
      <c r="AF1465" s="64"/>
      <c r="AG1465" s="64"/>
      <c r="AH1465" s="64"/>
      <c r="AI1465" s="64"/>
      <c r="AJ1465" s="64"/>
      <c r="AK1465" s="64"/>
      <c r="AL1465" s="64"/>
      <c r="AM1465" s="169"/>
      <c r="AN1465" s="169"/>
      <c r="AO1465" s="169"/>
      <c r="AP1465" s="169"/>
      <c r="AQ1465" s="169"/>
      <c r="AR1465" s="169"/>
      <c r="AS1465" s="169"/>
      <c r="AT1465" s="169"/>
    </row>
    <row r="1466" spans="10:46">
      <c r="J1466" s="64"/>
      <c r="K1466" s="64"/>
      <c r="L1466" s="64"/>
      <c r="M1466" s="64"/>
      <c r="N1466" s="64"/>
      <c r="O1466" s="64"/>
      <c r="P1466" s="64"/>
      <c r="Q1466" s="64"/>
      <c r="R1466" s="64"/>
      <c r="S1466" s="64"/>
      <c r="T1466" s="64"/>
      <c r="U1466" s="64"/>
      <c r="V1466" s="64"/>
      <c r="W1466" s="64"/>
      <c r="X1466" s="64"/>
      <c r="Y1466" s="64"/>
      <c r="Z1466" s="64"/>
      <c r="AA1466" s="64"/>
      <c r="AB1466" s="64"/>
      <c r="AC1466" s="64"/>
      <c r="AD1466" s="64"/>
      <c r="AE1466" s="64"/>
      <c r="AF1466" s="64"/>
      <c r="AG1466" s="64"/>
      <c r="AH1466" s="64"/>
      <c r="AI1466" s="64"/>
      <c r="AJ1466" s="64"/>
      <c r="AK1466" s="64"/>
      <c r="AL1466" s="64"/>
      <c r="AM1466" s="169"/>
      <c r="AN1466" s="169"/>
      <c r="AO1466" s="169"/>
      <c r="AP1466" s="169"/>
      <c r="AQ1466" s="169"/>
      <c r="AR1466" s="169"/>
      <c r="AS1466" s="169"/>
      <c r="AT1466" s="169"/>
    </row>
    <row r="1467" spans="10:46">
      <c r="J1467" s="64"/>
      <c r="K1467" s="64"/>
      <c r="L1467" s="64"/>
      <c r="M1467" s="64"/>
      <c r="N1467" s="64"/>
      <c r="O1467" s="64"/>
      <c r="P1467" s="64"/>
      <c r="Q1467" s="64"/>
      <c r="R1467" s="64"/>
      <c r="S1467" s="64"/>
      <c r="T1467" s="64"/>
      <c r="U1467" s="64"/>
      <c r="V1467" s="64"/>
      <c r="W1467" s="64"/>
      <c r="X1467" s="64"/>
      <c r="Y1467" s="64"/>
      <c r="Z1467" s="64"/>
      <c r="AA1467" s="64"/>
      <c r="AB1467" s="64"/>
      <c r="AC1467" s="64"/>
      <c r="AD1467" s="64"/>
      <c r="AE1467" s="64"/>
      <c r="AF1467" s="64"/>
      <c r="AG1467" s="64"/>
      <c r="AH1467" s="64"/>
      <c r="AI1467" s="64"/>
      <c r="AJ1467" s="64"/>
      <c r="AK1467" s="64"/>
      <c r="AL1467" s="64"/>
      <c r="AM1467" s="169"/>
      <c r="AN1467" s="169"/>
      <c r="AO1467" s="169"/>
      <c r="AP1467" s="169"/>
      <c r="AQ1467" s="169"/>
      <c r="AR1467" s="169"/>
      <c r="AS1467" s="169"/>
      <c r="AT1467" s="169"/>
    </row>
    <row r="1468" spans="10:46">
      <c r="J1468" s="64"/>
      <c r="K1468" s="64"/>
      <c r="L1468" s="64"/>
      <c r="M1468" s="64"/>
      <c r="N1468" s="64"/>
      <c r="O1468" s="64"/>
      <c r="P1468" s="64"/>
      <c r="Q1468" s="64"/>
      <c r="R1468" s="64"/>
      <c r="S1468" s="64"/>
      <c r="T1468" s="64"/>
      <c r="U1468" s="64"/>
      <c r="V1468" s="64"/>
      <c r="W1468" s="64"/>
      <c r="X1468" s="64"/>
      <c r="Y1468" s="64"/>
      <c r="Z1468" s="64"/>
      <c r="AA1468" s="64"/>
      <c r="AB1468" s="64"/>
      <c r="AC1468" s="64"/>
      <c r="AD1468" s="64"/>
      <c r="AE1468" s="64"/>
      <c r="AF1468" s="64"/>
      <c r="AG1468" s="64"/>
      <c r="AH1468" s="64"/>
      <c r="AI1468" s="64"/>
      <c r="AJ1468" s="64"/>
      <c r="AK1468" s="64"/>
      <c r="AL1468" s="64"/>
      <c r="AM1468" s="169"/>
      <c r="AN1468" s="169"/>
      <c r="AO1468" s="169"/>
      <c r="AP1468" s="169"/>
      <c r="AQ1468" s="169"/>
      <c r="AR1468" s="169"/>
      <c r="AS1468" s="169"/>
      <c r="AT1468" s="169"/>
    </row>
    <row r="1469" spans="10:46">
      <c r="J1469" s="64"/>
      <c r="K1469" s="64"/>
      <c r="L1469" s="64"/>
      <c r="M1469" s="64"/>
      <c r="N1469" s="64"/>
      <c r="O1469" s="64"/>
      <c r="P1469" s="64"/>
      <c r="Q1469" s="64"/>
      <c r="R1469" s="64"/>
      <c r="S1469" s="64"/>
      <c r="T1469" s="64"/>
      <c r="U1469" s="64"/>
      <c r="V1469" s="64"/>
      <c r="W1469" s="64"/>
      <c r="X1469" s="64"/>
      <c r="Y1469" s="64"/>
      <c r="Z1469" s="64"/>
      <c r="AA1469" s="64"/>
      <c r="AB1469" s="64"/>
      <c r="AC1469" s="64"/>
      <c r="AD1469" s="64"/>
      <c r="AE1469" s="64"/>
      <c r="AF1469" s="64"/>
      <c r="AG1469" s="64"/>
      <c r="AH1469" s="64"/>
      <c r="AI1469" s="64"/>
      <c r="AJ1469" s="64"/>
      <c r="AK1469" s="64"/>
      <c r="AL1469" s="64"/>
      <c r="AM1469" s="169"/>
      <c r="AN1469" s="169"/>
      <c r="AO1469" s="169"/>
      <c r="AP1469" s="169"/>
      <c r="AQ1469" s="169"/>
      <c r="AR1469" s="169"/>
      <c r="AS1469" s="169"/>
      <c r="AT1469" s="169"/>
    </row>
    <row r="1470" spans="10:46">
      <c r="J1470" s="64"/>
      <c r="K1470" s="64"/>
      <c r="L1470" s="64"/>
      <c r="M1470" s="64"/>
      <c r="N1470" s="64"/>
      <c r="O1470" s="64"/>
      <c r="P1470" s="64"/>
      <c r="Q1470" s="64"/>
      <c r="R1470" s="64"/>
      <c r="S1470" s="64"/>
      <c r="T1470" s="64"/>
      <c r="U1470" s="64"/>
      <c r="V1470" s="64"/>
      <c r="W1470" s="64"/>
      <c r="X1470" s="64"/>
      <c r="Y1470" s="64"/>
      <c r="Z1470" s="64"/>
      <c r="AA1470" s="64"/>
      <c r="AB1470" s="64"/>
      <c r="AC1470" s="64"/>
      <c r="AD1470" s="64"/>
      <c r="AE1470" s="64"/>
      <c r="AF1470" s="64"/>
      <c r="AG1470" s="64"/>
      <c r="AH1470" s="64"/>
      <c r="AI1470" s="64"/>
      <c r="AJ1470" s="64"/>
      <c r="AK1470" s="64"/>
      <c r="AL1470" s="64"/>
      <c r="AM1470" s="169"/>
      <c r="AN1470" s="169"/>
      <c r="AO1470" s="169"/>
      <c r="AP1470" s="169"/>
      <c r="AQ1470" s="169"/>
      <c r="AR1470" s="169"/>
      <c r="AS1470" s="169"/>
      <c r="AT1470" s="169"/>
    </row>
    <row r="1471" spans="10:46">
      <c r="J1471" s="64"/>
      <c r="K1471" s="64"/>
      <c r="L1471" s="64"/>
      <c r="M1471" s="64"/>
      <c r="N1471" s="64"/>
      <c r="O1471" s="64"/>
      <c r="P1471" s="64"/>
      <c r="Q1471" s="64"/>
      <c r="R1471" s="64"/>
      <c r="S1471" s="64"/>
      <c r="T1471" s="64"/>
      <c r="U1471" s="64"/>
      <c r="V1471" s="64"/>
      <c r="W1471" s="64"/>
      <c r="X1471" s="64"/>
      <c r="Y1471" s="64"/>
      <c r="Z1471" s="64"/>
      <c r="AA1471" s="64"/>
      <c r="AB1471" s="64"/>
      <c r="AC1471" s="64"/>
      <c r="AD1471" s="64"/>
      <c r="AE1471" s="64"/>
      <c r="AF1471" s="64"/>
      <c r="AG1471" s="64"/>
      <c r="AH1471" s="64"/>
      <c r="AI1471" s="64"/>
      <c r="AJ1471" s="64"/>
      <c r="AK1471" s="64"/>
      <c r="AL1471" s="64"/>
      <c r="AM1471" s="169"/>
      <c r="AN1471" s="169"/>
      <c r="AO1471" s="169"/>
      <c r="AP1471" s="169"/>
      <c r="AQ1471" s="169"/>
      <c r="AR1471" s="169"/>
      <c r="AS1471" s="169"/>
      <c r="AT1471" s="169"/>
    </row>
    <row r="1472" spans="10:46">
      <c r="J1472" s="64"/>
      <c r="K1472" s="64"/>
      <c r="L1472" s="64"/>
      <c r="M1472" s="64"/>
      <c r="N1472" s="64"/>
      <c r="O1472" s="64"/>
      <c r="P1472" s="64"/>
      <c r="Q1472" s="64"/>
      <c r="R1472" s="64"/>
      <c r="S1472" s="64"/>
      <c r="T1472" s="64"/>
      <c r="U1472" s="64"/>
      <c r="V1472" s="64"/>
      <c r="W1472" s="64"/>
      <c r="X1472" s="64"/>
      <c r="Y1472" s="64"/>
      <c r="Z1472" s="64"/>
      <c r="AA1472" s="64"/>
      <c r="AB1472" s="64"/>
      <c r="AC1472" s="64"/>
      <c r="AD1472" s="64"/>
      <c r="AE1472" s="64"/>
      <c r="AF1472" s="64"/>
      <c r="AG1472" s="64"/>
      <c r="AH1472" s="64"/>
      <c r="AI1472" s="64"/>
      <c r="AJ1472" s="64"/>
      <c r="AK1472" s="64"/>
      <c r="AL1472" s="64"/>
      <c r="AM1472" s="169"/>
      <c r="AN1472" s="169"/>
      <c r="AO1472" s="169"/>
      <c r="AP1472" s="169"/>
      <c r="AQ1472" s="169"/>
      <c r="AR1472" s="169"/>
      <c r="AS1472" s="169"/>
      <c r="AT1472" s="169"/>
    </row>
    <row r="1473" spans="10:46">
      <c r="J1473" s="64"/>
      <c r="K1473" s="64"/>
      <c r="L1473" s="64"/>
      <c r="M1473" s="64"/>
      <c r="N1473" s="64"/>
      <c r="O1473" s="64"/>
      <c r="P1473" s="64"/>
      <c r="Q1473" s="64"/>
      <c r="R1473" s="64"/>
      <c r="S1473" s="64"/>
      <c r="T1473" s="64"/>
      <c r="U1473" s="64"/>
      <c r="V1473" s="64"/>
      <c r="W1473" s="64"/>
      <c r="X1473" s="64"/>
      <c r="Y1473" s="64"/>
      <c r="Z1473" s="64"/>
      <c r="AA1473" s="64"/>
      <c r="AB1473" s="64"/>
      <c r="AC1473" s="64"/>
      <c r="AD1473" s="64"/>
      <c r="AE1473" s="64"/>
      <c r="AF1473" s="64"/>
      <c r="AG1473" s="64"/>
      <c r="AH1473" s="64"/>
      <c r="AI1473" s="64"/>
      <c r="AJ1473" s="64"/>
      <c r="AK1473" s="64"/>
      <c r="AL1473" s="64"/>
      <c r="AM1473" s="169"/>
      <c r="AN1473" s="169"/>
      <c r="AO1473" s="169"/>
      <c r="AP1473" s="169"/>
      <c r="AQ1473" s="169"/>
      <c r="AR1473" s="169"/>
      <c r="AS1473" s="169"/>
      <c r="AT1473" s="169"/>
    </row>
    <row r="1474" spans="10:46">
      <c r="J1474" s="64"/>
      <c r="K1474" s="64"/>
      <c r="L1474" s="64"/>
      <c r="M1474" s="64"/>
      <c r="N1474" s="64"/>
      <c r="O1474" s="64"/>
      <c r="P1474" s="64"/>
      <c r="Q1474" s="64"/>
      <c r="R1474" s="64"/>
      <c r="S1474" s="64"/>
      <c r="T1474" s="64"/>
      <c r="U1474" s="64"/>
      <c r="V1474" s="64"/>
      <c r="W1474" s="64"/>
      <c r="X1474" s="64"/>
      <c r="Y1474" s="64"/>
      <c r="Z1474" s="64"/>
      <c r="AA1474" s="64"/>
      <c r="AB1474" s="64"/>
      <c r="AC1474" s="64"/>
      <c r="AD1474" s="64"/>
      <c r="AE1474" s="64"/>
      <c r="AF1474" s="64"/>
      <c r="AG1474" s="64"/>
      <c r="AH1474" s="64"/>
      <c r="AI1474" s="64"/>
      <c r="AJ1474" s="64"/>
      <c r="AK1474" s="64"/>
      <c r="AL1474" s="64"/>
      <c r="AM1474" s="169"/>
      <c r="AN1474" s="169"/>
      <c r="AO1474" s="169"/>
      <c r="AP1474" s="169"/>
      <c r="AQ1474" s="169"/>
      <c r="AR1474" s="169"/>
      <c r="AS1474" s="169"/>
      <c r="AT1474" s="169"/>
    </row>
    <row r="1475" spans="10:46">
      <c r="J1475" s="64"/>
      <c r="K1475" s="64"/>
      <c r="L1475" s="64"/>
      <c r="M1475" s="64"/>
      <c r="N1475" s="64"/>
      <c r="O1475" s="64"/>
      <c r="P1475" s="64"/>
      <c r="Q1475" s="64"/>
      <c r="R1475" s="64"/>
      <c r="S1475" s="64"/>
      <c r="T1475" s="64"/>
      <c r="U1475" s="64"/>
      <c r="V1475" s="64"/>
      <c r="W1475" s="64"/>
      <c r="X1475" s="64"/>
      <c r="Y1475" s="64"/>
      <c r="Z1475" s="64"/>
      <c r="AA1475" s="64"/>
      <c r="AB1475" s="64"/>
      <c r="AC1475" s="64"/>
      <c r="AD1475" s="64"/>
      <c r="AE1475" s="64"/>
      <c r="AF1475" s="64"/>
      <c r="AG1475" s="64"/>
      <c r="AH1475" s="64"/>
      <c r="AI1475" s="64"/>
      <c r="AJ1475" s="64"/>
      <c r="AK1475" s="64"/>
      <c r="AL1475" s="64"/>
      <c r="AM1475" s="169"/>
      <c r="AN1475" s="169"/>
      <c r="AO1475" s="169"/>
      <c r="AP1475" s="169"/>
      <c r="AQ1475" s="169"/>
      <c r="AR1475" s="169"/>
      <c r="AS1475" s="169"/>
      <c r="AT1475" s="169"/>
    </row>
    <row r="1476" spans="10:46">
      <c r="J1476" s="64"/>
      <c r="K1476" s="64"/>
      <c r="L1476" s="64"/>
      <c r="M1476" s="64"/>
      <c r="N1476" s="64"/>
      <c r="O1476" s="64"/>
      <c r="P1476" s="64"/>
      <c r="Q1476" s="64"/>
      <c r="R1476" s="64"/>
      <c r="S1476" s="64"/>
      <c r="T1476" s="64"/>
      <c r="U1476" s="64"/>
      <c r="V1476" s="64"/>
      <c r="W1476" s="64"/>
      <c r="X1476" s="64"/>
      <c r="Y1476" s="64"/>
      <c r="Z1476" s="64"/>
      <c r="AA1476" s="64"/>
      <c r="AB1476" s="64"/>
      <c r="AC1476" s="64"/>
      <c r="AD1476" s="64"/>
      <c r="AE1476" s="64"/>
      <c r="AF1476" s="64"/>
      <c r="AG1476" s="64"/>
      <c r="AH1476" s="64"/>
      <c r="AI1476" s="64"/>
      <c r="AJ1476" s="64"/>
      <c r="AK1476" s="64"/>
      <c r="AL1476" s="64"/>
      <c r="AM1476" s="169"/>
      <c r="AN1476" s="169"/>
      <c r="AO1476" s="169"/>
      <c r="AP1476" s="169"/>
      <c r="AQ1476" s="169"/>
      <c r="AR1476" s="169"/>
      <c r="AS1476" s="169"/>
      <c r="AT1476" s="169"/>
    </row>
    <row r="1477" spans="10:46">
      <c r="J1477" s="64"/>
      <c r="K1477" s="64"/>
      <c r="L1477" s="64"/>
      <c r="M1477" s="64"/>
      <c r="N1477" s="64"/>
      <c r="O1477" s="64"/>
      <c r="P1477" s="64"/>
      <c r="Q1477" s="64"/>
      <c r="R1477" s="64"/>
      <c r="S1477" s="64"/>
      <c r="T1477" s="64"/>
      <c r="U1477" s="64"/>
      <c r="V1477" s="64"/>
      <c r="W1477" s="64"/>
      <c r="X1477" s="64"/>
      <c r="Y1477" s="64"/>
      <c r="Z1477" s="64"/>
      <c r="AA1477" s="64"/>
      <c r="AB1477" s="64"/>
      <c r="AC1477" s="64"/>
      <c r="AD1477" s="64"/>
      <c r="AE1477" s="64"/>
      <c r="AF1477" s="64"/>
      <c r="AG1477" s="64"/>
      <c r="AH1477" s="64"/>
      <c r="AI1477" s="64"/>
      <c r="AJ1477" s="64"/>
      <c r="AK1477" s="64"/>
      <c r="AL1477" s="64"/>
      <c r="AM1477" s="169"/>
      <c r="AN1477" s="169"/>
      <c r="AO1477" s="169"/>
      <c r="AP1477" s="169"/>
      <c r="AQ1477" s="169"/>
      <c r="AR1477" s="169"/>
      <c r="AS1477" s="169"/>
      <c r="AT1477" s="169"/>
    </row>
    <row r="1478" spans="10:46">
      <c r="J1478" s="64"/>
      <c r="K1478" s="64"/>
      <c r="L1478" s="64"/>
      <c r="M1478" s="64"/>
      <c r="N1478" s="64"/>
      <c r="O1478" s="64"/>
      <c r="P1478" s="64"/>
      <c r="Q1478" s="64"/>
      <c r="R1478" s="64"/>
      <c r="S1478" s="64"/>
      <c r="T1478" s="64"/>
      <c r="U1478" s="64"/>
      <c r="V1478" s="64"/>
      <c r="W1478" s="64"/>
      <c r="X1478" s="64"/>
      <c r="Y1478" s="64"/>
      <c r="Z1478" s="64"/>
      <c r="AA1478" s="64"/>
      <c r="AB1478" s="64"/>
      <c r="AC1478" s="64"/>
      <c r="AD1478" s="64"/>
      <c r="AE1478" s="64"/>
      <c r="AF1478" s="64"/>
      <c r="AG1478" s="64"/>
      <c r="AH1478" s="64"/>
      <c r="AI1478" s="64"/>
      <c r="AJ1478" s="64"/>
      <c r="AK1478" s="64"/>
      <c r="AL1478" s="64"/>
      <c r="AM1478" s="169"/>
      <c r="AN1478" s="169"/>
      <c r="AO1478" s="169"/>
      <c r="AP1478" s="169"/>
      <c r="AQ1478" s="169"/>
      <c r="AR1478" s="169"/>
      <c r="AS1478" s="169"/>
      <c r="AT1478" s="169"/>
    </row>
    <row r="1479" spans="10:46">
      <c r="J1479" s="64"/>
      <c r="K1479" s="64"/>
      <c r="L1479" s="64"/>
      <c r="M1479" s="64"/>
      <c r="N1479" s="64"/>
      <c r="O1479" s="64"/>
      <c r="P1479" s="64"/>
      <c r="Q1479" s="64"/>
      <c r="R1479" s="64"/>
      <c r="S1479" s="64"/>
      <c r="T1479" s="64"/>
      <c r="U1479" s="64"/>
      <c r="V1479" s="64"/>
      <c r="W1479" s="64"/>
      <c r="X1479" s="64"/>
      <c r="Y1479" s="64"/>
      <c r="Z1479" s="64"/>
      <c r="AA1479" s="64"/>
      <c r="AB1479" s="64"/>
      <c r="AC1479" s="64"/>
      <c r="AD1479" s="64"/>
      <c r="AE1479" s="64"/>
      <c r="AF1479" s="64"/>
      <c r="AG1479" s="64"/>
      <c r="AH1479" s="64"/>
      <c r="AI1479" s="64"/>
      <c r="AJ1479" s="64"/>
      <c r="AK1479" s="64"/>
      <c r="AL1479" s="64"/>
      <c r="AM1479" s="169"/>
      <c r="AN1479" s="169"/>
      <c r="AO1479" s="169"/>
      <c r="AP1479" s="169"/>
      <c r="AQ1479" s="169"/>
      <c r="AR1479" s="169"/>
      <c r="AS1479" s="169"/>
      <c r="AT1479" s="169"/>
    </row>
    <row r="1480" spans="10:46">
      <c r="J1480" s="64"/>
      <c r="K1480" s="64"/>
      <c r="L1480" s="64"/>
      <c r="M1480" s="64"/>
      <c r="N1480" s="64"/>
      <c r="O1480" s="64"/>
      <c r="P1480" s="64"/>
      <c r="Q1480" s="64"/>
      <c r="R1480" s="64"/>
      <c r="S1480" s="64"/>
      <c r="T1480" s="64"/>
      <c r="U1480" s="64"/>
      <c r="V1480" s="64"/>
      <c r="W1480" s="64"/>
      <c r="X1480" s="64"/>
      <c r="Y1480" s="64"/>
      <c r="Z1480" s="64"/>
      <c r="AA1480" s="64"/>
      <c r="AB1480" s="64"/>
      <c r="AC1480" s="64"/>
      <c r="AD1480" s="64"/>
      <c r="AE1480" s="64"/>
      <c r="AF1480" s="64"/>
      <c r="AG1480" s="64"/>
      <c r="AH1480" s="64"/>
      <c r="AI1480" s="64"/>
      <c r="AJ1480" s="64"/>
      <c r="AK1480" s="64"/>
      <c r="AL1480" s="64"/>
      <c r="AM1480" s="169"/>
      <c r="AN1480" s="169"/>
      <c r="AO1480" s="169"/>
      <c r="AP1480" s="169"/>
      <c r="AQ1480" s="169"/>
      <c r="AR1480" s="169"/>
      <c r="AS1480" s="169"/>
      <c r="AT1480" s="169"/>
    </row>
    <row r="1481" spans="10:46">
      <c r="J1481" s="64"/>
      <c r="K1481" s="64"/>
      <c r="L1481" s="64"/>
      <c r="M1481" s="64"/>
      <c r="N1481" s="64"/>
      <c r="O1481" s="64"/>
      <c r="P1481" s="64"/>
      <c r="Q1481" s="64"/>
      <c r="R1481" s="64"/>
      <c r="S1481" s="64"/>
      <c r="T1481" s="64"/>
      <c r="U1481" s="64"/>
      <c r="V1481" s="64"/>
      <c r="W1481" s="64"/>
      <c r="X1481" s="64"/>
      <c r="Y1481" s="64"/>
      <c r="Z1481" s="64"/>
      <c r="AA1481" s="64"/>
      <c r="AB1481" s="64"/>
      <c r="AC1481" s="64"/>
      <c r="AD1481" s="64"/>
      <c r="AE1481" s="64"/>
      <c r="AF1481" s="64"/>
      <c r="AG1481" s="64"/>
      <c r="AH1481" s="64"/>
      <c r="AI1481" s="64"/>
      <c r="AJ1481" s="64"/>
      <c r="AK1481" s="64"/>
      <c r="AL1481" s="64"/>
      <c r="AM1481" s="169"/>
      <c r="AN1481" s="169"/>
      <c r="AO1481" s="169"/>
      <c r="AP1481" s="169"/>
      <c r="AQ1481" s="169"/>
      <c r="AR1481" s="169"/>
      <c r="AS1481" s="169"/>
      <c r="AT1481" s="169"/>
    </row>
    <row r="1482" spans="10:46">
      <c r="J1482" s="64"/>
      <c r="K1482" s="64"/>
      <c r="L1482" s="64"/>
      <c r="M1482" s="64"/>
      <c r="N1482" s="64"/>
      <c r="O1482" s="64"/>
      <c r="P1482" s="64"/>
      <c r="Q1482" s="64"/>
      <c r="R1482" s="64"/>
      <c r="S1482" s="64"/>
      <c r="T1482" s="64"/>
      <c r="U1482" s="64"/>
      <c r="V1482" s="64"/>
      <c r="W1482" s="64"/>
      <c r="X1482" s="64"/>
      <c r="Y1482" s="64"/>
      <c r="Z1482" s="64"/>
      <c r="AA1482" s="64"/>
      <c r="AB1482" s="64"/>
      <c r="AC1482" s="64"/>
      <c r="AD1482" s="64"/>
      <c r="AE1482" s="64"/>
      <c r="AF1482" s="64"/>
      <c r="AG1482" s="64"/>
      <c r="AH1482" s="64"/>
      <c r="AI1482" s="64"/>
      <c r="AJ1482" s="64"/>
      <c r="AK1482" s="64"/>
      <c r="AL1482" s="64"/>
      <c r="AM1482" s="169"/>
      <c r="AN1482" s="169"/>
      <c r="AO1482" s="169"/>
      <c r="AP1482" s="169"/>
      <c r="AQ1482" s="169"/>
      <c r="AR1482" s="169"/>
      <c r="AS1482" s="169"/>
      <c r="AT1482" s="169"/>
    </row>
    <row r="1483" spans="10:46">
      <c r="J1483" s="64"/>
      <c r="K1483" s="64"/>
      <c r="L1483" s="64"/>
      <c r="M1483" s="64"/>
      <c r="N1483" s="64"/>
      <c r="O1483" s="64"/>
      <c r="P1483" s="64"/>
      <c r="Q1483" s="64"/>
      <c r="R1483" s="64"/>
      <c r="S1483" s="64"/>
      <c r="T1483" s="64"/>
      <c r="U1483" s="64"/>
      <c r="V1483" s="64"/>
      <c r="W1483" s="64"/>
      <c r="X1483" s="64"/>
      <c r="Y1483" s="64"/>
      <c r="Z1483" s="64"/>
      <c r="AA1483" s="64"/>
      <c r="AB1483" s="64"/>
      <c r="AC1483" s="64"/>
      <c r="AD1483" s="64"/>
      <c r="AE1483" s="64"/>
      <c r="AF1483" s="64"/>
      <c r="AG1483" s="64"/>
      <c r="AH1483" s="64"/>
      <c r="AI1483" s="64"/>
      <c r="AJ1483" s="64"/>
      <c r="AK1483" s="64"/>
      <c r="AL1483" s="64"/>
      <c r="AM1483" s="169"/>
      <c r="AN1483" s="169"/>
      <c r="AO1483" s="169"/>
      <c r="AP1483" s="169"/>
      <c r="AQ1483" s="169"/>
      <c r="AR1483" s="169"/>
      <c r="AS1483" s="169"/>
      <c r="AT1483" s="169"/>
    </row>
    <row r="1484" spans="10:46">
      <c r="J1484" s="64"/>
      <c r="K1484" s="64"/>
      <c r="L1484" s="64"/>
      <c r="M1484" s="64"/>
      <c r="N1484" s="64"/>
      <c r="O1484" s="64"/>
      <c r="P1484" s="64"/>
      <c r="Q1484" s="64"/>
      <c r="R1484" s="64"/>
      <c r="S1484" s="64"/>
      <c r="T1484" s="64"/>
      <c r="U1484" s="64"/>
      <c r="V1484" s="64"/>
      <c r="W1484" s="64"/>
      <c r="X1484" s="64"/>
      <c r="Y1484" s="64"/>
      <c r="Z1484" s="64"/>
      <c r="AA1484" s="64"/>
      <c r="AB1484" s="64"/>
      <c r="AC1484" s="64"/>
      <c r="AD1484" s="64"/>
      <c r="AE1484" s="64"/>
      <c r="AF1484" s="64"/>
      <c r="AG1484" s="64"/>
      <c r="AH1484" s="64"/>
      <c r="AI1484" s="64"/>
      <c r="AJ1484" s="64"/>
      <c r="AK1484" s="64"/>
      <c r="AL1484" s="64"/>
      <c r="AM1484" s="169"/>
      <c r="AN1484" s="169"/>
      <c r="AO1484" s="169"/>
      <c r="AP1484" s="169"/>
      <c r="AQ1484" s="169"/>
      <c r="AR1484" s="169"/>
      <c r="AS1484" s="169"/>
      <c r="AT1484" s="169"/>
    </row>
    <row r="1485" spans="10:46">
      <c r="J1485" s="64"/>
      <c r="K1485" s="64"/>
      <c r="L1485" s="64"/>
      <c r="M1485" s="64"/>
      <c r="N1485" s="64"/>
      <c r="O1485" s="64"/>
      <c r="P1485" s="64"/>
      <c r="Q1485" s="64"/>
      <c r="R1485" s="64"/>
      <c r="S1485" s="64"/>
      <c r="T1485" s="64"/>
      <c r="U1485" s="64"/>
      <c r="V1485" s="64"/>
      <c r="W1485" s="64"/>
      <c r="X1485" s="64"/>
      <c r="Y1485" s="64"/>
      <c r="Z1485" s="64"/>
      <c r="AA1485" s="64"/>
      <c r="AB1485" s="64"/>
      <c r="AC1485" s="64"/>
      <c r="AD1485" s="64"/>
      <c r="AE1485" s="64"/>
      <c r="AF1485" s="64"/>
      <c r="AG1485" s="64"/>
      <c r="AH1485" s="64"/>
      <c r="AI1485" s="64"/>
      <c r="AJ1485" s="64"/>
      <c r="AK1485" s="64"/>
      <c r="AL1485" s="64"/>
      <c r="AM1485" s="169"/>
      <c r="AN1485" s="169"/>
      <c r="AO1485" s="169"/>
      <c r="AP1485" s="169"/>
      <c r="AQ1485" s="169"/>
      <c r="AR1485" s="169"/>
      <c r="AS1485" s="169"/>
      <c r="AT1485" s="169"/>
    </row>
    <row r="1486" spans="10:46">
      <c r="J1486" s="64"/>
      <c r="K1486" s="64"/>
      <c r="L1486" s="64"/>
      <c r="M1486" s="64"/>
      <c r="N1486" s="64"/>
      <c r="O1486" s="64"/>
      <c r="P1486" s="64"/>
      <c r="Q1486" s="64"/>
      <c r="R1486" s="64"/>
      <c r="S1486" s="64"/>
      <c r="T1486" s="64"/>
      <c r="U1486" s="64"/>
      <c r="V1486" s="64"/>
      <c r="W1486" s="64"/>
      <c r="X1486" s="64"/>
      <c r="Y1486" s="64"/>
      <c r="Z1486" s="64"/>
      <c r="AA1486" s="64"/>
      <c r="AB1486" s="64"/>
      <c r="AC1486" s="64"/>
      <c r="AD1486" s="64"/>
      <c r="AE1486" s="64"/>
      <c r="AF1486" s="64"/>
      <c r="AG1486" s="64"/>
      <c r="AH1486" s="64"/>
      <c r="AI1486" s="64"/>
      <c r="AJ1486" s="64"/>
      <c r="AK1486" s="64"/>
      <c r="AL1486" s="64"/>
      <c r="AM1486" s="169"/>
      <c r="AN1486" s="169"/>
      <c r="AO1486" s="169"/>
      <c r="AP1486" s="169"/>
      <c r="AQ1486" s="169"/>
      <c r="AR1486" s="169"/>
      <c r="AS1486" s="169"/>
      <c r="AT1486" s="169"/>
    </row>
    <row r="1487" spans="10:46">
      <c r="J1487" s="64"/>
      <c r="K1487" s="64"/>
      <c r="L1487" s="64"/>
      <c r="M1487" s="64"/>
      <c r="N1487" s="64"/>
      <c r="O1487" s="64"/>
      <c r="P1487" s="64"/>
      <c r="Q1487" s="64"/>
      <c r="R1487" s="64"/>
      <c r="S1487" s="64"/>
      <c r="T1487" s="64"/>
      <c r="U1487" s="64"/>
      <c r="V1487" s="64"/>
      <c r="W1487" s="64"/>
      <c r="X1487" s="64"/>
      <c r="Y1487" s="64"/>
      <c r="Z1487" s="64"/>
      <c r="AA1487" s="64"/>
      <c r="AB1487" s="64"/>
      <c r="AC1487" s="64"/>
      <c r="AD1487" s="64"/>
      <c r="AE1487" s="64"/>
      <c r="AF1487" s="64"/>
      <c r="AG1487" s="64"/>
      <c r="AH1487" s="64"/>
      <c r="AI1487" s="64"/>
      <c r="AJ1487" s="64"/>
      <c r="AK1487" s="64"/>
      <c r="AL1487" s="64"/>
      <c r="AM1487" s="169"/>
      <c r="AN1487" s="169"/>
      <c r="AO1487" s="169"/>
      <c r="AP1487" s="169"/>
      <c r="AQ1487" s="169"/>
      <c r="AR1487" s="169"/>
      <c r="AS1487" s="169"/>
      <c r="AT1487" s="169"/>
    </row>
    <row r="1488" spans="10:46">
      <c r="J1488" s="64"/>
      <c r="K1488" s="64"/>
      <c r="L1488" s="64"/>
      <c r="M1488" s="64"/>
      <c r="N1488" s="64"/>
      <c r="O1488" s="64"/>
      <c r="P1488" s="64"/>
      <c r="Q1488" s="64"/>
      <c r="R1488" s="64"/>
      <c r="S1488" s="64"/>
      <c r="T1488" s="64"/>
      <c r="U1488" s="64"/>
      <c r="V1488" s="64"/>
      <c r="W1488" s="64"/>
      <c r="X1488" s="64"/>
      <c r="Y1488" s="64"/>
      <c r="Z1488" s="64"/>
      <c r="AA1488" s="64"/>
      <c r="AB1488" s="64"/>
      <c r="AC1488" s="64"/>
      <c r="AD1488" s="64"/>
      <c r="AE1488" s="64"/>
      <c r="AF1488" s="64"/>
      <c r="AG1488" s="64"/>
      <c r="AH1488" s="64"/>
      <c r="AI1488" s="64"/>
      <c r="AJ1488" s="64"/>
      <c r="AK1488" s="64"/>
      <c r="AL1488" s="64"/>
      <c r="AM1488" s="169"/>
      <c r="AN1488" s="169"/>
      <c r="AO1488" s="169"/>
      <c r="AP1488" s="169"/>
      <c r="AQ1488" s="169"/>
      <c r="AR1488" s="169"/>
      <c r="AS1488" s="169"/>
      <c r="AT1488" s="169"/>
    </row>
    <row r="1489" spans="10:46">
      <c r="J1489" s="64"/>
      <c r="K1489" s="64"/>
      <c r="L1489" s="64"/>
      <c r="M1489" s="64"/>
      <c r="N1489" s="64"/>
      <c r="O1489" s="64"/>
      <c r="P1489" s="64"/>
      <c r="Q1489" s="64"/>
      <c r="R1489" s="64"/>
      <c r="S1489" s="64"/>
      <c r="T1489" s="64"/>
      <c r="U1489" s="64"/>
      <c r="V1489" s="64"/>
      <c r="W1489" s="64"/>
      <c r="X1489" s="64"/>
      <c r="Y1489" s="64"/>
      <c r="Z1489" s="64"/>
      <c r="AA1489" s="64"/>
      <c r="AB1489" s="64"/>
      <c r="AC1489" s="64"/>
      <c r="AD1489" s="64"/>
      <c r="AE1489" s="64"/>
      <c r="AF1489" s="64"/>
      <c r="AG1489" s="64"/>
      <c r="AH1489" s="64"/>
      <c r="AI1489" s="64"/>
      <c r="AJ1489" s="64"/>
      <c r="AK1489" s="64"/>
      <c r="AL1489" s="64"/>
      <c r="AM1489" s="169"/>
      <c r="AN1489" s="169"/>
      <c r="AO1489" s="169"/>
      <c r="AP1489" s="169"/>
      <c r="AQ1489" s="169"/>
      <c r="AR1489" s="169"/>
      <c r="AS1489" s="169"/>
      <c r="AT1489" s="169"/>
    </row>
    <row r="1490" spans="10:46">
      <c r="J1490" s="64"/>
      <c r="K1490" s="64"/>
      <c r="L1490" s="64"/>
      <c r="M1490" s="64"/>
      <c r="N1490" s="64"/>
      <c r="O1490" s="64"/>
      <c r="P1490" s="64"/>
      <c r="Q1490" s="64"/>
      <c r="R1490" s="64"/>
      <c r="S1490" s="64"/>
      <c r="T1490" s="64"/>
      <c r="U1490" s="64"/>
      <c r="V1490" s="64"/>
      <c r="W1490" s="64"/>
      <c r="X1490" s="64"/>
      <c r="Y1490" s="64"/>
      <c r="Z1490" s="64"/>
      <c r="AA1490" s="64"/>
      <c r="AB1490" s="64"/>
      <c r="AC1490" s="64"/>
      <c r="AD1490" s="64"/>
      <c r="AE1490" s="64"/>
      <c r="AF1490" s="64"/>
      <c r="AG1490" s="64"/>
      <c r="AH1490" s="64"/>
      <c r="AI1490" s="64"/>
      <c r="AJ1490" s="64"/>
      <c r="AK1490" s="64"/>
      <c r="AL1490" s="64"/>
      <c r="AM1490" s="169"/>
      <c r="AN1490" s="169"/>
      <c r="AO1490" s="169"/>
      <c r="AP1490" s="169"/>
      <c r="AQ1490" s="169"/>
      <c r="AR1490" s="169"/>
      <c r="AS1490" s="169"/>
      <c r="AT1490" s="169"/>
    </row>
    <row r="1491" spans="10:46">
      <c r="J1491" s="64"/>
      <c r="K1491" s="64"/>
      <c r="L1491" s="64"/>
      <c r="M1491" s="64"/>
      <c r="N1491" s="64"/>
      <c r="O1491" s="64"/>
      <c r="P1491" s="64"/>
      <c r="Q1491" s="64"/>
      <c r="R1491" s="64"/>
      <c r="S1491" s="64"/>
      <c r="T1491" s="64"/>
      <c r="U1491" s="64"/>
      <c r="V1491" s="64"/>
      <c r="W1491" s="64"/>
      <c r="X1491" s="64"/>
      <c r="Y1491" s="64"/>
      <c r="Z1491" s="64"/>
      <c r="AA1491" s="64"/>
      <c r="AB1491" s="64"/>
      <c r="AC1491" s="64"/>
      <c r="AD1491" s="64"/>
      <c r="AE1491" s="64"/>
      <c r="AF1491" s="64"/>
      <c r="AG1491" s="64"/>
      <c r="AH1491" s="64"/>
      <c r="AI1491" s="64"/>
      <c r="AJ1491" s="64"/>
      <c r="AK1491" s="64"/>
      <c r="AL1491" s="64"/>
      <c r="AM1491" s="169"/>
      <c r="AN1491" s="169"/>
      <c r="AO1491" s="169"/>
      <c r="AP1491" s="169"/>
      <c r="AQ1491" s="169"/>
      <c r="AR1491" s="169"/>
      <c r="AS1491" s="169"/>
      <c r="AT1491" s="169"/>
    </row>
    <row r="1492" spans="10:46">
      <c r="J1492" s="64"/>
      <c r="K1492" s="64"/>
      <c r="L1492" s="64"/>
      <c r="M1492" s="64"/>
      <c r="N1492" s="64"/>
      <c r="O1492" s="64"/>
      <c r="P1492" s="64"/>
      <c r="Q1492" s="64"/>
      <c r="R1492" s="64"/>
      <c r="S1492" s="64"/>
      <c r="T1492" s="64"/>
      <c r="U1492" s="64"/>
      <c r="V1492" s="64"/>
      <c r="W1492" s="64"/>
      <c r="X1492" s="64"/>
      <c r="Y1492" s="64"/>
      <c r="Z1492" s="64"/>
      <c r="AA1492" s="64"/>
      <c r="AB1492" s="64"/>
      <c r="AC1492" s="64"/>
      <c r="AD1492" s="64"/>
      <c r="AE1492" s="64"/>
      <c r="AF1492" s="64"/>
      <c r="AG1492" s="64"/>
      <c r="AH1492" s="64"/>
      <c r="AI1492" s="64"/>
      <c r="AJ1492" s="64"/>
      <c r="AK1492" s="64"/>
      <c r="AL1492" s="64"/>
      <c r="AM1492" s="169"/>
      <c r="AN1492" s="169"/>
      <c r="AO1492" s="169"/>
      <c r="AP1492" s="169"/>
      <c r="AQ1492" s="169"/>
      <c r="AR1492" s="169"/>
      <c r="AS1492" s="169"/>
      <c r="AT1492" s="169"/>
    </row>
    <row r="1493" spans="10:46">
      <c r="J1493" s="64"/>
      <c r="K1493" s="64"/>
      <c r="L1493" s="64"/>
      <c r="M1493" s="64"/>
      <c r="N1493" s="64"/>
      <c r="O1493" s="64"/>
      <c r="P1493" s="64"/>
      <c r="Q1493" s="64"/>
      <c r="R1493" s="64"/>
      <c r="S1493" s="64"/>
      <c r="T1493" s="64"/>
      <c r="U1493" s="64"/>
      <c r="V1493" s="64"/>
      <c r="W1493" s="64"/>
      <c r="X1493" s="64"/>
      <c r="Y1493" s="64"/>
      <c r="Z1493" s="64"/>
      <c r="AA1493" s="64"/>
      <c r="AB1493" s="64"/>
      <c r="AC1493" s="64"/>
      <c r="AD1493" s="64"/>
      <c r="AE1493" s="64"/>
      <c r="AF1493" s="64"/>
      <c r="AG1493" s="64"/>
      <c r="AH1493" s="64"/>
      <c r="AI1493" s="64"/>
      <c r="AJ1493" s="64"/>
      <c r="AK1493" s="64"/>
      <c r="AL1493" s="64"/>
      <c r="AM1493" s="169"/>
      <c r="AN1493" s="169"/>
      <c r="AO1493" s="169"/>
      <c r="AP1493" s="169"/>
      <c r="AQ1493" s="169"/>
      <c r="AR1493" s="169"/>
      <c r="AS1493" s="169"/>
      <c r="AT1493" s="169"/>
    </row>
    <row r="1494" spans="10:46">
      <c r="J1494" s="64"/>
      <c r="K1494" s="64"/>
      <c r="L1494" s="64"/>
      <c r="M1494" s="64"/>
      <c r="N1494" s="64"/>
      <c r="O1494" s="64"/>
      <c r="P1494" s="64"/>
      <c r="Q1494" s="64"/>
      <c r="R1494" s="64"/>
      <c r="S1494" s="64"/>
      <c r="T1494" s="64"/>
      <c r="U1494" s="64"/>
      <c r="V1494" s="64"/>
      <c r="W1494" s="64"/>
      <c r="X1494" s="64"/>
      <c r="Y1494" s="64"/>
      <c r="Z1494" s="64"/>
      <c r="AA1494" s="64"/>
      <c r="AB1494" s="64"/>
      <c r="AC1494" s="64"/>
      <c r="AD1494" s="64"/>
      <c r="AE1494" s="64"/>
      <c r="AF1494" s="64"/>
      <c r="AG1494" s="64"/>
      <c r="AH1494" s="64"/>
      <c r="AI1494" s="64"/>
      <c r="AJ1494" s="64"/>
      <c r="AK1494" s="64"/>
      <c r="AL1494" s="64"/>
      <c r="AM1494" s="169"/>
      <c r="AN1494" s="169"/>
      <c r="AO1494" s="169"/>
      <c r="AP1494" s="169"/>
      <c r="AQ1494" s="169"/>
      <c r="AR1494" s="169"/>
      <c r="AS1494" s="169"/>
      <c r="AT1494" s="169"/>
    </row>
    <row r="1495" spans="10:46">
      <c r="J1495" s="64"/>
      <c r="K1495" s="64"/>
      <c r="L1495" s="64"/>
      <c r="M1495" s="64"/>
      <c r="N1495" s="64"/>
      <c r="O1495" s="64"/>
      <c r="P1495" s="64"/>
      <c r="Q1495" s="64"/>
      <c r="R1495" s="64"/>
      <c r="S1495" s="64"/>
      <c r="T1495" s="64"/>
      <c r="U1495" s="64"/>
      <c r="V1495" s="64"/>
      <c r="W1495" s="64"/>
      <c r="X1495" s="64"/>
      <c r="Y1495" s="64"/>
      <c r="Z1495" s="64"/>
      <c r="AA1495" s="64"/>
      <c r="AB1495" s="64"/>
      <c r="AC1495" s="64"/>
      <c r="AD1495" s="64"/>
      <c r="AE1495" s="64"/>
      <c r="AF1495" s="64"/>
      <c r="AG1495" s="64"/>
      <c r="AH1495" s="64"/>
      <c r="AI1495" s="64"/>
      <c r="AJ1495" s="64"/>
      <c r="AK1495" s="64"/>
      <c r="AL1495" s="64"/>
      <c r="AM1495" s="169"/>
      <c r="AN1495" s="169"/>
      <c r="AO1495" s="169"/>
      <c r="AP1495" s="169"/>
      <c r="AQ1495" s="169"/>
      <c r="AR1495" s="169"/>
      <c r="AS1495" s="169"/>
      <c r="AT1495" s="169"/>
    </row>
    <row r="1496" spans="10:46">
      <c r="J1496" s="64"/>
      <c r="K1496" s="64"/>
      <c r="L1496" s="64"/>
      <c r="M1496" s="64"/>
      <c r="N1496" s="64"/>
      <c r="O1496" s="64"/>
      <c r="P1496" s="64"/>
      <c r="Q1496" s="64"/>
      <c r="R1496" s="64"/>
      <c r="S1496" s="64"/>
      <c r="T1496" s="64"/>
      <c r="U1496" s="64"/>
      <c r="V1496" s="64"/>
      <c r="W1496" s="64"/>
      <c r="X1496" s="64"/>
      <c r="Y1496" s="64"/>
      <c r="Z1496" s="64"/>
      <c r="AA1496" s="64"/>
      <c r="AB1496" s="64"/>
      <c r="AC1496" s="64"/>
      <c r="AD1496" s="64"/>
      <c r="AE1496" s="64"/>
      <c r="AF1496" s="64"/>
      <c r="AG1496" s="64"/>
      <c r="AH1496" s="64"/>
      <c r="AI1496" s="64"/>
      <c r="AJ1496" s="64"/>
      <c r="AK1496" s="64"/>
      <c r="AL1496" s="64"/>
      <c r="AM1496" s="169"/>
      <c r="AN1496" s="169"/>
      <c r="AO1496" s="169"/>
      <c r="AP1496" s="169"/>
      <c r="AQ1496" s="169"/>
      <c r="AR1496" s="169"/>
      <c r="AS1496" s="169"/>
      <c r="AT1496" s="169"/>
    </row>
    <row r="1497" spans="10:46">
      <c r="J1497" s="64"/>
      <c r="K1497" s="64"/>
      <c r="L1497" s="64"/>
      <c r="M1497" s="64"/>
      <c r="N1497" s="64"/>
      <c r="O1497" s="64"/>
      <c r="P1497" s="64"/>
      <c r="Q1497" s="64"/>
      <c r="R1497" s="64"/>
      <c r="S1497" s="64"/>
      <c r="T1497" s="64"/>
      <c r="U1497" s="64"/>
      <c r="V1497" s="64"/>
      <c r="W1497" s="64"/>
      <c r="X1497" s="64"/>
      <c r="Y1497" s="64"/>
      <c r="Z1497" s="64"/>
      <c r="AA1497" s="64"/>
      <c r="AB1497" s="64"/>
      <c r="AC1497" s="64"/>
      <c r="AD1497" s="64"/>
      <c r="AE1497" s="64"/>
      <c r="AF1497" s="64"/>
      <c r="AG1497" s="64"/>
      <c r="AH1497" s="64"/>
      <c r="AI1497" s="64"/>
      <c r="AJ1497" s="64"/>
      <c r="AK1497" s="64"/>
      <c r="AL1497" s="64"/>
      <c r="AM1497" s="169"/>
      <c r="AN1497" s="169"/>
      <c r="AO1497" s="169"/>
      <c r="AP1497" s="169"/>
      <c r="AQ1497" s="169"/>
      <c r="AR1497" s="169"/>
      <c r="AS1497" s="169"/>
      <c r="AT1497" s="169"/>
    </row>
    <row r="1498" spans="10:46">
      <c r="J1498" s="64"/>
      <c r="K1498" s="64"/>
      <c r="L1498" s="64"/>
      <c r="M1498" s="64"/>
      <c r="N1498" s="64"/>
      <c r="O1498" s="64"/>
      <c r="P1498" s="64"/>
      <c r="Q1498" s="64"/>
      <c r="R1498" s="64"/>
      <c r="S1498" s="64"/>
      <c r="T1498" s="64"/>
      <c r="U1498" s="64"/>
      <c r="V1498" s="64"/>
      <c r="W1498" s="64"/>
      <c r="X1498" s="64"/>
      <c r="Y1498" s="64"/>
      <c r="Z1498" s="64"/>
      <c r="AA1498" s="64"/>
      <c r="AB1498" s="64"/>
      <c r="AC1498" s="64"/>
      <c r="AD1498" s="64"/>
      <c r="AE1498" s="64"/>
      <c r="AF1498" s="64"/>
      <c r="AG1498" s="64"/>
      <c r="AH1498" s="64"/>
      <c r="AI1498" s="64"/>
      <c r="AJ1498" s="64"/>
      <c r="AK1498" s="64"/>
      <c r="AL1498" s="64"/>
      <c r="AM1498" s="169"/>
      <c r="AN1498" s="169"/>
      <c r="AO1498" s="169"/>
      <c r="AP1498" s="169"/>
      <c r="AQ1498" s="169"/>
      <c r="AR1498" s="169"/>
      <c r="AS1498" s="169"/>
      <c r="AT1498" s="169"/>
    </row>
    <row r="1499" spans="10:46">
      <c r="J1499" s="64"/>
      <c r="K1499" s="64"/>
      <c r="L1499" s="64"/>
      <c r="M1499" s="64"/>
      <c r="N1499" s="64"/>
      <c r="O1499" s="64"/>
      <c r="P1499" s="64"/>
      <c r="Q1499" s="64"/>
      <c r="R1499" s="64"/>
      <c r="S1499" s="64"/>
      <c r="T1499" s="64"/>
      <c r="U1499" s="64"/>
      <c r="V1499" s="64"/>
      <c r="W1499" s="64"/>
      <c r="X1499" s="64"/>
      <c r="Y1499" s="64"/>
      <c r="Z1499" s="64"/>
      <c r="AA1499" s="64"/>
      <c r="AB1499" s="64"/>
      <c r="AC1499" s="64"/>
      <c r="AD1499" s="64"/>
      <c r="AE1499" s="64"/>
      <c r="AF1499" s="64"/>
      <c r="AG1499" s="64"/>
      <c r="AH1499" s="64"/>
      <c r="AI1499" s="64"/>
      <c r="AJ1499" s="64"/>
      <c r="AK1499" s="64"/>
      <c r="AL1499" s="64"/>
      <c r="AM1499" s="169"/>
      <c r="AN1499" s="169"/>
      <c r="AO1499" s="169"/>
      <c r="AP1499" s="169"/>
      <c r="AQ1499" s="169"/>
      <c r="AR1499" s="169"/>
      <c r="AS1499" s="169"/>
      <c r="AT1499" s="169"/>
    </row>
    <row r="1500" spans="10:46">
      <c r="J1500" s="64"/>
      <c r="K1500" s="64"/>
      <c r="L1500" s="64"/>
      <c r="M1500" s="64"/>
      <c r="N1500" s="64"/>
      <c r="O1500" s="64"/>
      <c r="P1500" s="64"/>
      <c r="Q1500" s="64"/>
      <c r="R1500" s="64"/>
      <c r="S1500" s="64"/>
      <c r="T1500" s="64"/>
      <c r="U1500" s="64"/>
      <c r="V1500" s="64"/>
      <c r="W1500" s="64"/>
      <c r="X1500" s="64"/>
      <c r="Y1500" s="64"/>
      <c r="Z1500" s="64"/>
      <c r="AA1500" s="64"/>
      <c r="AB1500" s="64"/>
      <c r="AC1500" s="64"/>
      <c r="AD1500" s="64"/>
      <c r="AE1500" s="64"/>
      <c r="AF1500" s="64"/>
      <c r="AG1500" s="64"/>
      <c r="AH1500" s="64"/>
      <c r="AI1500" s="64"/>
      <c r="AJ1500" s="64"/>
      <c r="AK1500" s="64"/>
      <c r="AL1500" s="64"/>
      <c r="AM1500" s="169"/>
      <c r="AN1500" s="169"/>
      <c r="AO1500" s="169"/>
      <c r="AP1500" s="169"/>
      <c r="AQ1500" s="169"/>
      <c r="AR1500" s="169"/>
      <c r="AS1500" s="169"/>
      <c r="AT1500" s="169"/>
    </row>
    <row r="1501" spans="10:46">
      <c r="J1501" s="64"/>
      <c r="K1501" s="64"/>
      <c r="L1501" s="64"/>
      <c r="M1501" s="64"/>
      <c r="N1501" s="64"/>
      <c r="O1501" s="64"/>
      <c r="P1501" s="64"/>
      <c r="Q1501" s="64"/>
      <c r="R1501" s="64"/>
      <c r="S1501" s="64"/>
      <c r="T1501" s="64"/>
      <c r="U1501" s="64"/>
      <c r="V1501" s="64"/>
      <c r="W1501" s="64"/>
      <c r="X1501" s="64"/>
      <c r="Y1501" s="64"/>
      <c r="Z1501" s="64"/>
      <c r="AA1501" s="64"/>
      <c r="AB1501" s="64"/>
      <c r="AC1501" s="64"/>
      <c r="AD1501" s="64"/>
      <c r="AE1501" s="64"/>
      <c r="AF1501" s="64"/>
      <c r="AG1501" s="64"/>
      <c r="AH1501" s="64"/>
      <c r="AI1501" s="64"/>
      <c r="AJ1501" s="64"/>
      <c r="AK1501" s="64"/>
      <c r="AL1501" s="64"/>
      <c r="AM1501" s="169"/>
      <c r="AN1501" s="169"/>
      <c r="AO1501" s="169"/>
      <c r="AP1501" s="169"/>
      <c r="AQ1501" s="169"/>
      <c r="AR1501" s="169"/>
      <c r="AS1501" s="169"/>
      <c r="AT1501" s="169"/>
    </row>
    <row r="1502" spans="10:46">
      <c r="J1502" s="64"/>
      <c r="K1502" s="64"/>
      <c r="L1502" s="64"/>
      <c r="M1502" s="64"/>
      <c r="N1502" s="64"/>
      <c r="O1502" s="64"/>
      <c r="P1502" s="64"/>
      <c r="Q1502" s="64"/>
      <c r="R1502" s="64"/>
      <c r="S1502" s="64"/>
      <c r="T1502" s="64"/>
      <c r="U1502" s="64"/>
      <c r="V1502" s="64"/>
      <c r="W1502" s="64"/>
      <c r="X1502" s="64"/>
      <c r="Y1502" s="64"/>
      <c r="Z1502" s="64"/>
      <c r="AA1502" s="64"/>
      <c r="AB1502" s="64"/>
      <c r="AC1502" s="64"/>
      <c r="AD1502" s="64"/>
      <c r="AE1502" s="64"/>
      <c r="AF1502" s="64"/>
      <c r="AG1502" s="64"/>
      <c r="AH1502" s="64"/>
      <c r="AI1502" s="64"/>
      <c r="AJ1502" s="64"/>
      <c r="AK1502" s="64"/>
      <c r="AL1502" s="64"/>
      <c r="AM1502" s="169"/>
      <c r="AN1502" s="169"/>
      <c r="AO1502" s="169"/>
      <c r="AP1502" s="169"/>
      <c r="AQ1502" s="169"/>
      <c r="AR1502" s="169"/>
      <c r="AS1502" s="169"/>
      <c r="AT1502" s="169"/>
    </row>
    <row r="1503" spans="10:46">
      <c r="J1503" s="64"/>
      <c r="K1503" s="64"/>
      <c r="L1503" s="64"/>
      <c r="M1503" s="64"/>
      <c r="N1503" s="64"/>
      <c r="O1503" s="64"/>
      <c r="P1503" s="64"/>
      <c r="Q1503" s="64"/>
      <c r="R1503" s="64"/>
      <c r="S1503" s="64"/>
      <c r="T1503" s="64"/>
      <c r="U1503" s="64"/>
      <c r="V1503" s="64"/>
      <c r="W1503" s="64"/>
      <c r="X1503" s="64"/>
      <c r="Y1503" s="64"/>
      <c r="Z1503" s="64"/>
      <c r="AA1503" s="64"/>
      <c r="AB1503" s="64"/>
      <c r="AC1503" s="64"/>
      <c r="AD1503" s="64"/>
      <c r="AE1503" s="64"/>
      <c r="AF1503" s="64"/>
      <c r="AG1503" s="64"/>
      <c r="AH1503" s="64"/>
      <c r="AI1503" s="64"/>
      <c r="AJ1503" s="64"/>
      <c r="AK1503" s="64"/>
      <c r="AL1503" s="64"/>
      <c r="AM1503" s="169"/>
      <c r="AN1503" s="169"/>
      <c r="AO1503" s="169"/>
      <c r="AP1503" s="169"/>
      <c r="AQ1503" s="169"/>
      <c r="AR1503" s="169"/>
      <c r="AS1503" s="169"/>
      <c r="AT1503" s="169"/>
    </row>
    <row r="1504" spans="10:46">
      <c r="J1504" s="64"/>
      <c r="K1504" s="64"/>
      <c r="L1504" s="64"/>
      <c r="M1504" s="64"/>
      <c r="N1504" s="64"/>
      <c r="O1504" s="64"/>
      <c r="P1504" s="64"/>
      <c r="Q1504" s="64"/>
      <c r="R1504" s="64"/>
      <c r="S1504" s="64"/>
      <c r="T1504" s="64"/>
      <c r="U1504" s="64"/>
      <c r="V1504" s="64"/>
      <c r="W1504" s="64"/>
      <c r="X1504" s="64"/>
      <c r="Y1504" s="64"/>
      <c r="Z1504" s="64"/>
      <c r="AA1504" s="64"/>
      <c r="AB1504" s="64"/>
      <c r="AC1504" s="64"/>
      <c r="AD1504" s="64"/>
      <c r="AE1504" s="64"/>
      <c r="AF1504" s="64"/>
      <c r="AG1504" s="64"/>
      <c r="AH1504" s="64"/>
      <c r="AI1504" s="64"/>
      <c r="AJ1504" s="64"/>
      <c r="AK1504" s="64"/>
      <c r="AL1504" s="64"/>
      <c r="AM1504" s="169"/>
      <c r="AN1504" s="169"/>
      <c r="AO1504" s="169"/>
      <c r="AP1504" s="169"/>
      <c r="AQ1504" s="169"/>
      <c r="AR1504" s="169"/>
      <c r="AS1504" s="169"/>
      <c r="AT1504" s="169"/>
    </row>
    <row r="1505" spans="10:46">
      <c r="J1505" s="64"/>
      <c r="K1505" s="64"/>
      <c r="L1505" s="64"/>
      <c r="M1505" s="64"/>
      <c r="N1505" s="64"/>
      <c r="O1505" s="64"/>
      <c r="P1505" s="64"/>
      <c r="Q1505" s="64"/>
      <c r="R1505" s="64"/>
      <c r="S1505" s="64"/>
      <c r="T1505" s="64"/>
      <c r="U1505" s="64"/>
      <c r="V1505" s="64"/>
      <c r="W1505" s="64"/>
      <c r="X1505" s="64"/>
      <c r="Y1505" s="64"/>
      <c r="Z1505" s="64"/>
      <c r="AA1505" s="64"/>
      <c r="AB1505" s="64"/>
      <c r="AC1505" s="64"/>
      <c r="AD1505" s="64"/>
      <c r="AE1505" s="64"/>
      <c r="AF1505" s="64"/>
      <c r="AG1505" s="64"/>
      <c r="AH1505" s="64"/>
      <c r="AI1505" s="64"/>
      <c r="AJ1505" s="64"/>
      <c r="AK1505" s="64"/>
      <c r="AL1505" s="64"/>
      <c r="AM1505" s="169"/>
      <c r="AN1505" s="169"/>
      <c r="AO1505" s="169"/>
      <c r="AP1505" s="169"/>
      <c r="AQ1505" s="169"/>
      <c r="AR1505" s="169"/>
      <c r="AS1505" s="169"/>
      <c r="AT1505" s="169"/>
    </row>
    <row r="1506" spans="10:46">
      <c r="J1506" s="64"/>
      <c r="K1506" s="64"/>
      <c r="L1506" s="64"/>
      <c r="M1506" s="64"/>
      <c r="N1506" s="64"/>
      <c r="O1506" s="64"/>
      <c r="P1506" s="64"/>
      <c r="Q1506" s="64"/>
      <c r="R1506" s="64"/>
      <c r="S1506" s="64"/>
      <c r="T1506" s="64"/>
      <c r="U1506" s="64"/>
      <c r="V1506" s="64"/>
      <c r="W1506" s="64"/>
      <c r="X1506" s="64"/>
      <c r="Y1506" s="64"/>
      <c r="Z1506" s="64"/>
      <c r="AA1506" s="64"/>
      <c r="AB1506" s="64"/>
      <c r="AC1506" s="64"/>
      <c r="AD1506" s="64"/>
      <c r="AE1506" s="64"/>
      <c r="AF1506" s="64"/>
      <c r="AG1506" s="64"/>
      <c r="AH1506" s="64"/>
      <c r="AI1506" s="64"/>
      <c r="AJ1506" s="64"/>
      <c r="AK1506" s="64"/>
      <c r="AL1506" s="64"/>
      <c r="AM1506" s="169"/>
      <c r="AN1506" s="169"/>
      <c r="AO1506" s="169"/>
      <c r="AP1506" s="169"/>
      <c r="AQ1506" s="169"/>
      <c r="AR1506" s="169"/>
      <c r="AS1506" s="169"/>
      <c r="AT1506" s="169"/>
    </row>
    <row r="1507" spans="10:46">
      <c r="J1507" s="64"/>
      <c r="K1507" s="64"/>
      <c r="L1507" s="64"/>
      <c r="M1507" s="64"/>
      <c r="N1507" s="64"/>
      <c r="O1507" s="64"/>
      <c r="P1507" s="64"/>
      <c r="Q1507" s="64"/>
      <c r="R1507" s="64"/>
      <c r="S1507" s="64"/>
      <c r="T1507" s="64"/>
      <c r="U1507" s="64"/>
      <c r="V1507" s="64"/>
      <c r="W1507" s="64"/>
      <c r="X1507" s="64"/>
      <c r="Y1507" s="64"/>
      <c r="Z1507" s="64"/>
      <c r="AA1507" s="64"/>
      <c r="AB1507" s="64"/>
      <c r="AC1507" s="64"/>
      <c r="AD1507" s="64"/>
      <c r="AE1507" s="64"/>
      <c r="AF1507" s="64"/>
      <c r="AG1507" s="64"/>
      <c r="AH1507" s="64"/>
      <c r="AI1507" s="64"/>
      <c r="AJ1507" s="64"/>
      <c r="AK1507" s="64"/>
      <c r="AL1507" s="64"/>
      <c r="AM1507" s="169"/>
      <c r="AN1507" s="169"/>
      <c r="AO1507" s="169"/>
      <c r="AP1507" s="169"/>
      <c r="AQ1507" s="169"/>
      <c r="AR1507" s="169"/>
      <c r="AS1507" s="169"/>
      <c r="AT1507" s="169"/>
    </row>
    <row r="1508" spans="10:46">
      <c r="J1508" s="64"/>
      <c r="K1508" s="64"/>
      <c r="L1508" s="64"/>
      <c r="M1508" s="64"/>
      <c r="N1508" s="64"/>
      <c r="O1508" s="64"/>
      <c r="P1508" s="64"/>
      <c r="Q1508" s="64"/>
      <c r="R1508" s="64"/>
      <c r="S1508" s="64"/>
      <c r="T1508" s="64"/>
      <c r="U1508" s="64"/>
      <c r="V1508" s="64"/>
      <c r="W1508" s="64"/>
      <c r="X1508" s="64"/>
      <c r="Y1508" s="64"/>
      <c r="Z1508" s="64"/>
      <c r="AA1508" s="64"/>
      <c r="AB1508" s="64"/>
      <c r="AC1508" s="64"/>
      <c r="AD1508" s="64"/>
      <c r="AE1508" s="64"/>
      <c r="AF1508" s="64"/>
      <c r="AG1508" s="64"/>
      <c r="AH1508" s="64"/>
      <c r="AI1508" s="64"/>
      <c r="AJ1508" s="64"/>
      <c r="AK1508" s="64"/>
      <c r="AL1508" s="64"/>
      <c r="AM1508" s="169"/>
      <c r="AN1508" s="169"/>
      <c r="AO1508" s="169"/>
      <c r="AP1508" s="169"/>
      <c r="AQ1508" s="169"/>
      <c r="AR1508" s="169"/>
      <c r="AS1508" s="169"/>
      <c r="AT1508" s="169"/>
    </row>
    <row r="1509" spans="10:46">
      <c r="J1509" s="64"/>
      <c r="K1509" s="64"/>
      <c r="L1509" s="64"/>
      <c r="M1509" s="64"/>
      <c r="N1509" s="64"/>
      <c r="O1509" s="64"/>
      <c r="P1509" s="64"/>
      <c r="Q1509" s="64"/>
      <c r="R1509" s="64"/>
      <c r="S1509" s="64"/>
      <c r="T1509" s="64"/>
      <c r="U1509" s="64"/>
      <c r="V1509" s="64"/>
      <c r="W1509" s="64"/>
      <c r="X1509" s="64"/>
      <c r="Y1509" s="64"/>
      <c r="Z1509" s="64"/>
      <c r="AA1509" s="64"/>
      <c r="AB1509" s="64"/>
      <c r="AC1509" s="64"/>
      <c r="AD1509" s="64"/>
      <c r="AE1509" s="64"/>
      <c r="AF1509" s="64"/>
      <c r="AG1509" s="64"/>
      <c r="AH1509" s="64"/>
      <c r="AI1509" s="64"/>
      <c r="AJ1509" s="64"/>
      <c r="AK1509" s="64"/>
      <c r="AL1509" s="64"/>
      <c r="AM1509" s="169"/>
      <c r="AN1509" s="169"/>
      <c r="AO1509" s="169"/>
      <c r="AP1509" s="169"/>
      <c r="AQ1509" s="169"/>
      <c r="AR1509" s="169"/>
      <c r="AS1509" s="169"/>
      <c r="AT1509" s="169"/>
    </row>
    <row r="1510" spans="10:46">
      <c r="J1510" s="64"/>
      <c r="K1510" s="64"/>
      <c r="L1510" s="64"/>
      <c r="M1510" s="64"/>
      <c r="N1510" s="64"/>
      <c r="O1510" s="64"/>
      <c r="P1510" s="64"/>
      <c r="Q1510" s="64"/>
      <c r="R1510" s="64"/>
      <c r="S1510" s="64"/>
      <c r="T1510" s="64"/>
      <c r="U1510" s="64"/>
      <c r="V1510" s="64"/>
      <c r="W1510" s="64"/>
      <c r="X1510" s="64"/>
      <c r="Y1510" s="64"/>
      <c r="Z1510" s="64"/>
      <c r="AA1510" s="64"/>
      <c r="AB1510" s="64"/>
      <c r="AC1510" s="64"/>
      <c r="AD1510" s="64"/>
      <c r="AE1510" s="64"/>
      <c r="AF1510" s="64"/>
      <c r="AG1510" s="64"/>
      <c r="AH1510" s="64"/>
      <c r="AI1510" s="64"/>
      <c r="AJ1510" s="64"/>
      <c r="AK1510" s="64"/>
      <c r="AL1510" s="64"/>
      <c r="AM1510" s="169"/>
      <c r="AN1510" s="169"/>
      <c r="AO1510" s="169"/>
      <c r="AP1510" s="169"/>
      <c r="AQ1510" s="169"/>
      <c r="AR1510" s="169"/>
      <c r="AS1510" s="169"/>
      <c r="AT1510" s="169"/>
    </row>
    <row r="1511" spans="10:46">
      <c r="J1511" s="64"/>
      <c r="K1511" s="64"/>
      <c r="L1511" s="64"/>
      <c r="M1511" s="64"/>
      <c r="N1511" s="64"/>
      <c r="O1511" s="64"/>
      <c r="P1511" s="64"/>
      <c r="Q1511" s="64"/>
      <c r="R1511" s="64"/>
      <c r="S1511" s="64"/>
      <c r="T1511" s="64"/>
      <c r="U1511" s="64"/>
      <c r="V1511" s="64"/>
      <c r="W1511" s="64"/>
      <c r="X1511" s="64"/>
      <c r="Y1511" s="64"/>
      <c r="Z1511" s="64"/>
      <c r="AA1511" s="64"/>
      <c r="AB1511" s="64"/>
      <c r="AC1511" s="64"/>
      <c r="AD1511" s="64"/>
      <c r="AE1511" s="64"/>
      <c r="AF1511" s="64"/>
      <c r="AG1511" s="64"/>
      <c r="AH1511" s="64"/>
      <c r="AI1511" s="64"/>
      <c r="AJ1511" s="64"/>
      <c r="AK1511" s="64"/>
      <c r="AL1511" s="64"/>
      <c r="AM1511" s="169"/>
      <c r="AN1511" s="169"/>
      <c r="AO1511" s="169"/>
      <c r="AP1511" s="169"/>
      <c r="AQ1511" s="169"/>
      <c r="AR1511" s="169"/>
      <c r="AS1511" s="169"/>
      <c r="AT1511" s="169"/>
    </row>
    <row r="1512" spans="10:46">
      <c r="J1512" s="64"/>
      <c r="K1512" s="64"/>
      <c r="L1512" s="64"/>
      <c r="M1512" s="64"/>
      <c r="N1512" s="64"/>
      <c r="O1512" s="64"/>
      <c r="P1512" s="64"/>
      <c r="Q1512" s="64"/>
      <c r="R1512" s="64"/>
      <c r="S1512" s="64"/>
      <c r="T1512" s="64"/>
      <c r="U1512" s="64"/>
      <c r="V1512" s="64"/>
      <c r="W1512" s="64"/>
      <c r="X1512" s="64"/>
      <c r="Y1512" s="64"/>
      <c r="Z1512" s="64"/>
      <c r="AA1512" s="64"/>
      <c r="AB1512" s="64"/>
      <c r="AC1512" s="64"/>
      <c r="AD1512" s="64"/>
      <c r="AE1512" s="64"/>
      <c r="AF1512" s="64"/>
      <c r="AG1512" s="64"/>
      <c r="AH1512" s="64"/>
      <c r="AI1512" s="64"/>
      <c r="AJ1512" s="64"/>
      <c r="AK1512" s="64"/>
      <c r="AL1512" s="64"/>
      <c r="AM1512" s="169"/>
      <c r="AN1512" s="169"/>
      <c r="AO1512" s="169"/>
      <c r="AP1512" s="169"/>
      <c r="AQ1512" s="169"/>
      <c r="AR1512" s="169"/>
      <c r="AS1512" s="169"/>
      <c r="AT1512" s="169"/>
    </row>
    <row r="1513" spans="10:46">
      <c r="J1513" s="64"/>
      <c r="K1513" s="64"/>
      <c r="L1513" s="64"/>
      <c r="M1513" s="64"/>
      <c r="N1513" s="64"/>
      <c r="O1513" s="64"/>
      <c r="P1513" s="64"/>
      <c r="Q1513" s="64"/>
      <c r="R1513" s="64"/>
      <c r="S1513" s="64"/>
      <c r="T1513" s="64"/>
      <c r="U1513" s="64"/>
      <c r="V1513" s="64"/>
      <c r="W1513" s="64"/>
      <c r="X1513" s="64"/>
      <c r="Y1513" s="64"/>
      <c r="Z1513" s="64"/>
      <c r="AA1513" s="64"/>
      <c r="AB1513" s="64"/>
      <c r="AC1513" s="64"/>
      <c r="AD1513" s="64"/>
      <c r="AE1513" s="64"/>
      <c r="AF1513" s="64"/>
      <c r="AG1513" s="64"/>
      <c r="AH1513" s="64"/>
      <c r="AI1513" s="64"/>
      <c r="AJ1513" s="64"/>
      <c r="AK1513" s="64"/>
      <c r="AL1513" s="64"/>
      <c r="AM1513" s="169"/>
      <c r="AN1513" s="169"/>
      <c r="AO1513" s="169"/>
      <c r="AP1513" s="169"/>
      <c r="AQ1513" s="169"/>
      <c r="AR1513" s="169"/>
      <c r="AS1513" s="169"/>
      <c r="AT1513" s="169"/>
    </row>
    <row r="1514" spans="10:46">
      <c r="J1514" s="64"/>
      <c r="K1514" s="64"/>
      <c r="L1514" s="64"/>
      <c r="M1514" s="64"/>
      <c r="N1514" s="64"/>
      <c r="O1514" s="64"/>
      <c r="P1514" s="64"/>
      <c r="Q1514" s="64"/>
      <c r="R1514" s="64"/>
      <c r="S1514" s="64"/>
      <c r="T1514" s="64"/>
      <c r="U1514" s="64"/>
      <c r="V1514" s="64"/>
      <c r="W1514" s="64"/>
      <c r="X1514" s="64"/>
      <c r="Y1514" s="64"/>
      <c r="Z1514" s="64"/>
      <c r="AA1514" s="64"/>
      <c r="AB1514" s="64"/>
      <c r="AC1514" s="64"/>
      <c r="AD1514" s="64"/>
      <c r="AE1514" s="64"/>
      <c r="AF1514" s="64"/>
      <c r="AG1514" s="64"/>
      <c r="AH1514" s="64"/>
      <c r="AI1514" s="64"/>
      <c r="AJ1514" s="64"/>
      <c r="AK1514" s="64"/>
      <c r="AL1514" s="64"/>
      <c r="AM1514" s="169"/>
      <c r="AN1514" s="169"/>
      <c r="AO1514" s="169"/>
      <c r="AP1514" s="169"/>
      <c r="AQ1514" s="169"/>
      <c r="AR1514" s="169"/>
      <c r="AS1514" s="169"/>
      <c r="AT1514" s="169"/>
    </row>
    <row r="1515" spans="10:46">
      <c r="J1515" s="64"/>
      <c r="K1515" s="64"/>
      <c r="L1515" s="64"/>
      <c r="M1515" s="64"/>
      <c r="N1515" s="64"/>
      <c r="O1515" s="64"/>
      <c r="P1515" s="64"/>
      <c r="Q1515" s="64"/>
      <c r="R1515" s="64"/>
      <c r="S1515" s="64"/>
      <c r="T1515" s="64"/>
      <c r="U1515" s="64"/>
      <c r="V1515" s="64"/>
      <c r="W1515" s="64"/>
      <c r="X1515" s="64"/>
      <c r="Y1515" s="64"/>
      <c r="Z1515" s="64"/>
      <c r="AA1515" s="64"/>
      <c r="AB1515" s="64"/>
      <c r="AC1515" s="64"/>
      <c r="AD1515" s="64"/>
      <c r="AE1515" s="64"/>
      <c r="AF1515" s="64"/>
      <c r="AG1515" s="64"/>
      <c r="AH1515" s="64"/>
      <c r="AI1515" s="64"/>
      <c r="AJ1515" s="64"/>
      <c r="AK1515" s="64"/>
      <c r="AL1515" s="64"/>
      <c r="AM1515" s="169"/>
      <c r="AN1515" s="169"/>
      <c r="AO1515" s="169"/>
      <c r="AP1515" s="169"/>
      <c r="AQ1515" s="169"/>
      <c r="AR1515" s="169"/>
      <c r="AS1515" s="169"/>
      <c r="AT1515" s="169"/>
    </row>
    <row r="1516" spans="10:46">
      <c r="J1516" s="64"/>
      <c r="K1516" s="64"/>
      <c r="L1516" s="64"/>
      <c r="M1516" s="64"/>
      <c r="N1516" s="64"/>
      <c r="O1516" s="64"/>
      <c r="P1516" s="64"/>
      <c r="Q1516" s="64"/>
      <c r="R1516" s="64"/>
      <c r="S1516" s="64"/>
      <c r="T1516" s="64"/>
      <c r="U1516" s="64"/>
      <c r="V1516" s="64"/>
      <c r="W1516" s="64"/>
      <c r="X1516" s="64"/>
      <c r="Y1516" s="64"/>
      <c r="Z1516" s="64"/>
      <c r="AA1516" s="64"/>
      <c r="AB1516" s="64"/>
      <c r="AC1516" s="64"/>
      <c r="AD1516" s="64"/>
      <c r="AE1516" s="64"/>
      <c r="AF1516" s="64"/>
      <c r="AG1516" s="64"/>
      <c r="AH1516" s="64"/>
      <c r="AI1516" s="64"/>
      <c r="AJ1516" s="64"/>
      <c r="AK1516" s="64"/>
      <c r="AL1516" s="64"/>
      <c r="AM1516" s="169"/>
      <c r="AN1516" s="169"/>
      <c r="AO1516" s="169"/>
      <c r="AP1516" s="169"/>
      <c r="AQ1516" s="169"/>
      <c r="AR1516" s="169"/>
      <c r="AS1516" s="169"/>
      <c r="AT1516" s="169"/>
    </row>
    <row r="1517" spans="10:46">
      <c r="J1517" s="64"/>
      <c r="K1517" s="64"/>
      <c r="L1517" s="64"/>
      <c r="M1517" s="64"/>
      <c r="N1517" s="64"/>
      <c r="O1517" s="64"/>
      <c r="P1517" s="64"/>
      <c r="Q1517" s="64"/>
      <c r="R1517" s="64"/>
      <c r="S1517" s="64"/>
      <c r="T1517" s="64"/>
      <c r="U1517" s="64"/>
      <c r="V1517" s="64"/>
      <c r="W1517" s="64"/>
      <c r="X1517" s="64"/>
      <c r="Y1517" s="64"/>
      <c r="Z1517" s="64"/>
      <c r="AA1517" s="64"/>
      <c r="AB1517" s="64"/>
      <c r="AC1517" s="64"/>
      <c r="AD1517" s="64"/>
      <c r="AE1517" s="64"/>
      <c r="AF1517" s="64"/>
      <c r="AG1517" s="64"/>
      <c r="AH1517" s="64"/>
      <c r="AI1517" s="64"/>
      <c r="AJ1517" s="64"/>
      <c r="AK1517" s="64"/>
      <c r="AL1517" s="64"/>
      <c r="AM1517" s="169"/>
      <c r="AN1517" s="169"/>
      <c r="AO1517" s="169"/>
      <c r="AP1517" s="169"/>
      <c r="AQ1517" s="169"/>
      <c r="AR1517" s="169"/>
      <c r="AS1517" s="169"/>
      <c r="AT1517" s="169"/>
    </row>
    <row r="1518" spans="10:46">
      <c r="J1518" s="64"/>
      <c r="K1518" s="64"/>
      <c r="L1518" s="64"/>
      <c r="M1518" s="64"/>
      <c r="N1518" s="64"/>
      <c r="O1518" s="64"/>
      <c r="P1518" s="64"/>
      <c r="Q1518" s="64"/>
      <c r="R1518" s="64"/>
      <c r="S1518" s="64"/>
      <c r="T1518" s="64"/>
      <c r="U1518" s="64"/>
      <c r="V1518" s="64"/>
      <c r="W1518" s="64"/>
      <c r="X1518" s="64"/>
      <c r="Y1518" s="64"/>
      <c r="Z1518" s="64"/>
      <c r="AA1518" s="64"/>
      <c r="AB1518" s="64"/>
      <c r="AC1518" s="64"/>
      <c r="AD1518" s="64"/>
      <c r="AE1518" s="64"/>
      <c r="AF1518" s="64"/>
      <c r="AG1518" s="64"/>
      <c r="AH1518" s="64"/>
      <c r="AI1518" s="64"/>
      <c r="AJ1518" s="64"/>
      <c r="AK1518" s="64"/>
      <c r="AL1518" s="64"/>
      <c r="AM1518" s="169"/>
      <c r="AN1518" s="169"/>
      <c r="AO1518" s="169"/>
      <c r="AP1518" s="169"/>
      <c r="AQ1518" s="169"/>
      <c r="AR1518" s="169"/>
      <c r="AS1518" s="169"/>
      <c r="AT1518" s="169"/>
    </row>
    <row r="1519" spans="10:46">
      <c r="J1519" s="64"/>
      <c r="K1519" s="64"/>
      <c r="L1519" s="64"/>
      <c r="M1519" s="64"/>
      <c r="N1519" s="64"/>
      <c r="O1519" s="64"/>
      <c r="P1519" s="64"/>
      <c r="Q1519" s="64"/>
      <c r="R1519" s="64"/>
      <c r="S1519" s="64"/>
      <c r="T1519" s="64"/>
      <c r="U1519" s="64"/>
      <c r="V1519" s="64"/>
      <c r="W1519" s="64"/>
      <c r="X1519" s="64"/>
      <c r="Y1519" s="64"/>
      <c r="Z1519" s="64"/>
      <c r="AA1519" s="64"/>
      <c r="AB1519" s="64"/>
      <c r="AC1519" s="64"/>
      <c r="AD1519" s="64"/>
      <c r="AE1519" s="64"/>
      <c r="AF1519" s="64"/>
      <c r="AG1519" s="64"/>
      <c r="AH1519" s="64"/>
      <c r="AI1519" s="64"/>
      <c r="AJ1519" s="64"/>
      <c r="AK1519" s="64"/>
      <c r="AL1519" s="64"/>
      <c r="AM1519" s="169"/>
      <c r="AN1519" s="169"/>
      <c r="AO1519" s="169"/>
      <c r="AP1519" s="169"/>
      <c r="AQ1519" s="169"/>
      <c r="AR1519" s="169"/>
      <c r="AS1519" s="169"/>
      <c r="AT1519" s="169"/>
    </row>
    <row r="1520" spans="10:46">
      <c r="J1520" s="64"/>
      <c r="K1520" s="64"/>
      <c r="L1520" s="64"/>
      <c r="M1520" s="64"/>
      <c r="N1520" s="64"/>
      <c r="O1520" s="64"/>
      <c r="P1520" s="64"/>
      <c r="Q1520" s="64"/>
      <c r="R1520" s="64"/>
      <c r="S1520" s="64"/>
      <c r="T1520" s="64"/>
      <c r="U1520" s="64"/>
      <c r="V1520" s="64"/>
      <c r="W1520" s="64"/>
      <c r="X1520" s="64"/>
      <c r="Y1520" s="64"/>
      <c r="Z1520" s="64"/>
      <c r="AA1520" s="64"/>
      <c r="AB1520" s="64"/>
      <c r="AC1520" s="64"/>
      <c r="AD1520" s="64"/>
      <c r="AE1520" s="64"/>
      <c r="AF1520" s="64"/>
      <c r="AG1520" s="64"/>
      <c r="AH1520" s="64"/>
      <c r="AI1520" s="64"/>
      <c r="AJ1520" s="64"/>
      <c r="AK1520" s="64"/>
      <c r="AL1520" s="64"/>
      <c r="AM1520" s="169"/>
      <c r="AN1520" s="169"/>
      <c r="AO1520" s="169"/>
      <c r="AP1520" s="169"/>
      <c r="AQ1520" s="169"/>
      <c r="AR1520" s="169"/>
      <c r="AS1520" s="169"/>
      <c r="AT1520" s="169"/>
    </row>
    <row r="1521" spans="10:46">
      <c r="J1521" s="64"/>
      <c r="K1521" s="64"/>
      <c r="L1521" s="64"/>
      <c r="M1521" s="64"/>
      <c r="N1521" s="64"/>
      <c r="O1521" s="64"/>
      <c r="P1521" s="64"/>
      <c r="Q1521" s="64"/>
      <c r="R1521" s="64"/>
      <c r="S1521" s="64"/>
      <c r="T1521" s="64"/>
      <c r="U1521" s="64"/>
      <c r="V1521" s="64"/>
      <c r="W1521" s="64"/>
      <c r="X1521" s="64"/>
      <c r="Y1521" s="64"/>
      <c r="Z1521" s="64"/>
      <c r="AA1521" s="64"/>
      <c r="AB1521" s="64"/>
      <c r="AC1521" s="64"/>
      <c r="AD1521" s="64"/>
      <c r="AE1521" s="64"/>
      <c r="AF1521" s="64"/>
      <c r="AG1521" s="64"/>
      <c r="AH1521" s="64"/>
      <c r="AI1521" s="64"/>
      <c r="AJ1521" s="64"/>
      <c r="AK1521" s="64"/>
      <c r="AL1521" s="64"/>
      <c r="AM1521" s="169"/>
      <c r="AN1521" s="169"/>
      <c r="AO1521" s="169"/>
      <c r="AP1521" s="169"/>
      <c r="AQ1521" s="169"/>
      <c r="AR1521" s="169"/>
      <c r="AS1521" s="169"/>
      <c r="AT1521" s="169"/>
    </row>
    <row r="1522" spans="10:46">
      <c r="J1522" s="64"/>
      <c r="K1522" s="64"/>
      <c r="L1522" s="64"/>
      <c r="M1522" s="64"/>
      <c r="N1522" s="64"/>
      <c r="O1522" s="64"/>
      <c r="P1522" s="64"/>
      <c r="Q1522" s="64"/>
      <c r="R1522" s="64"/>
      <c r="S1522" s="64"/>
      <c r="T1522" s="64"/>
      <c r="U1522" s="64"/>
      <c r="V1522" s="64"/>
      <c r="W1522" s="64"/>
      <c r="X1522" s="64"/>
      <c r="Y1522" s="64"/>
      <c r="Z1522" s="64"/>
      <c r="AA1522" s="64"/>
      <c r="AB1522" s="64"/>
      <c r="AC1522" s="64"/>
      <c r="AD1522" s="64"/>
      <c r="AE1522" s="64"/>
      <c r="AF1522" s="64"/>
      <c r="AG1522" s="64"/>
      <c r="AH1522" s="64"/>
      <c r="AI1522" s="64"/>
      <c r="AJ1522" s="64"/>
      <c r="AK1522" s="64"/>
      <c r="AL1522" s="64"/>
      <c r="AM1522" s="169"/>
      <c r="AN1522" s="169"/>
      <c r="AO1522" s="169"/>
      <c r="AP1522" s="169"/>
      <c r="AQ1522" s="169"/>
      <c r="AR1522" s="169"/>
      <c r="AS1522" s="169"/>
      <c r="AT1522" s="169"/>
    </row>
    <row r="1523" spans="10:46">
      <c r="J1523" s="64"/>
      <c r="K1523" s="64"/>
      <c r="L1523" s="64"/>
      <c r="M1523" s="64"/>
      <c r="N1523" s="64"/>
      <c r="O1523" s="64"/>
      <c r="P1523" s="64"/>
      <c r="Q1523" s="64"/>
      <c r="R1523" s="64"/>
      <c r="S1523" s="64"/>
      <c r="T1523" s="64"/>
      <c r="U1523" s="64"/>
      <c r="V1523" s="64"/>
      <c r="W1523" s="64"/>
      <c r="X1523" s="64"/>
      <c r="Y1523" s="64"/>
      <c r="Z1523" s="64"/>
      <c r="AA1523" s="64"/>
      <c r="AB1523" s="64"/>
      <c r="AC1523" s="64"/>
      <c r="AD1523" s="64"/>
      <c r="AE1523" s="64"/>
      <c r="AF1523" s="64"/>
      <c r="AG1523" s="64"/>
      <c r="AH1523" s="64"/>
      <c r="AI1523" s="64"/>
      <c r="AJ1523" s="64"/>
      <c r="AK1523" s="64"/>
      <c r="AL1523" s="64"/>
      <c r="AM1523" s="169"/>
      <c r="AN1523" s="169"/>
      <c r="AO1523" s="169"/>
      <c r="AP1523" s="169"/>
      <c r="AQ1523" s="169"/>
      <c r="AR1523" s="169"/>
      <c r="AS1523" s="169"/>
      <c r="AT1523" s="169"/>
    </row>
    <row r="1524" spans="10:46">
      <c r="J1524" s="64"/>
      <c r="K1524" s="64"/>
      <c r="L1524" s="64"/>
      <c r="M1524" s="64"/>
      <c r="N1524" s="64"/>
      <c r="O1524" s="64"/>
      <c r="P1524" s="64"/>
      <c r="Q1524" s="64"/>
      <c r="R1524" s="64"/>
      <c r="S1524" s="64"/>
      <c r="T1524" s="64"/>
      <c r="U1524" s="64"/>
      <c r="V1524" s="64"/>
      <c r="W1524" s="64"/>
      <c r="X1524" s="64"/>
      <c r="Y1524" s="64"/>
      <c r="Z1524" s="64"/>
      <c r="AA1524" s="64"/>
      <c r="AB1524" s="64"/>
      <c r="AC1524" s="64"/>
      <c r="AD1524" s="64"/>
      <c r="AE1524" s="64"/>
      <c r="AF1524" s="64"/>
      <c r="AG1524" s="64"/>
      <c r="AH1524" s="64"/>
      <c r="AI1524" s="64"/>
      <c r="AJ1524" s="64"/>
      <c r="AK1524" s="64"/>
      <c r="AL1524" s="64"/>
      <c r="AM1524" s="169"/>
      <c r="AN1524" s="169"/>
      <c r="AO1524" s="169"/>
      <c r="AP1524" s="169"/>
      <c r="AQ1524" s="169"/>
      <c r="AR1524" s="169"/>
      <c r="AS1524" s="169"/>
      <c r="AT1524" s="169"/>
    </row>
    <row r="1525" spans="10:46">
      <c r="J1525" s="64"/>
      <c r="K1525" s="64"/>
      <c r="L1525" s="64"/>
      <c r="M1525" s="64"/>
      <c r="N1525" s="64"/>
      <c r="O1525" s="64"/>
      <c r="P1525" s="64"/>
      <c r="Q1525" s="64"/>
      <c r="R1525" s="64"/>
      <c r="S1525" s="64"/>
      <c r="T1525" s="64"/>
      <c r="U1525" s="64"/>
      <c r="V1525" s="64"/>
      <c r="W1525" s="64"/>
      <c r="X1525" s="64"/>
      <c r="Y1525" s="64"/>
      <c r="Z1525" s="64"/>
      <c r="AA1525" s="64"/>
      <c r="AB1525" s="64"/>
      <c r="AC1525" s="64"/>
      <c r="AD1525" s="64"/>
      <c r="AE1525" s="64"/>
      <c r="AF1525" s="64"/>
      <c r="AG1525" s="64"/>
      <c r="AH1525" s="64"/>
      <c r="AI1525" s="64"/>
      <c r="AJ1525" s="64"/>
      <c r="AK1525" s="64"/>
      <c r="AL1525" s="64"/>
      <c r="AM1525" s="169"/>
      <c r="AN1525" s="169"/>
      <c r="AO1525" s="169"/>
      <c r="AP1525" s="169"/>
      <c r="AQ1525" s="169"/>
      <c r="AR1525" s="169"/>
      <c r="AS1525" s="169"/>
      <c r="AT1525" s="169"/>
    </row>
    <row r="1526" spans="10:46">
      <c r="J1526" s="64"/>
      <c r="K1526" s="64"/>
      <c r="L1526" s="64"/>
      <c r="M1526" s="64"/>
      <c r="N1526" s="64"/>
      <c r="O1526" s="64"/>
      <c r="P1526" s="64"/>
      <c r="Q1526" s="64"/>
      <c r="R1526" s="64"/>
      <c r="S1526" s="64"/>
      <c r="T1526" s="64"/>
      <c r="U1526" s="64"/>
      <c r="V1526" s="64"/>
      <c r="W1526" s="64"/>
      <c r="X1526" s="64"/>
      <c r="Y1526" s="64"/>
      <c r="Z1526" s="64"/>
      <c r="AA1526" s="64"/>
      <c r="AB1526" s="64"/>
      <c r="AC1526" s="64"/>
      <c r="AD1526" s="64"/>
      <c r="AE1526" s="64"/>
      <c r="AF1526" s="64"/>
      <c r="AG1526" s="64"/>
      <c r="AH1526" s="64"/>
      <c r="AI1526" s="64"/>
      <c r="AJ1526" s="64"/>
      <c r="AK1526" s="64"/>
      <c r="AL1526" s="64"/>
      <c r="AM1526" s="169"/>
      <c r="AN1526" s="169"/>
      <c r="AO1526" s="169"/>
      <c r="AP1526" s="169"/>
      <c r="AQ1526" s="169"/>
      <c r="AR1526" s="169"/>
      <c r="AS1526" s="169"/>
      <c r="AT1526" s="169"/>
    </row>
    <row r="1527" spans="10:46">
      <c r="J1527" s="64"/>
      <c r="K1527" s="64"/>
      <c r="L1527" s="64"/>
      <c r="M1527" s="64"/>
      <c r="N1527" s="64"/>
      <c r="O1527" s="64"/>
      <c r="P1527" s="64"/>
      <c r="Q1527" s="64"/>
      <c r="R1527" s="64"/>
      <c r="S1527" s="64"/>
      <c r="T1527" s="64"/>
      <c r="U1527" s="64"/>
      <c r="V1527" s="64"/>
      <c r="W1527" s="64"/>
      <c r="X1527" s="64"/>
      <c r="Y1527" s="64"/>
      <c r="Z1527" s="64"/>
      <c r="AA1527" s="64"/>
      <c r="AB1527" s="64"/>
      <c r="AC1527" s="64"/>
      <c r="AD1527" s="64"/>
      <c r="AE1527" s="64"/>
      <c r="AF1527" s="64"/>
      <c r="AG1527" s="64"/>
      <c r="AH1527" s="64"/>
      <c r="AI1527" s="64"/>
      <c r="AJ1527" s="64"/>
      <c r="AK1527" s="64"/>
      <c r="AL1527" s="64"/>
      <c r="AM1527" s="169"/>
      <c r="AN1527" s="169"/>
      <c r="AO1527" s="169"/>
      <c r="AP1527" s="169"/>
      <c r="AQ1527" s="169"/>
      <c r="AR1527" s="169"/>
      <c r="AS1527" s="169"/>
      <c r="AT1527" s="169"/>
    </row>
    <row r="1528" spans="10:46">
      <c r="J1528" s="64"/>
      <c r="K1528" s="64"/>
      <c r="L1528" s="64"/>
      <c r="M1528" s="64"/>
      <c r="N1528" s="64"/>
      <c r="O1528" s="64"/>
      <c r="P1528" s="64"/>
      <c r="Q1528" s="64"/>
      <c r="R1528" s="64"/>
      <c r="S1528" s="64"/>
      <c r="T1528" s="64"/>
      <c r="U1528" s="64"/>
      <c r="V1528" s="64"/>
      <c r="W1528" s="64"/>
      <c r="X1528" s="64"/>
      <c r="Y1528" s="64"/>
      <c r="Z1528" s="64"/>
      <c r="AA1528" s="64"/>
      <c r="AB1528" s="64"/>
      <c r="AC1528" s="64"/>
      <c r="AD1528" s="64"/>
      <c r="AE1528" s="64"/>
      <c r="AF1528" s="64"/>
      <c r="AG1528" s="64"/>
      <c r="AH1528" s="64"/>
      <c r="AI1528" s="64"/>
      <c r="AJ1528" s="64"/>
      <c r="AK1528" s="64"/>
      <c r="AL1528" s="64"/>
      <c r="AM1528" s="169"/>
      <c r="AN1528" s="169"/>
      <c r="AO1528" s="169"/>
      <c r="AP1528" s="169"/>
      <c r="AQ1528" s="169"/>
      <c r="AR1528" s="169"/>
      <c r="AS1528" s="169"/>
      <c r="AT1528" s="169"/>
    </row>
    <row r="1529" spans="10:46">
      <c r="J1529" s="64"/>
      <c r="K1529" s="64"/>
      <c r="L1529" s="64"/>
      <c r="M1529" s="64"/>
      <c r="N1529" s="64"/>
      <c r="O1529" s="64"/>
      <c r="P1529" s="64"/>
      <c r="Q1529" s="64"/>
      <c r="R1529" s="64"/>
      <c r="S1529" s="64"/>
      <c r="T1529" s="64"/>
      <c r="U1529" s="64"/>
      <c r="V1529" s="64"/>
      <c r="W1529" s="64"/>
      <c r="X1529" s="64"/>
      <c r="Y1529" s="64"/>
      <c r="Z1529" s="64"/>
      <c r="AA1529" s="64"/>
      <c r="AB1529" s="64"/>
      <c r="AC1529" s="64"/>
      <c r="AD1529" s="64"/>
      <c r="AE1529" s="64"/>
      <c r="AF1529" s="64"/>
      <c r="AG1529" s="64"/>
      <c r="AH1529" s="64"/>
      <c r="AI1529" s="64"/>
      <c r="AJ1529" s="64"/>
      <c r="AK1529" s="64"/>
      <c r="AL1529" s="64"/>
      <c r="AM1529" s="169"/>
      <c r="AN1529" s="169"/>
      <c r="AO1529" s="169"/>
      <c r="AP1529" s="169"/>
      <c r="AQ1529" s="169"/>
      <c r="AR1529" s="169"/>
      <c r="AS1529" s="169"/>
      <c r="AT1529" s="169"/>
    </row>
    <row r="1530" spans="10:46">
      <c r="J1530" s="64"/>
      <c r="K1530" s="64"/>
      <c r="L1530" s="64"/>
      <c r="M1530" s="64"/>
      <c r="N1530" s="64"/>
      <c r="O1530" s="64"/>
      <c r="P1530" s="64"/>
      <c r="Q1530" s="64"/>
      <c r="R1530" s="64"/>
      <c r="S1530" s="64"/>
      <c r="T1530" s="64"/>
      <c r="U1530" s="64"/>
      <c r="V1530" s="64"/>
      <c r="W1530" s="64"/>
      <c r="X1530" s="64"/>
      <c r="Y1530" s="64"/>
      <c r="Z1530" s="64"/>
      <c r="AA1530" s="64"/>
      <c r="AB1530" s="64"/>
      <c r="AC1530" s="64"/>
      <c r="AD1530" s="64"/>
      <c r="AE1530" s="64"/>
      <c r="AF1530" s="64"/>
      <c r="AG1530" s="64"/>
      <c r="AH1530" s="64"/>
      <c r="AI1530" s="64"/>
      <c r="AJ1530" s="64"/>
      <c r="AK1530" s="64"/>
      <c r="AL1530" s="64"/>
      <c r="AM1530" s="169"/>
      <c r="AN1530" s="169"/>
      <c r="AO1530" s="169"/>
      <c r="AP1530" s="169"/>
      <c r="AQ1530" s="169"/>
      <c r="AR1530" s="169"/>
      <c r="AS1530" s="169"/>
      <c r="AT1530" s="169"/>
    </row>
    <row r="1531" spans="10:46">
      <c r="J1531" s="64"/>
      <c r="K1531" s="64"/>
      <c r="L1531" s="64"/>
      <c r="M1531" s="64"/>
      <c r="N1531" s="64"/>
      <c r="O1531" s="64"/>
      <c r="P1531" s="64"/>
      <c r="Q1531" s="64"/>
      <c r="R1531" s="64"/>
      <c r="S1531" s="64"/>
      <c r="T1531" s="64"/>
      <c r="U1531" s="64"/>
      <c r="V1531" s="64"/>
      <c r="W1531" s="64"/>
      <c r="X1531" s="64"/>
      <c r="Y1531" s="64"/>
      <c r="Z1531" s="64"/>
      <c r="AA1531" s="64"/>
      <c r="AB1531" s="64"/>
      <c r="AC1531" s="64"/>
      <c r="AD1531" s="64"/>
      <c r="AE1531" s="64"/>
      <c r="AF1531" s="64"/>
      <c r="AG1531" s="64"/>
      <c r="AH1531" s="64"/>
      <c r="AI1531" s="64"/>
      <c r="AJ1531" s="64"/>
      <c r="AK1531" s="64"/>
      <c r="AL1531" s="64"/>
      <c r="AM1531" s="169"/>
      <c r="AN1531" s="169"/>
      <c r="AO1531" s="169"/>
      <c r="AP1531" s="169"/>
      <c r="AQ1531" s="169"/>
      <c r="AR1531" s="169"/>
      <c r="AS1531" s="169"/>
      <c r="AT1531" s="169"/>
    </row>
    <row r="1532" spans="10:46">
      <c r="J1532" s="64"/>
      <c r="K1532" s="64"/>
      <c r="L1532" s="64"/>
      <c r="M1532" s="64"/>
      <c r="N1532" s="64"/>
      <c r="O1532" s="64"/>
      <c r="P1532" s="64"/>
      <c r="Q1532" s="64"/>
      <c r="R1532" s="64"/>
      <c r="S1532" s="64"/>
      <c r="T1532" s="64"/>
      <c r="U1532" s="64"/>
      <c r="V1532" s="64"/>
      <c r="W1532" s="64"/>
      <c r="X1532" s="64"/>
      <c r="Y1532" s="64"/>
      <c r="Z1532" s="64"/>
      <c r="AA1532" s="64"/>
      <c r="AB1532" s="64"/>
      <c r="AC1532" s="64"/>
      <c r="AD1532" s="64"/>
      <c r="AE1532" s="64"/>
      <c r="AF1532" s="64"/>
      <c r="AG1532" s="64"/>
      <c r="AH1532" s="64"/>
      <c r="AI1532" s="64"/>
      <c r="AJ1532" s="64"/>
      <c r="AK1532" s="64"/>
      <c r="AL1532" s="64"/>
      <c r="AM1532" s="169"/>
      <c r="AN1532" s="169"/>
      <c r="AO1532" s="169"/>
      <c r="AP1532" s="169"/>
      <c r="AQ1532" s="169"/>
      <c r="AR1532" s="169"/>
      <c r="AS1532" s="169"/>
      <c r="AT1532" s="169"/>
    </row>
    <row r="1533" spans="10:46">
      <c r="J1533" s="64"/>
      <c r="K1533" s="64"/>
      <c r="L1533" s="64"/>
      <c r="M1533" s="64"/>
      <c r="N1533" s="64"/>
      <c r="O1533" s="64"/>
      <c r="P1533" s="64"/>
      <c r="Q1533" s="64"/>
      <c r="R1533" s="64"/>
      <c r="S1533" s="64"/>
      <c r="T1533" s="64"/>
      <c r="U1533" s="64"/>
      <c r="V1533" s="64"/>
      <c r="W1533" s="64"/>
      <c r="X1533" s="64"/>
      <c r="Y1533" s="64"/>
      <c r="Z1533" s="64"/>
      <c r="AA1533" s="64"/>
      <c r="AB1533" s="64"/>
      <c r="AC1533" s="64"/>
      <c r="AD1533" s="64"/>
      <c r="AE1533" s="64"/>
      <c r="AF1533" s="64"/>
      <c r="AG1533" s="64"/>
      <c r="AH1533" s="64"/>
      <c r="AI1533" s="64"/>
      <c r="AJ1533" s="64"/>
      <c r="AK1533" s="64"/>
      <c r="AL1533" s="64"/>
      <c r="AM1533" s="169"/>
      <c r="AN1533" s="169"/>
      <c r="AO1533" s="169"/>
      <c r="AP1533" s="169"/>
      <c r="AQ1533" s="169"/>
      <c r="AR1533" s="169"/>
      <c r="AS1533" s="169"/>
      <c r="AT1533" s="169"/>
    </row>
    <row r="1534" spans="10:46">
      <c r="J1534" s="64"/>
      <c r="K1534" s="64"/>
      <c r="L1534" s="64"/>
      <c r="M1534" s="64"/>
      <c r="N1534" s="64"/>
      <c r="O1534" s="64"/>
      <c r="P1534" s="64"/>
      <c r="Q1534" s="64"/>
      <c r="R1534" s="64"/>
      <c r="S1534" s="64"/>
      <c r="T1534" s="64"/>
      <c r="U1534" s="64"/>
      <c r="V1534" s="64"/>
      <c r="W1534" s="64"/>
      <c r="X1534" s="64"/>
      <c r="Y1534" s="64"/>
      <c r="Z1534" s="64"/>
      <c r="AA1534" s="64"/>
      <c r="AB1534" s="64"/>
      <c r="AC1534" s="64"/>
      <c r="AD1534" s="64"/>
      <c r="AE1534" s="64"/>
      <c r="AF1534" s="64"/>
      <c r="AG1534" s="64"/>
      <c r="AH1534" s="64"/>
      <c r="AI1534" s="64"/>
      <c r="AJ1534" s="64"/>
      <c r="AK1534" s="64"/>
      <c r="AL1534" s="64"/>
      <c r="AM1534" s="169"/>
      <c r="AN1534" s="169"/>
      <c r="AO1534" s="169"/>
      <c r="AP1534" s="169"/>
      <c r="AQ1534" s="169"/>
      <c r="AR1534" s="169"/>
      <c r="AS1534" s="169"/>
      <c r="AT1534" s="169"/>
    </row>
    <row r="1535" spans="10:46">
      <c r="J1535" s="64"/>
      <c r="K1535" s="64"/>
      <c r="L1535" s="64"/>
      <c r="M1535" s="64"/>
      <c r="N1535" s="64"/>
      <c r="O1535" s="64"/>
      <c r="P1535" s="64"/>
      <c r="Q1535" s="64"/>
      <c r="R1535" s="64"/>
      <c r="S1535" s="64"/>
      <c r="T1535" s="64"/>
      <c r="U1535" s="64"/>
      <c r="V1535" s="64"/>
      <c r="W1535" s="64"/>
      <c r="X1535" s="64"/>
      <c r="Y1535" s="64"/>
      <c r="Z1535" s="64"/>
      <c r="AA1535" s="64"/>
      <c r="AB1535" s="64"/>
      <c r="AC1535" s="64"/>
      <c r="AD1535" s="64"/>
      <c r="AE1535" s="64"/>
      <c r="AF1535" s="64"/>
      <c r="AG1535" s="64"/>
      <c r="AH1535" s="64"/>
      <c r="AI1535" s="64"/>
      <c r="AJ1535" s="64"/>
      <c r="AK1535" s="64"/>
      <c r="AL1535" s="64"/>
      <c r="AM1535" s="169"/>
      <c r="AN1535" s="169"/>
      <c r="AO1535" s="169"/>
      <c r="AP1535" s="169"/>
      <c r="AQ1535" s="169"/>
      <c r="AR1535" s="169"/>
      <c r="AS1535" s="169"/>
      <c r="AT1535" s="169"/>
    </row>
    <row r="1536" spans="10:46">
      <c r="J1536" s="64"/>
      <c r="K1536" s="64"/>
      <c r="L1536" s="64"/>
      <c r="M1536" s="64"/>
      <c r="N1536" s="64"/>
      <c r="O1536" s="64"/>
      <c r="P1536" s="64"/>
      <c r="Q1536" s="64"/>
      <c r="R1536" s="64"/>
      <c r="S1536" s="64"/>
      <c r="T1536" s="64"/>
      <c r="U1536" s="64"/>
      <c r="V1536" s="64"/>
      <c r="W1536" s="64"/>
      <c r="X1536" s="64"/>
      <c r="Y1536" s="64"/>
      <c r="Z1536" s="64"/>
      <c r="AA1536" s="64"/>
      <c r="AB1536" s="64"/>
      <c r="AC1536" s="64"/>
      <c r="AD1536" s="64"/>
      <c r="AE1536" s="64"/>
      <c r="AF1536" s="64"/>
      <c r="AG1536" s="64"/>
      <c r="AH1536" s="64"/>
      <c r="AI1536" s="64"/>
      <c r="AJ1536" s="64"/>
      <c r="AK1536" s="64"/>
      <c r="AL1536" s="64"/>
      <c r="AM1536" s="169"/>
      <c r="AN1536" s="169"/>
      <c r="AO1536" s="169"/>
      <c r="AP1536" s="169"/>
      <c r="AQ1536" s="169"/>
      <c r="AR1536" s="169"/>
      <c r="AS1536" s="169"/>
      <c r="AT1536" s="169"/>
    </row>
    <row r="1537" spans="10:46">
      <c r="J1537" s="64"/>
      <c r="K1537" s="64"/>
      <c r="L1537" s="64"/>
      <c r="M1537" s="64"/>
      <c r="N1537" s="64"/>
      <c r="O1537" s="64"/>
      <c r="P1537" s="64"/>
      <c r="Q1537" s="64"/>
      <c r="R1537" s="64"/>
      <c r="S1537" s="64"/>
      <c r="T1537" s="64"/>
      <c r="U1537" s="64"/>
      <c r="V1537" s="64"/>
      <c r="W1537" s="64"/>
      <c r="X1537" s="64"/>
      <c r="Y1537" s="64"/>
      <c r="Z1537" s="64"/>
      <c r="AA1537" s="64"/>
      <c r="AB1537" s="64"/>
      <c r="AC1537" s="64"/>
      <c r="AD1537" s="64"/>
      <c r="AE1537" s="64"/>
      <c r="AF1537" s="64"/>
      <c r="AG1537" s="64"/>
      <c r="AH1537" s="64"/>
      <c r="AI1537" s="64"/>
      <c r="AJ1537" s="64"/>
      <c r="AK1537" s="64"/>
      <c r="AL1537" s="64"/>
      <c r="AM1537" s="169"/>
      <c r="AN1537" s="169"/>
      <c r="AO1537" s="169"/>
      <c r="AP1537" s="169"/>
      <c r="AQ1537" s="169"/>
      <c r="AR1537" s="169"/>
      <c r="AS1537" s="169"/>
      <c r="AT1537" s="169"/>
    </row>
    <row r="1538" spans="10:46">
      <c r="J1538" s="64"/>
      <c r="K1538" s="64"/>
      <c r="L1538" s="64"/>
      <c r="M1538" s="64"/>
      <c r="N1538" s="64"/>
      <c r="O1538" s="64"/>
      <c r="P1538" s="64"/>
      <c r="Q1538" s="64"/>
      <c r="R1538" s="64"/>
      <c r="S1538" s="64"/>
      <c r="T1538" s="64"/>
      <c r="U1538" s="64"/>
      <c r="V1538" s="64"/>
      <c r="W1538" s="64"/>
      <c r="X1538" s="64"/>
      <c r="Y1538" s="64"/>
      <c r="Z1538" s="64"/>
      <c r="AA1538" s="64"/>
      <c r="AB1538" s="64"/>
      <c r="AC1538" s="64"/>
      <c r="AD1538" s="64"/>
      <c r="AE1538" s="64"/>
      <c r="AF1538" s="64"/>
      <c r="AG1538" s="64"/>
      <c r="AH1538" s="64"/>
      <c r="AI1538" s="64"/>
      <c r="AJ1538" s="64"/>
      <c r="AK1538" s="64"/>
      <c r="AL1538" s="64"/>
      <c r="AM1538" s="169"/>
      <c r="AN1538" s="169"/>
      <c r="AO1538" s="169"/>
      <c r="AP1538" s="169"/>
      <c r="AQ1538" s="169"/>
      <c r="AR1538" s="169"/>
      <c r="AS1538" s="169"/>
      <c r="AT1538" s="169"/>
    </row>
    <row r="1539" spans="10:46">
      <c r="J1539" s="64"/>
      <c r="K1539" s="64"/>
      <c r="L1539" s="64"/>
      <c r="M1539" s="64"/>
      <c r="N1539" s="64"/>
      <c r="O1539" s="64"/>
      <c r="P1539" s="64"/>
      <c r="Q1539" s="64"/>
      <c r="R1539" s="64"/>
      <c r="S1539" s="64"/>
      <c r="T1539" s="64"/>
      <c r="U1539" s="64"/>
      <c r="V1539" s="64"/>
      <c r="W1539" s="64"/>
      <c r="X1539" s="64"/>
      <c r="Y1539" s="64"/>
      <c r="Z1539" s="64"/>
      <c r="AA1539" s="64"/>
      <c r="AB1539" s="64"/>
      <c r="AC1539" s="64"/>
      <c r="AD1539" s="64"/>
      <c r="AE1539" s="64"/>
      <c r="AF1539" s="64"/>
      <c r="AG1539" s="64"/>
      <c r="AH1539" s="64"/>
      <c r="AI1539" s="64"/>
      <c r="AJ1539" s="64"/>
      <c r="AK1539" s="64"/>
      <c r="AL1539" s="64"/>
      <c r="AM1539" s="169"/>
      <c r="AN1539" s="169"/>
      <c r="AO1539" s="169"/>
      <c r="AP1539" s="169"/>
      <c r="AQ1539" s="169"/>
      <c r="AR1539" s="169"/>
      <c r="AS1539" s="169"/>
      <c r="AT1539" s="169"/>
    </row>
    <row r="1540" spans="10:46">
      <c r="J1540" s="64"/>
      <c r="K1540" s="64"/>
      <c r="L1540" s="64"/>
      <c r="M1540" s="64"/>
      <c r="N1540" s="64"/>
      <c r="O1540" s="64"/>
      <c r="P1540" s="64"/>
      <c r="Q1540" s="64"/>
      <c r="R1540" s="64"/>
      <c r="S1540" s="64"/>
      <c r="T1540" s="64"/>
      <c r="U1540" s="64"/>
      <c r="V1540" s="64"/>
      <c r="W1540" s="64"/>
      <c r="X1540" s="64"/>
      <c r="Y1540" s="64"/>
      <c r="Z1540" s="64"/>
      <c r="AA1540" s="64"/>
      <c r="AB1540" s="64"/>
      <c r="AC1540" s="64"/>
      <c r="AD1540" s="64"/>
      <c r="AE1540" s="64"/>
      <c r="AF1540" s="64"/>
      <c r="AG1540" s="64"/>
      <c r="AH1540" s="64"/>
      <c r="AI1540" s="64"/>
      <c r="AJ1540" s="64"/>
      <c r="AK1540" s="64"/>
      <c r="AL1540" s="64"/>
      <c r="AM1540" s="169"/>
      <c r="AN1540" s="169"/>
      <c r="AO1540" s="169"/>
      <c r="AP1540" s="169"/>
      <c r="AQ1540" s="169"/>
      <c r="AR1540" s="169"/>
      <c r="AS1540" s="169"/>
      <c r="AT1540" s="169"/>
    </row>
    <row r="1541" spans="10:46">
      <c r="J1541" s="64"/>
      <c r="K1541" s="64"/>
      <c r="L1541" s="64"/>
      <c r="M1541" s="64"/>
      <c r="N1541" s="64"/>
      <c r="O1541" s="64"/>
      <c r="P1541" s="64"/>
      <c r="Q1541" s="64"/>
      <c r="R1541" s="64"/>
      <c r="S1541" s="64"/>
      <c r="T1541" s="64"/>
      <c r="U1541" s="64"/>
      <c r="V1541" s="64"/>
      <c r="W1541" s="64"/>
      <c r="X1541" s="64"/>
      <c r="Y1541" s="64"/>
      <c r="Z1541" s="64"/>
      <c r="AA1541" s="64"/>
      <c r="AB1541" s="64"/>
      <c r="AC1541" s="64"/>
      <c r="AD1541" s="64"/>
      <c r="AE1541" s="64"/>
      <c r="AF1541" s="64"/>
      <c r="AG1541" s="64"/>
      <c r="AH1541" s="64"/>
      <c r="AI1541" s="64"/>
      <c r="AJ1541" s="64"/>
      <c r="AK1541" s="64"/>
      <c r="AL1541" s="64"/>
      <c r="AM1541" s="169"/>
      <c r="AN1541" s="169"/>
      <c r="AO1541" s="169"/>
      <c r="AP1541" s="169"/>
      <c r="AQ1541" s="169"/>
      <c r="AR1541" s="169"/>
      <c r="AS1541" s="169"/>
      <c r="AT1541" s="169"/>
    </row>
    <row r="1542" spans="10:46">
      <c r="J1542" s="64"/>
      <c r="K1542" s="64"/>
      <c r="L1542" s="64"/>
      <c r="M1542" s="64"/>
      <c r="N1542" s="64"/>
      <c r="O1542" s="64"/>
      <c r="P1542" s="64"/>
      <c r="Q1542" s="64"/>
      <c r="R1542" s="64"/>
      <c r="S1542" s="64"/>
      <c r="T1542" s="64"/>
      <c r="U1542" s="64"/>
      <c r="V1542" s="64"/>
      <c r="W1542" s="64"/>
      <c r="X1542" s="64"/>
      <c r="Y1542" s="64"/>
      <c r="Z1542" s="64"/>
      <c r="AA1542" s="64"/>
      <c r="AB1542" s="64"/>
      <c r="AC1542" s="64"/>
      <c r="AD1542" s="64"/>
      <c r="AE1542" s="64"/>
      <c r="AF1542" s="64"/>
      <c r="AG1542" s="64"/>
      <c r="AH1542" s="64"/>
      <c r="AI1542" s="64"/>
      <c r="AJ1542" s="64"/>
      <c r="AK1542" s="64"/>
      <c r="AL1542" s="64"/>
      <c r="AM1542" s="169"/>
      <c r="AN1542" s="169"/>
      <c r="AO1542" s="169"/>
      <c r="AP1542" s="169"/>
      <c r="AQ1542" s="169"/>
      <c r="AR1542" s="169"/>
      <c r="AS1542" s="169"/>
      <c r="AT1542" s="169"/>
    </row>
    <row r="1543" spans="10:46">
      <c r="J1543" s="64"/>
      <c r="K1543" s="64"/>
      <c r="L1543" s="64"/>
      <c r="M1543" s="64"/>
      <c r="N1543" s="64"/>
      <c r="O1543" s="64"/>
      <c r="P1543" s="64"/>
      <c r="Q1543" s="64"/>
      <c r="R1543" s="64"/>
      <c r="S1543" s="64"/>
      <c r="T1543" s="64"/>
      <c r="U1543" s="64"/>
      <c r="V1543" s="64"/>
      <c r="W1543" s="64"/>
      <c r="X1543" s="64"/>
      <c r="Y1543" s="64"/>
      <c r="Z1543" s="64"/>
      <c r="AA1543" s="64"/>
      <c r="AB1543" s="64"/>
      <c r="AC1543" s="64"/>
      <c r="AD1543" s="64"/>
      <c r="AE1543" s="64"/>
      <c r="AF1543" s="64"/>
      <c r="AG1543" s="64"/>
      <c r="AH1543" s="64"/>
      <c r="AI1543" s="64"/>
      <c r="AJ1543" s="64"/>
      <c r="AK1543" s="64"/>
      <c r="AL1543" s="64"/>
      <c r="AM1543" s="169"/>
      <c r="AN1543" s="169"/>
      <c r="AO1543" s="169"/>
      <c r="AP1543" s="169"/>
      <c r="AQ1543" s="169"/>
      <c r="AR1543" s="169"/>
      <c r="AS1543" s="169"/>
      <c r="AT1543" s="169"/>
    </row>
    <row r="1544" spans="10:46">
      <c r="J1544" s="64"/>
      <c r="K1544" s="64"/>
      <c r="L1544" s="64"/>
      <c r="M1544" s="64"/>
      <c r="N1544" s="64"/>
      <c r="O1544" s="64"/>
      <c r="P1544" s="64"/>
      <c r="Q1544" s="64"/>
      <c r="R1544" s="64"/>
      <c r="S1544" s="64"/>
      <c r="T1544" s="64"/>
      <c r="U1544" s="64"/>
      <c r="V1544" s="64"/>
      <c r="W1544" s="64"/>
      <c r="X1544" s="64"/>
      <c r="Y1544" s="64"/>
      <c r="Z1544" s="64"/>
      <c r="AA1544" s="64"/>
      <c r="AB1544" s="64"/>
      <c r="AC1544" s="64"/>
      <c r="AD1544" s="64"/>
      <c r="AE1544" s="64"/>
      <c r="AF1544" s="64"/>
      <c r="AG1544" s="64"/>
      <c r="AH1544" s="64"/>
      <c r="AI1544" s="64"/>
      <c r="AJ1544" s="64"/>
      <c r="AK1544" s="64"/>
      <c r="AL1544" s="64"/>
      <c r="AM1544" s="169"/>
      <c r="AN1544" s="169"/>
      <c r="AO1544" s="169"/>
      <c r="AP1544" s="169"/>
      <c r="AQ1544" s="169"/>
      <c r="AR1544" s="169"/>
      <c r="AS1544" s="169"/>
      <c r="AT1544" s="169"/>
    </row>
    <row r="1545" spans="10:46">
      <c r="J1545" s="64"/>
      <c r="K1545" s="64"/>
      <c r="L1545" s="64"/>
      <c r="M1545" s="64"/>
      <c r="N1545" s="64"/>
      <c r="O1545" s="64"/>
      <c r="P1545" s="64"/>
      <c r="Q1545" s="64"/>
      <c r="R1545" s="64"/>
      <c r="S1545" s="64"/>
      <c r="T1545" s="64"/>
      <c r="U1545" s="64"/>
      <c r="V1545" s="64"/>
      <c r="W1545" s="64"/>
      <c r="X1545" s="64"/>
      <c r="Y1545" s="64"/>
      <c r="Z1545" s="64"/>
      <c r="AA1545" s="64"/>
      <c r="AB1545" s="64"/>
      <c r="AC1545" s="64"/>
      <c r="AD1545" s="64"/>
      <c r="AE1545" s="64"/>
      <c r="AF1545" s="64"/>
      <c r="AG1545" s="64"/>
      <c r="AH1545" s="64"/>
      <c r="AI1545" s="64"/>
      <c r="AJ1545" s="64"/>
      <c r="AK1545" s="64"/>
      <c r="AL1545" s="64"/>
      <c r="AM1545" s="169"/>
      <c r="AN1545" s="169"/>
      <c r="AO1545" s="169"/>
      <c r="AP1545" s="169"/>
      <c r="AQ1545" s="169"/>
      <c r="AR1545" s="169"/>
      <c r="AS1545" s="169"/>
      <c r="AT1545" s="169"/>
    </row>
    <row r="1546" spans="10:46">
      <c r="J1546" s="64"/>
      <c r="K1546" s="64"/>
      <c r="L1546" s="64"/>
      <c r="M1546" s="64"/>
      <c r="N1546" s="64"/>
      <c r="O1546" s="64"/>
      <c r="P1546" s="64"/>
      <c r="Q1546" s="64"/>
      <c r="R1546" s="64"/>
      <c r="S1546" s="64"/>
      <c r="T1546" s="64"/>
      <c r="U1546" s="64"/>
      <c r="V1546" s="64"/>
      <c r="W1546" s="64"/>
      <c r="X1546" s="64"/>
      <c r="Y1546" s="64"/>
      <c r="Z1546" s="64"/>
      <c r="AA1546" s="64"/>
      <c r="AB1546" s="64"/>
      <c r="AC1546" s="64"/>
      <c r="AD1546" s="64"/>
      <c r="AE1546" s="64"/>
      <c r="AF1546" s="64"/>
      <c r="AG1546" s="64"/>
      <c r="AH1546" s="64"/>
      <c r="AI1546" s="64"/>
      <c r="AJ1546" s="64"/>
      <c r="AK1546" s="64"/>
      <c r="AL1546" s="64"/>
      <c r="AM1546" s="169"/>
      <c r="AN1546" s="169"/>
      <c r="AO1546" s="169"/>
      <c r="AP1546" s="169"/>
      <c r="AQ1546" s="169"/>
      <c r="AR1546" s="169"/>
      <c r="AS1546" s="169"/>
      <c r="AT1546" s="169"/>
    </row>
    <row r="1547" spans="10:46">
      <c r="J1547" s="64"/>
      <c r="K1547" s="64"/>
      <c r="L1547" s="64"/>
      <c r="M1547" s="64"/>
      <c r="N1547" s="64"/>
      <c r="O1547" s="64"/>
      <c r="P1547" s="64"/>
      <c r="Q1547" s="64"/>
      <c r="R1547" s="64"/>
      <c r="S1547" s="64"/>
      <c r="T1547" s="64"/>
      <c r="U1547" s="64"/>
      <c r="V1547" s="64"/>
      <c r="W1547" s="64"/>
      <c r="X1547" s="64"/>
      <c r="Y1547" s="64"/>
      <c r="Z1547" s="64"/>
      <c r="AA1547" s="64"/>
      <c r="AB1547" s="64"/>
      <c r="AC1547" s="64"/>
      <c r="AD1547" s="64"/>
      <c r="AE1547" s="64"/>
      <c r="AF1547" s="64"/>
      <c r="AG1547" s="64"/>
      <c r="AH1547" s="64"/>
      <c r="AI1547" s="64"/>
      <c r="AJ1547" s="64"/>
      <c r="AK1547" s="64"/>
      <c r="AL1547" s="64"/>
      <c r="AM1547" s="169"/>
      <c r="AN1547" s="169"/>
      <c r="AO1547" s="169"/>
      <c r="AP1547" s="169"/>
      <c r="AQ1547" s="169"/>
      <c r="AR1547" s="169"/>
      <c r="AS1547" s="169"/>
      <c r="AT1547" s="169"/>
    </row>
    <row r="1548" spans="10:46">
      <c r="J1548" s="64"/>
      <c r="K1548" s="64"/>
      <c r="L1548" s="64"/>
      <c r="M1548" s="64"/>
      <c r="N1548" s="64"/>
      <c r="O1548" s="64"/>
      <c r="P1548" s="64"/>
      <c r="Q1548" s="64"/>
      <c r="R1548" s="64"/>
      <c r="S1548" s="64"/>
      <c r="T1548" s="64"/>
      <c r="U1548" s="64"/>
      <c r="V1548" s="64"/>
      <c r="W1548" s="64"/>
      <c r="X1548" s="64"/>
      <c r="Y1548" s="64"/>
      <c r="Z1548" s="64"/>
      <c r="AA1548" s="64"/>
      <c r="AB1548" s="64"/>
      <c r="AC1548" s="64"/>
      <c r="AD1548" s="64"/>
      <c r="AE1548" s="64"/>
      <c r="AF1548" s="64"/>
      <c r="AG1548" s="64"/>
      <c r="AH1548" s="64"/>
      <c r="AI1548" s="64"/>
      <c r="AJ1548" s="64"/>
      <c r="AK1548" s="64"/>
      <c r="AL1548" s="64"/>
      <c r="AM1548" s="169"/>
      <c r="AN1548" s="169"/>
      <c r="AO1548" s="169"/>
      <c r="AP1548" s="169"/>
      <c r="AQ1548" s="169"/>
      <c r="AR1548" s="169"/>
      <c r="AS1548" s="169"/>
      <c r="AT1548" s="169"/>
    </row>
    <row r="1549" spans="10:46">
      <c r="J1549" s="64"/>
      <c r="K1549" s="64"/>
      <c r="L1549" s="64"/>
      <c r="M1549" s="64"/>
      <c r="N1549" s="64"/>
      <c r="O1549" s="64"/>
      <c r="P1549" s="64"/>
      <c r="Q1549" s="64"/>
      <c r="R1549" s="64"/>
      <c r="S1549" s="64"/>
      <c r="T1549" s="64"/>
      <c r="U1549" s="64"/>
      <c r="V1549" s="64"/>
      <c r="W1549" s="64"/>
      <c r="X1549" s="64"/>
      <c r="Y1549" s="64"/>
      <c r="Z1549" s="64"/>
      <c r="AA1549" s="64"/>
      <c r="AB1549" s="64"/>
      <c r="AC1549" s="64"/>
      <c r="AD1549" s="64"/>
      <c r="AE1549" s="64"/>
      <c r="AF1549" s="64"/>
      <c r="AG1549" s="64"/>
      <c r="AH1549" s="64"/>
      <c r="AI1549" s="64"/>
      <c r="AJ1549" s="64"/>
      <c r="AK1549" s="64"/>
      <c r="AL1549" s="64"/>
      <c r="AM1549" s="169"/>
      <c r="AN1549" s="169"/>
      <c r="AO1549" s="169"/>
      <c r="AP1549" s="169"/>
      <c r="AQ1549" s="169"/>
      <c r="AR1549" s="169"/>
      <c r="AS1549" s="169"/>
      <c r="AT1549" s="169"/>
    </row>
    <row r="1550" spans="10:46">
      <c r="J1550" s="64"/>
      <c r="K1550" s="64"/>
      <c r="L1550" s="64"/>
      <c r="M1550" s="64"/>
      <c r="N1550" s="64"/>
      <c r="O1550" s="64"/>
      <c r="P1550" s="64"/>
      <c r="Q1550" s="64"/>
      <c r="R1550" s="64"/>
      <c r="S1550" s="64"/>
      <c r="T1550" s="64"/>
      <c r="U1550" s="64"/>
      <c r="V1550" s="64"/>
      <c r="W1550" s="64"/>
      <c r="X1550" s="64"/>
      <c r="Y1550" s="64"/>
      <c r="Z1550" s="64"/>
      <c r="AA1550" s="64"/>
      <c r="AB1550" s="64"/>
      <c r="AC1550" s="64"/>
      <c r="AD1550" s="64"/>
      <c r="AE1550" s="64"/>
      <c r="AF1550" s="64"/>
      <c r="AG1550" s="64"/>
      <c r="AH1550" s="64"/>
      <c r="AI1550" s="64"/>
      <c r="AJ1550" s="64"/>
      <c r="AK1550" s="64"/>
      <c r="AL1550" s="64"/>
      <c r="AM1550" s="169"/>
      <c r="AN1550" s="169"/>
      <c r="AO1550" s="169"/>
      <c r="AP1550" s="169"/>
      <c r="AQ1550" s="169"/>
      <c r="AR1550" s="169"/>
      <c r="AS1550" s="169"/>
      <c r="AT1550" s="169"/>
    </row>
    <row r="1551" spans="10:46">
      <c r="J1551" s="64"/>
      <c r="K1551" s="64"/>
      <c r="L1551" s="64"/>
      <c r="M1551" s="64"/>
      <c r="N1551" s="64"/>
      <c r="O1551" s="64"/>
      <c r="P1551" s="64"/>
      <c r="Q1551" s="64"/>
      <c r="R1551" s="64"/>
      <c r="S1551" s="64"/>
      <c r="T1551" s="64"/>
      <c r="U1551" s="64"/>
      <c r="V1551" s="64"/>
      <c r="W1551" s="64"/>
      <c r="X1551" s="64"/>
      <c r="Y1551" s="64"/>
      <c r="Z1551" s="64"/>
      <c r="AA1551" s="64"/>
      <c r="AB1551" s="64"/>
      <c r="AC1551" s="64"/>
      <c r="AD1551" s="64"/>
      <c r="AE1551" s="64"/>
      <c r="AF1551" s="64"/>
      <c r="AG1551" s="64"/>
      <c r="AH1551" s="64"/>
      <c r="AI1551" s="64"/>
      <c r="AJ1551" s="64"/>
      <c r="AK1551" s="64"/>
      <c r="AL1551" s="64"/>
      <c r="AM1551" s="169"/>
      <c r="AN1551" s="169"/>
      <c r="AO1551" s="169"/>
      <c r="AP1551" s="169"/>
      <c r="AQ1551" s="169"/>
      <c r="AR1551" s="169"/>
      <c r="AS1551" s="169"/>
      <c r="AT1551" s="169"/>
    </row>
    <row r="1552" spans="10:46">
      <c r="J1552" s="64"/>
      <c r="K1552" s="64"/>
      <c r="L1552" s="64"/>
      <c r="M1552" s="64"/>
      <c r="N1552" s="64"/>
      <c r="O1552" s="64"/>
      <c r="P1552" s="64"/>
      <c r="Q1552" s="64"/>
      <c r="R1552" s="64"/>
      <c r="S1552" s="64"/>
      <c r="T1552" s="64"/>
      <c r="U1552" s="64"/>
      <c r="V1552" s="64"/>
      <c r="W1552" s="64"/>
      <c r="X1552" s="64"/>
      <c r="Y1552" s="64"/>
      <c r="Z1552" s="64"/>
      <c r="AA1552" s="64"/>
      <c r="AB1552" s="64"/>
      <c r="AC1552" s="64"/>
      <c r="AD1552" s="64"/>
      <c r="AE1552" s="64"/>
      <c r="AF1552" s="64"/>
      <c r="AG1552" s="64"/>
      <c r="AH1552" s="64"/>
      <c r="AI1552" s="64"/>
      <c r="AJ1552" s="64"/>
      <c r="AK1552" s="64"/>
      <c r="AL1552" s="64"/>
      <c r="AM1552" s="169"/>
      <c r="AN1552" s="169"/>
      <c r="AO1552" s="169"/>
      <c r="AP1552" s="169"/>
      <c r="AQ1552" s="169"/>
      <c r="AR1552" s="169"/>
      <c r="AS1552" s="169"/>
      <c r="AT1552" s="169"/>
    </row>
    <row r="1553" spans="10:46">
      <c r="J1553" s="64"/>
      <c r="K1553" s="64"/>
      <c r="L1553" s="64"/>
      <c r="M1553" s="64"/>
      <c r="N1553" s="64"/>
      <c r="O1553" s="64"/>
      <c r="P1553" s="64"/>
      <c r="Q1553" s="64"/>
      <c r="R1553" s="64"/>
      <c r="S1553" s="64"/>
      <c r="T1553" s="64"/>
      <c r="U1553" s="64"/>
      <c r="V1553" s="64"/>
      <c r="W1553" s="64"/>
      <c r="X1553" s="64"/>
      <c r="Y1553" s="64"/>
      <c r="Z1553" s="64"/>
      <c r="AA1553" s="64"/>
      <c r="AB1553" s="64"/>
      <c r="AC1553" s="64"/>
      <c r="AD1553" s="64"/>
      <c r="AE1553" s="64"/>
      <c r="AF1553" s="64"/>
      <c r="AG1553" s="64"/>
      <c r="AH1553" s="64"/>
      <c r="AI1553" s="64"/>
      <c r="AJ1553" s="64"/>
      <c r="AK1553" s="64"/>
      <c r="AL1553" s="64"/>
      <c r="AM1553" s="169"/>
      <c r="AN1553" s="169"/>
      <c r="AO1553" s="169"/>
      <c r="AP1553" s="169"/>
      <c r="AQ1553" s="169"/>
      <c r="AR1553" s="169"/>
      <c r="AS1553" s="169"/>
      <c r="AT1553" s="169"/>
    </row>
    <row r="1554" spans="10:46">
      <c r="J1554" s="64"/>
      <c r="K1554" s="64"/>
      <c r="L1554" s="64"/>
      <c r="M1554" s="64"/>
      <c r="N1554" s="64"/>
      <c r="O1554" s="64"/>
      <c r="P1554" s="64"/>
      <c r="Q1554" s="64"/>
      <c r="R1554" s="64"/>
      <c r="S1554" s="64"/>
      <c r="T1554" s="64"/>
      <c r="U1554" s="64"/>
      <c r="V1554" s="64"/>
      <c r="W1554" s="64"/>
      <c r="X1554" s="64"/>
      <c r="Y1554" s="64"/>
      <c r="Z1554" s="64"/>
      <c r="AA1554" s="64"/>
      <c r="AB1554" s="64"/>
      <c r="AC1554" s="64"/>
      <c r="AD1554" s="64"/>
      <c r="AE1554" s="64"/>
      <c r="AF1554" s="64"/>
      <c r="AG1554" s="64"/>
      <c r="AH1554" s="64"/>
      <c r="AI1554" s="64"/>
      <c r="AJ1554" s="64"/>
      <c r="AK1554" s="64"/>
      <c r="AL1554" s="64"/>
      <c r="AM1554" s="169"/>
      <c r="AN1554" s="169"/>
      <c r="AO1554" s="169"/>
      <c r="AP1554" s="169"/>
      <c r="AQ1554" s="169"/>
      <c r="AR1554" s="169"/>
      <c r="AS1554" s="169"/>
      <c r="AT1554" s="169"/>
    </row>
    <row r="1555" spans="10:46">
      <c r="J1555" s="64"/>
      <c r="K1555" s="64"/>
      <c r="L1555" s="64"/>
      <c r="M1555" s="64"/>
      <c r="N1555" s="64"/>
      <c r="O1555" s="64"/>
      <c r="P1555" s="64"/>
      <c r="Q1555" s="64"/>
      <c r="R1555" s="64"/>
      <c r="S1555" s="64"/>
      <c r="T1555" s="64"/>
      <c r="U1555" s="64"/>
      <c r="V1555" s="64"/>
      <c r="W1555" s="64"/>
      <c r="X1555" s="64"/>
      <c r="Y1555" s="64"/>
      <c r="Z1555" s="64"/>
      <c r="AA1555" s="64"/>
      <c r="AB1555" s="64"/>
      <c r="AC1555" s="64"/>
      <c r="AD1555" s="64"/>
      <c r="AE1555" s="64"/>
      <c r="AF1555" s="64"/>
      <c r="AG1555" s="64"/>
      <c r="AH1555" s="64"/>
      <c r="AI1555" s="64"/>
      <c r="AJ1555" s="64"/>
      <c r="AK1555" s="64"/>
      <c r="AL1555" s="64"/>
      <c r="AM1555" s="169"/>
      <c r="AN1555" s="169"/>
      <c r="AO1555" s="169"/>
      <c r="AP1555" s="169"/>
      <c r="AQ1555" s="169"/>
      <c r="AR1555" s="169"/>
      <c r="AS1555" s="169"/>
      <c r="AT1555" s="169"/>
    </row>
    <row r="1556" spans="10:46">
      <c r="J1556" s="64"/>
      <c r="K1556" s="64"/>
      <c r="L1556" s="64"/>
      <c r="M1556" s="64"/>
      <c r="N1556" s="64"/>
      <c r="O1556" s="64"/>
      <c r="P1556" s="64"/>
      <c r="Q1556" s="64"/>
      <c r="R1556" s="64"/>
      <c r="S1556" s="64"/>
      <c r="T1556" s="64"/>
      <c r="U1556" s="64"/>
      <c r="V1556" s="64"/>
      <c r="W1556" s="64"/>
      <c r="X1556" s="64"/>
      <c r="Y1556" s="64"/>
      <c r="Z1556" s="64"/>
      <c r="AA1556" s="64"/>
      <c r="AB1556" s="64"/>
      <c r="AC1556" s="64"/>
      <c r="AD1556" s="64"/>
      <c r="AE1556" s="64"/>
      <c r="AF1556" s="64"/>
      <c r="AG1556" s="64"/>
      <c r="AH1556" s="64"/>
      <c r="AI1556" s="64"/>
      <c r="AJ1556" s="64"/>
      <c r="AK1556" s="64"/>
      <c r="AL1556" s="64"/>
      <c r="AM1556" s="169"/>
      <c r="AN1556" s="169"/>
      <c r="AO1556" s="169"/>
      <c r="AP1556" s="169"/>
      <c r="AQ1556" s="169"/>
      <c r="AR1556" s="169"/>
      <c r="AS1556" s="169"/>
      <c r="AT1556" s="169"/>
    </row>
    <row r="1557" spans="10:46">
      <c r="J1557" s="64"/>
      <c r="K1557" s="64"/>
      <c r="L1557" s="64"/>
      <c r="M1557" s="64"/>
      <c r="N1557" s="64"/>
      <c r="O1557" s="64"/>
      <c r="P1557" s="64"/>
      <c r="Q1557" s="64"/>
      <c r="R1557" s="64"/>
      <c r="S1557" s="64"/>
      <c r="T1557" s="64"/>
      <c r="U1557" s="64"/>
      <c r="V1557" s="64"/>
      <c r="W1557" s="64"/>
      <c r="X1557" s="64"/>
      <c r="Y1557" s="64"/>
      <c r="Z1557" s="64"/>
      <c r="AA1557" s="64"/>
      <c r="AB1557" s="64"/>
      <c r="AC1557" s="64"/>
      <c r="AD1557" s="64"/>
      <c r="AE1557" s="64"/>
      <c r="AF1557" s="64"/>
      <c r="AG1557" s="64"/>
      <c r="AH1557" s="64"/>
      <c r="AI1557" s="64"/>
      <c r="AJ1557" s="64"/>
      <c r="AK1557" s="64"/>
      <c r="AL1557" s="64"/>
      <c r="AM1557" s="169"/>
      <c r="AN1557" s="169"/>
      <c r="AO1557" s="169"/>
      <c r="AP1557" s="169"/>
      <c r="AQ1557" s="169"/>
      <c r="AR1557" s="169"/>
      <c r="AS1557" s="169"/>
      <c r="AT1557" s="169"/>
    </row>
    <row r="1558" spans="10:46">
      <c r="J1558" s="64"/>
      <c r="K1558" s="64"/>
      <c r="L1558" s="64"/>
      <c r="M1558" s="64"/>
      <c r="N1558" s="64"/>
      <c r="O1558" s="64"/>
      <c r="P1558" s="64"/>
      <c r="Q1558" s="64"/>
      <c r="R1558" s="64"/>
      <c r="S1558" s="64"/>
      <c r="T1558" s="64"/>
      <c r="U1558" s="64"/>
      <c r="V1558" s="64"/>
      <c r="W1558" s="64"/>
      <c r="X1558" s="64"/>
      <c r="Y1558" s="64"/>
      <c r="Z1558" s="64"/>
      <c r="AA1558" s="64"/>
      <c r="AB1558" s="64"/>
      <c r="AC1558" s="64"/>
      <c r="AD1558" s="64"/>
      <c r="AE1558" s="64"/>
      <c r="AF1558" s="64"/>
      <c r="AG1558" s="64"/>
      <c r="AH1558" s="64"/>
      <c r="AI1558" s="64"/>
      <c r="AJ1558" s="64"/>
      <c r="AK1558" s="64"/>
      <c r="AL1558" s="64"/>
      <c r="AM1558" s="169"/>
      <c r="AN1558" s="169"/>
      <c r="AO1558" s="169"/>
      <c r="AP1558" s="169"/>
      <c r="AQ1558" s="169"/>
      <c r="AR1558" s="169"/>
      <c r="AS1558" s="169"/>
      <c r="AT1558" s="169"/>
    </row>
    <row r="1559" spans="10:46">
      <c r="J1559" s="64"/>
      <c r="K1559" s="64"/>
      <c r="L1559" s="64"/>
      <c r="M1559" s="64"/>
      <c r="N1559" s="64"/>
      <c r="O1559" s="64"/>
      <c r="P1559" s="64"/>
      <c r="Q1559" s="64"/>
      <c r="R1559" s="64"/>
      <c r="S1559" s="64"/>
      <c r="T1559" s="64"/>
      <c r="U1559" s="64"/>
      <c r="V1559" s="64"/>
      <c r="W1559" s="64"/>
      <c r="X1559" s="64"/>
      <c r="Y1559" s="64"/>
      <c r="Z1559" s="64"/>
      <c r="AA1559" s="64"/>
      <c r="AB1559" s="64"/>
      <c r="AC1559" s="64"/>
      <c r="AD1559" s="64"/>
      <c r="AE1559" s="64"/>
      <c r="AF1559" s="64"/>
      <c r="AG1559" s="64"/>
      <c r="AH1559" s="64"/>
      <c r="AI1559" s="64"/>
      <c r="AJ1559" s="64"/>
      <c r="AK1559" s="64"/>
      <c r="AL1559" s="64"/>
      <c r="AM1559" s="169"/>
      <c r="AN1559" s="169"/>
      <c r="AO1559" s="169"/>
      <c r="AP1559" s="169"/>
      <c r="AQ1559" s="169"/>
      <c r="AR1559" s="169"/>
      <c r="AS1559" s="169"/>
      <c r="AT1559" s="169"/>
    </row>
    <row r="1560" spans="10:46">
      <c r="J1560" s="64"/>
      <c r="K1560" s="64"/>
      <c r="L1560" s="64"/>
      <c r="M1560" s="64"/>
      <c r="N1560" s="64"/>
      <c r="O1560" s="64"/>
      <c r="P1560" s="64"/>
      <c r="Q1560" s="64"/>
      <c r="R1560" s="64"/>
      <c r="S1560" s="64"/>
      <c r="T1560" s="64"/>
      <c r="U1560" s="64"/>
      <c r="V1560" s="64"/>
      <c r="W1560" s="64"/>
      <c r="X1560" s="64"/>
      <c r="Y1560" s="64"/>
      <c r="Z1560" s="64"/>
      <c r="AA1560" s="64"/>
      <c r="AB1560" s="64"/>
      <c r="AC1560" s="64"/>
      <c r="AD1560" s="64"/>
      <c r="AE1560" s="64"/>
      <c r="AF1560" s="64"/>
      <c r="AG1560" s="64"/>
      <c r="AH1560" s="64"/>
      <c r="AI1560" s="64"/>
      <c r="AJ1560" s="64"/>
      <c r="AK1560" s="64"/>
      <c r="AL1560" s="64"/>
      <c r="AM1560" s="169"/>
      <c r="AN1560" s="169"/>
      <c r="AO1560" s="169"/>
      <c r="AP1560" s="169"/>
      <c r="AQ1560" s="169"/>
      <c r="AR1560" s="169"/>
      <c r="AS1560" s="169"/>
      <c r="AT1560" s="169"/>
    </row>
    <row r="1561" spans="10:46">
      <c r="J1561" s="64"/>
      <c r="K1561" s="64"/>
      <c r="L1561" s="64"/>
      <c r="M1561" s="64"/>
      <c r="N1561" s="64"/>
      <c r="O1561" s="64"/>
      <c r="P1561" s="64"/>
      <c r="Q1561" s="64"/>
      <c r="R1561" s="64"/>
      <c r="S1561" s="64"/>
      <c r="T1561" s="64"/>
      <c r="U1561" s="64"/>
      <c r="V1561" s="64"/>
      <c r="W1561" s="64"/>
      <c r="X1561" s="64"/>
      <c r="Y1561" s="64"/>
      <c r="Z1561" s="64"/>
      <c r="AA1561" s="64"/>
      <c r="AB1561" s="64"/>
      <c r="AC1561" s="64"/>
      <c r="AD1561" s="64"/>
      <c r="AE1561" s="64"/>
      <c r="AF1561" s="64"/>
      <c r="AG1561" s="64"/>
      <c r="AH1561" s="64"/>
      <c r="AI1561" s="64"/>
      <c r="AJ1561" s="64"/>
      <c r="AK1561" s="64"/>
      <c r="AL1561" s="64"/>
      <c r="AM1561" s="169"/>
      <c r="AN1561" s="169"/>
      <c r="AO1561" s="169"/>
      <c r="AP1561" s="169"/>
      <c r="AQ1561" s="169"/>
      <c r="AR1561" s="169"/>
      <c r="AS1561" s="169"/>
      <c r="AT1561" s="169"/>
    </row>
    <row r="1562" spans="10:46">
      <c r="J1562" s="64"/>
      <c r="K1562" s="64"/>
      <c r="L1562" s="64"/>
      <c r="M1562" s="64"/>
      <c r="N1562" s="64"/>
      <c r="O1562" s="64"/>
      <c r="P1562" s="64"/>
      <c r="Q1562" s="64"/>
      <c r="R1562" s="64"/>
      <c r="S1562" s="64"/>
      <c r="T1562" s="64"/>
      <c r="U1562" s="64"/>
      <c r="V1562" s="64"/>
      <c r="W1562" s="64"/>
      <c r="X1562" s="64"/>
      <c r="Y1562" s="64"/>
      <c r="Z1562" s="64"/>
      <c r="AA1562" s="64"/>
      <c r="AB1562" s="64"/>
      <c r="AC1562" s="64"/>
      <c r="AD1562" s="64"/>
      <c r="AE1562" s="64"/>
      <c r="AF1562" s="64"/>
      <c r="AG1562" s="64"/>
      <c r="AH1562" s="64"/>
      <c r="AI1562" s="64"/>
      <c r="AJ1562" s="64"/>
      <c r="AK1562" s="64"/>
      <c r="AL1562" s="64"/>
      <c r="AM1562" s="169"/>
      <c r="AN1562" s="169"/>
      <c r="AO1562" s="169"/>
      <c r="AP1562" s="169"/>
      <c r="AQ1562" s="169"/>
      <c r="AR1562" s="169"/>
      <c r="AS1562" s="169"/>
      <c r="AT1562" s="169"/>
    </row>
    <row r="1563" spans="10:46">
      <c r="J1563" s="64"/>
      <c r="K1563" s="64"/>
      <c r="L1563" s="64"/>
      <c r="M1563" s="64"/>
      <c r="N1563" s="64"/>
      <c r="O1563" s="64"/>
      <c r="P1563" s="64"/>
      <c r="Q1563" s="64"/>
      <c r="R1563" s="64"/>
      <c r="S1563" s="64"/>
      <c r="T1563" s="64"/>
      <c r="U1563" s="64"/>
      <c r="V1563" s="64"/>
      <c r="W1563" s="64"/>
      <c r="X1563" s="64"/>
      <c r="Y1563" s="64"/>
      <c r="Z1563" s="64"/>
      <c r="AA1563" s="64"/>
      <c r="AB1563" s="64"/>
      <c r="AC1563" s="64"/>
      <c r="AD1563" s="64"/>
      <c r="AE1563" s="64"/>
      <c r="AF1563" s="64"/>
      <c r="AG1563" s="64"/>
      <c r="AH1563" s="64"/>
      <c r="AI1563" s="64"/>
      <c r="AJ1563" s="64"/>
      <c r="AK1563" s="64"/>
      <c r="AL1563" s="64"/>
      <c r="AM1563" s="169"/>
      <c r="AN1563" s="169"/>
      <c r="AO1563" s="169"/>
      <c r="AP1563" s="169"/>
      <c r="AQ1563" s="169"/>
      <c r="AR1563" s="169"/>
      <c r="AS1563" s="169"/>
      <c r="AT1563" s="169"/>
    </row>
    <row r="1564" spans="10:46">
      <c r="J1564" s="64"/>
      <c r="K1564" s="64"/>
      <c r="L1564" s="64"/>
      <c r="M1564" s="64"/>
      <c r="N1564" s="64"/>
      <c r="O1564" s="64"/>
      <c r="P1564" s="64"/>
      <c r="Q1564" s="64"/>
      <c r="R1564" s="64"/>
      <c r="S1564" s="64"/>
      <c r="T1564" s="64"/>
      <c r="U1564" s="64"/>
      <c r="V1564" s="64"/>
      <c r="W1564" s="64"/>
      <c r="X1564" s="64"/>
      <c r="Y1564" s="64"/>
      <c r="Z1564" s="64"/>
      <c r="AA1564" s="64"/>
      <c r="AB1564" s="64"/>
      <c r="AC1564" s="64"/>
      <c r="AD1564" s="64"/>
      <c r="AE1564" s="64"/>
      <c r="AF1564" s="64"/>
      <c r="AG1564" s="64"/>
      <c r="AH1564" s="64"/>
      <c r="AI1564" s="64"/>
      <c r="AJ1564" s="64"/>
      <c r="AK1564" s="64"/>
      <c r="AL1564" s="64"/>
      <c r="AM1564" s="169"/>
      <c r="AN1564" s="169"/>
      <c r="AO1564" s="169"/>
      <c r="AP1564" s="169"/>
      <c r="AQ1564" s="169"/>
      <c r="AR1564" s="169"/>
      <c r="AS1564" s="169"/>
      <c r="AT1564" s="169"/>
    </row>
    <row r="1565" spans="10:46">
      <c r="J1565" s="64"/>
      <c r="K1565" s="64"/>
      <c r="L1565" s="64"/>
      <c r="M1565" s="64"/>
      <c r="N1565" s="64"/>
      <c r="O1565" s="64"/>
      <c r="P1565" s="64"/>
      <c r="Q1565" s="64"/>
      <c r="R1565" s="64"/>
      <c r="S1565" s="64"/>
      <c r="T1565" s="64"/>
      <c r="U1565" s="64"/>
      <c r="V1565" s="64"/>
      <c r="W1565" s="64"/>
      <c r="X1565" s="64"/>
      <c r="Y1565" s="64"/>
      <c r="Z1565" s="64"/>
      <c r="AA1565" s="64"/>
      <c r="AB1565" s="64"/>
      <c r="AC1565" s="64"/>
      <c r="AD1565" s="64"/>
      <c r="AE1565" s="64"/>
      <c r="AF1565" s="64"/>
      <c r="AG1565" s="64"/>
      <c r="AH1565" s="64"/>
      <c r="AI1565" s="64"/>
      <c r="AJ1565" s="64"/>
      <c r="AK1565" s="64"/>
      <c r="AL1565" s="64"/>
      <c r="AM1565" s="169"/>
      <c r="AN1565" s="169"/>
      <c r="AO1565" s="169"/>
      <c r="AP1565" s="169"/>
      <c r="AQ1565" s="169"/>
      <c r="AR1565" s="169"/>
      <c r="AS1565" s="169"/>
      <c r="AT1565" s="169"/>
    </row>
    <row r="1566" spans="10:46">
      <c r="J1566" s="64"/>
      <c r="K1566" s="64"/>
      <c r="L1566" s="64"/>
      <c r="M1566" s="64"/>
      <c r="N1566" s="64"/>
      <c r="O1566" s="64"/>
      <c r="P1566" s="64"/>
      <c r="Q1566" s="64"/>
      <c r="R1566" s="64"/>
      <c r="S1566" s="64"/>
      <c r="T1566" s="64"/>
      <c r="U1566" s="64"/>
      <c r="V1566" s="64"/>
      <c r="W1566" s="64"/>
      <c r="X1566" s="64"/>
      <c r="Y1566" s="64"/>
      <c r="Z1566" s="64"/>
      <c r="AA1566" s="64"/>
      <c r="AB1566" s="64"/>
      <c r="AC1566" s="64"/>
      <c r="AD1566" s="64"/>
      <c r="AE1566" s="64"/>
      <c r="AF1566" s="64"/>
      <c r="AG1566" s="64"/>
      <c r="AH1566" s="64"/>
      <c r="AI1566" s="64"/>
      <c r="AJ1566" s="64"/>
      <c r="AK1566" s="64"/>
      <c r="AL1566" s="64"/>
      <c r="AM1566" s="169"/>
      <c r="AN1566" s="169"/>
      <c r="AO1566" s="169"/>
      <c r="AP1566" s="169"/>
      <c r="AQ1566" s="169"/>
      <c r="AR1566" s="169"/>
      <c r="AS1566" s="169"/>
      <c r="AT1566" s="169"/>
    </row>
    <row r="1567" spans="10:46">
      <c r="J1567" s="64"/>
      <c r="K1567" s="64"/>
      <c r="L1567" s="64"/>
      <c r="M1567" s="64"/>
      <c r="N1567" s="64"/>
      <c r="O1567" s="64"/>
      <c r="P1567" s="64"/>
      <c r="Q1567" s="64"/>
      <c r="R1567" s="64"/>
      <c r="S1567" s="64"/>
      <c r="T1567" s="64"/>
      <c r="U1567" s="64"/>
      <c r="V1567" s="64"/>
      <c r="W1567" s="64"/>
      <c r="X1567" s="64"/>
      <c r="Y1567" s="64"/>
      <c r="Z1567" s="64"/>
      <c r="AA1567" s="64"/>
      <c r="AB1567" s="64"/>
      <c r="AC1567" s="64"/>
      <c r="AD1567" s="64"/>
      <c r="AE1567" s="64"/>
      <c r="AF1567" s="64"/>
      <c r="AG1567" s="64"/>
      <c r="AH1567" s="64"/>
      <c r="AI1567" s="64"/>
      <c r="AJ1567" s="64"/>
      <c r="AK1567" s="64"/>
      <c r="AL1567" s="64"/>
      <c r="AM1567" s="169"/>
      <c r="AN1567" s="169"/>
      <c r="AO1567" s="169"/>
      <c r="AP1567" s="169"/>
      <c r="AQ1567" s="169"/>
      <c r="AR1567" s="169"/>
      <c r="AS1567" s="169"/>
      <c r="AT1567" s="169"/>
    </row>
    <row r="1568" spans="10:46">
      <c r="J1568" s="64"/>
      <c r="K1568" s="64"/>
      <c r="L1568" s="64"/>
      <c r="M1568" s="64"/>
      <c r="N1568" s="64"/>
      <c r="O1568" s="64"/>
      <c r="P1568" s="64"/>
      <c r="Q1568" s="64"/>
      <c r="R1568" s="64"/>
      <c r="S1568" s="64"/>
      <c r="T1568" s="64"/>
      <c r="U1568" s="64"/>
      <c r="V1568" s="64"/>
      <c r="W1568" s="64"/>
      <c r="X1568" s="64"/>
      <c r="Y1568" s="64"/>
      <c r="Z1568" s="64"/>
      <c r="AA1568" s="64"/>
      <c r="AB1568" s="64"/>
      <c r="AC1568" s="64"/>
      <c r="AD1568" s="64"/>
      <c r="AE1568" s="64"/>
      <c r="AF1568" s="64"/>
      <c r="AG1568" s="64"/>
      <c r="AH1568" s="64"/>
      <c r="AI1568" s="64"/>
      <c r="AJ1568" s="64"/>
      <c r="AK1568" s="64"/>
      <c r="AL1568" s="64"/>
      <c r="AM1568" s="169"/>
      <c r="AN1568" s="169"/>
      <c r="AO1568" s="169"/>
      <c r="AP1568" s="169"/>
      <c r="AQ1568" s="169"/>
      <c r="AR1568" s="169"/>
      <c r="AS1568" s="169"/>
      <c r="AT1568" s="169"/>
    </row>
    <row r="1569" spans="10:46">
      <c r="J1569" s="64"/>
      <c r="K1569" s="64"/>
      <c r="L1569" s="64"/>
      <c r="M1569" s="64"/>
      <c r="N1569" s="64"/>
      <c r="O1569" s="64"/>
      <c r="P1569" s="64"/>
      <c r="Q1569" s="64"/>
      <c r="R1569" s="64"/>
      <c r="S1569" s="64"/>
      <c r="T1569" s="64"/>
      <c r="U1569" s="64"/>
      <c r="V1569" s="64"/>
      <c r="W1569" s="64"/>
      <c r="X1569" s="64"/>
      <c r="Y1569" s="64"/>
      <c r="Z1569" s="64"/>
      <c r="AA1569" s="64"/>
      <c r="AB1569" s="64"/>
      <c r="AC1569" s="64"/>
      <c r="AD1569" s="64"/>
      <c r="AE1569" s="64"/>
      <c r="AF1569" s="64"/>
      <c r="AG1569" s="64"/>
      <c r="AH1569" s="64"/>
      <c r="AI1569" s="64"/>
      <c r="AJ1569" s="64"/>
      <c r="AK1569" s="64"/>
      <c r="AL1569" s="64"/>
      <c r="AM1569" s="169"/>
      <c r="AN1569" s="169"/>
      <c r="AO1569" s="169"/>
      <c r="AP1569" s="169"/>
      <c r="AQ1569" s="169"/>
      <c r="AR1569" s="169"/>
      <c r="AS1569" s="169"/>
      <c r="AT1569" s="169"/>
    </row>
    <row r="1570" spans="10:46">
      <c r="J1570" s="64"/>
      <c r="K1570" s="64"/>
      <c r="L1570" s="64"/>
      <c r="M1570" s="64"/>
      <c r="N1570" s="64"/>
      <c r="O1570" s="64"/>
      <c r="P1570" s="64"/>
      <c r="Q1570" s="64"/>
      <c r="R1570" s="64"/>
      <c r="S1570" s="64"/>
      <c r="T1570" s="64"/>
      <c r="U1570" s="64"/>
      <c r="V1570" s="64"/>
      <c r="W1570" s="64"/>
      <c r="X1570" s="64"/>
      <c r="Y1570" s="64"/>
      <c r="Z1570" s="64"/>
      <c r="AA1570" s="64"/>
      <c r="AB1570" s="64"/>
      <c r="AC1570" s="64"/>
      <c r="AD1570" s="64"/>
      <c r="AE1570" s="64"/>
      <c r="AF1570" s="64"/>
      <c r="AG1570" s="64"/>
      <c r="AH1570" s="64"/>
      <c r="AI1570" s="64"/>
      <c r="AJ1570" s="64"/>
      <c r="AK1570" s="64"/>
      <c r="AL1570" s="64"/>
      <c r="AM1570" s="169"/>
      <c r="AN1570" s="169"/>
      <c r="AO1570" s="169"/>
      <c r="AP1570" s="169"/>
      <c r="AQ1570" s="169"/>
      <c r="AR1570" s="169"/>
      <c r="AS1570" s="169"/>
      <c r="AT1570" s="169"/>
    </row>
    <row r="1571" spans="10:46">
      <c r="J1571" s="64"/>
      <c r="K1571" s="64"/>
      <c r="L1571" s="64"/>
      <c r="M1571" s="64"/>
      <c r="N1571" s="64"/>
      <c r="O1571" s="64"/>
      <c r="P1571" s="64"/>
      <c r="Q1571" s="64"/>
      <c r="R1571" s="64"/>
      <c r="S1571" s="64"/>
      <c r="T1571" s="64"/>
      <c r="U1571" s="64"/>
      <c r="V1571" s="64"/>
      <c r="W1571" s="64"/>
      <c r="X1571" s="64"/>
      <c r="Y1571" s="64"/>
      <c r="Z1571" s="64"/>
      <c r="AA1571" s="64"/>
      <c r="AB1571" s="64"/>
      <c r="AC1571" s="64"/>
      <c r="AD1571" s="64"/>
      <c r="AE1571" s="64"/>
      <c r="AF1571" s="64"/>
      <c r="AG1571" s="64"/>
      <c r="AH1571" s="64"/>
      <c r="AI1571" s="64"/>
      <c r="AJ1571" s="64"/>
      <c r="AK1571" s="64"/>
      <c r="AL1571" s="64"/>
      <c r="AM1571" s="169"/>
      <c r="AN1571" s="169"/>
      <c r="AO1571" s="169"/>
      <c r="AP1571" s="169"/>
      <c r="AQ1571" s="169"/>
      <c r="AR1571" s="169"/>
      <c r="AS1571" s="169"/>
      <c r="AT1571" s="169"/>
    </row>
    <row r="1572" spans="10:46">
      <c r="J1572" s="64"/>
      <c r="K1572" s="64"/>
      <c r="L1572" s="64"/>
      <c r="M1572" s="64"/>
      <c r="N1572" s="64"/>
      <c r="O1572" s="64"/>
      <c r="P1572" s="64"/>
      <c r="Q1572" s="64"/>
      <c r="R1572" s="64"/>
      <c r="S1572" s="64"/>
      <c r="T1572" s="64"/>
      <c r="U1572" s="64"/>
      <c r="V1572" s="64"/>
      <c r="W1572" s="64"/>
      <c r="X1572" s="64"/>
      <c r="Y1572" s="64"/>
      <c r="Z1572" s="64"/>
      <c r="AA1572" s="64"/>
      <c r="AB1572" s="64"/>
      <c r="AC1572" s="64"/>
      <c r="AD1572" s="64"/>
      <c r="AE1572" s="64"/>
      <c r="AF1572" s="64"/>
      <c r="AG1572" s="64"/>
      <c r="AH1572" s="64"/>
      <c r="AI1572" s="64"/>
      <c r="AJ1572" s="64"/>
      <c r="AK1572" s="64"/>
      <c r="AL1572" s="64"/>
      <c r="AM1572" s="169"/>
      <c r="AN1572" s="169"/>
      <c r="AO1572" s="169"/>
      <c r="AP1572" s="169"/>
      <c r="AQ1572" s="169"/>
      <c r="AR1572" s="169"/>
      <c r="AS1572" s="169"/>
      <c r="AT1572" s="169"/>
    </row>
    <row r="1573" spans="10:46">
      <c r="J1573" s="64"/>
      <c r="K1573" s="64"/>
      <c r="L1573" s="64"/>
      <c r="M1573" s="64"/>
      <c r="N1573" s="64"/>
      <c r="O1573" s="64"/>
      <c r="P1573" s="64"/>
      <c r="Q1573" s="64"/>
      <c r="R1573" s="64"/>
      <c r="S1573" s="64"/>
      <c r="T1573" s="64"/>
      <c r="U1573" s="64"/>
      <c r="V1573" s="64"/>
      <c r="W1573" s="64"/>
      <c r="X1573" s="64"/>
      <c r="Y1573" s="64"/>
      <c r="Z1573" s="64"/>
      <c r="AA1573" s="64"/>
      <c r="AB1573" s="64"/>
      <c r="AC1573" s="64"/>
      <c r="AD1573" s="64"/>
      <c r="AE1573" s="64"/>
      <c r="AF1573" s="64"/>
      <c r="AG1573" s="64"/>
      <c r="AH1573" s="64"/>
      <c r="AI1573" s="64"/>
      <c r="AJ1573" s="64"/>
      <c r="AK1573" s="64"/>
      <c r="AL1573" s="64"/>
      <c r="AM1573" s="169"/>
      <c r="AN1573" s="169"/>
      <c r="AO1573" s="169"/>
      <c r="AP1573" s="169"/>
      <c r="AQ1573" s="169"/>
      <c r="AR1573" s="169"/>
      <c r="AS1573" s="169"/>
      <c r="AT1573" s="169"/>
    </row>
    <row r="1574" spans="10:46">
      <c r="J1574" s="64"/>
      <c r="K1574" s="64"/>
      <c r="L1574" s="64"/>
      <c r="M1574" s="64"/>
      <c r="N1574" s="64"/>
      <c r="O1574" s="64"/>
      <c r="P1574" s="64"/>
      <c r="Q1574" s="64"/>
      <c r="R1574" s="64"/>
      <c r="S1574" s="64"/>
      <c r="T1574" s="64"/>
      <c r="U1574" s="64"/>
      <c r="V1574" s="64"/>
      <c r="W1574" s="64"/>
      <c r="X1574" s="64"/>
      <c r="Y1574" s="64"/>
      <c r="Z1574" s="64"/>
      <c r="AA1574" s="64"/>
      <c r="AB1574" s="64"/>
      <c r="AC1574" s="64"/>
      <c r="AD1574" s="64"/>
      <c r="AE1574" s="64"/>
      <c r="AF1574" s="64"/>
      <c r="AG1574" s="64"/>
      <c r="AH1574" s="64"/>
      <c r="AI1574" s="64"/>
      <c r="AJ1574" s="64"/>
      <c r="AK1574" s="64"/>
      <c r="AL1574" s="64"/>
      <c r="AM1574" s="169"/>
      <c r="AN1574" s="169"/>
      <c r="AO1574" s="169"/>
      <c r="AP1574" s="169"/>
      <c r="AQ1574" s="169"/>
      <c r="AR1574" s="169"/>
      <c r="AS1574" s="169"/>
      <c r="AT1574" s="169"/>
    </row>
    <row r="1575" spans="10:46">
      <c r="J1575" s="64"/>
      <c r="K1575" s="64"/>
      <c r="L1575" s="64"/>
      <c r="M1575" s="64"/>
      <c r="N1575" s="64"/>
      <c r="O1575" s="64"/>
      <c r="P1575" s="64"/>
      <c r="Q1575" s="64"/>
      <c r="R1575" s="64"/>
      <c r="S1575" s="64"/>
      <c r="T1575" s="64"/>
      <c r="U1575" s="64"/>
      <c r="V1575" s="64"/>
      <c r="W1575" s="64"/>
      <c r="X1575" s="64"/>
      <c r="Y1575" s="64"/>
      <c r="Z1575" s="64"/>
      <c r="AA1575" s="64"/>
      <c r="AB1575" s="64"/>
      <c r="AC1575" s="64"/>
      <c r="AD1575" s="64"/>
      <c r="AE1575" s="64"/>
      <c r="AF1575" s="64"/>
      <c r="AG1575" s="64"/>
      <c r="AH1575" s="64"/>
      <c r="AI1575" s="64"/>
      <c r="AJ1575" s="64"/>
      <c r="AK1575" s="64"/>
      <c r="AL1575" s="64"/>
      <c r="AM1575" s="169"/>
      <c r="AN1575" s="169"/>
      <c r="AO1575" s="169"/>
      <c r="AP1575" s="169"/>
      <c r="AQ1575" s="169"/>
      <c r="AR1575" s="169"/>
      <c r="AS1575" s="169"/>
      <c r="AT1575" s="169"/>
    </row>
    <row r="1576" spans="10:46">
      <c r="J1576" s="64"/>
      <c r="K1576" s="64"/>
      <c r="L1576" s="64"/>
      <c r="M1576" s="64"/>
      <c r="N1576" s="64"/>
      <c r="O1576" s="64"/>
      <c r="P1576" s="64"/>
      <c r="Q1576" s="64"/>
      <c r="R1576" s="64"/>
      <c r="S1576" s="64"/>
      <c r="T1576" s="64"/>
      <c r="U1576" s="64"/>
      <c r="V1576" s="64"/>
      <c r="W1576" s="64"/>
      <c r="X1576" s="64"/>
      <c r="Y1576" s="64"/>
      <c r="Z1576" s="64"/>
      <c r="AA1576" s="64"/>
      <c r="AB1576" s="64"/>
      <c r="AC1576" s="64"/>
      <c r="AD1576" s="64"/>
      <c r="AE1576" s="64"/>
      <c r="AF1576" s="64"/>
      <c r="AG1576" s="64"/>
      <c r="AH1576" s="64"/>
      <c r="AI1576" s="64"/>
      <c r="AJ1576" s="64"/>
      <c r="AK1576" s="64"/>
      <c r="AL1576" s="64"/>
      <c r="AM1576" s="169"/>
      <c r="AN1576" s="169"/>
      <c r="AO1576" s="169"/>
      <c r="AP1576" s="169"/>
      <c r="AQ1576" s="169"/>
      <c r="AR1576" s="169"/>
      <c r="AS1576" s="169"/>
      <c r="AT1576" s="169"/>
    </row>
    <row r="1577" spans="10:46">
      <c r="J1577" s="64"/>
      <c r="K1577" s="64"/>
      <c r="L1577" s="64"/>
      <c r="M1577" s="64"/>
      <c r="N1577" s="64"/>
      <c r="O1577" s="64"/>
      <c r="P1577" s="64"/>
      <c r="Q1577" s="64"/>
      <c r="R1577" s="64"/>
      <c r="S1577" s="64"/>
      <c r="T1577" s="64"/>
      <c r="U1577" s="64"/>
      <c r="V1577" s="64"/>
      <c r="W1577" s="64"/>
      <c r="X1577" s="64"/>
      <c r="Y1577" s="64"/>
      <c r="Z1577" s="64"/>
      <c r="AA1577" s="64"/>
      <c r="AB1577" s="64"/>
      <c r="AC1577" s="64"/>
      <c r="AD1577" s="64"/>
      <c r="AE1577" s="64"/>
      <c r="AF1577" s="64"/>
      <c r="AG1577" s="64"/>
      <c r="AH1577" s="64"/>
      <c r="AI1577" s="64"/>
      <c r="AJ1577" s="64"/>
      <c r="AK1577" s="64"/>
      <c r="AL1577" s="64"/>
      <c r="AM1577" s="169"/>
      <c r="AN1577" s="169"/>
      <c r="AO1577" s="169"/>
      <c r="AP1577" s="169"/>
      <c r="AQ1577" s="169"/>
      <c r="AR1577" s="169"/>
      <c r="AS1577" s="169"/>
      <c r="AT1577" s="169"/>
    </row>
    <row r="1578" spans="10:46">
      <c r="J1578" s="64"/>
      <c r="K1578" s="64"/>
      <c r="L1578" s="64"/>
      <c r="M1578" s="64"/>
      <c r="N1578" s="64"/>
      <c r="O1578" s="64"/>
      <c r="P1578" s="64"/>
      <c r="Q1578" s="64"/>
      <c r="R1578" s="64"/>
      <c r="S1578" s="64"/>
      <c r="T1578" s="64"/>
      <c r="U1578" s="64"/>
      <c r="V1578" s="64"/>
      <c r="W1578" s="64"/>
      <c r="X1578" s="64"/>
      <c r="Y1578" s="64"/>
      <c r="Z1578" s="64"/>
      <c r="AA1578" s="64"/>
      <c r="AB1578" s="64"/>
      <c r="AC1578" s="64"/>
      <c r="AD1578" s="64"/>
      <c r="AE1578" s="64"/>
      <c r="AF1578" s="64"/>
      <c r="AG1578" s="64"/>
      <c r="AH1578" s="64"/>
      <c r="AI1578" s="64"/>
      <c r="AJ1578" s="64"/>
      <c r="AK1578" s="64"/>
      <c r="AL1578" s="64"/>
      <c r="AM1578" s="169"/>
      <c r="AN1578" s="169"/>
      <c r="AO1578" s="169"/>
      <c r="AP1578" s="169"/>
      <c r="AQ1578" s="169"/>
      <c r="AR1578" s="169"/>
      <c r="AS1578" s="169"/>
      <c r="AT1578" s="169"/>
    </row>
    <row r="1579" spans="10:46">
      <c r="J1579" s="64"/>
      <c r="K1579" s="64"/>
      <c r="L1579" s="64"/>
      <c r="M1579" s="64"/>
      <c r="N1579" s="64"/>
      <c r="O1579" s="64"/>
      <c r="P1579" s="64"/>
      <c r="Q1579" s="64"/>
      <c r="R1579" s="64"/>
      <c r="S1579" s="64"/>
      <c r="T1579" s="64"/>
      <c r="U1579" s="64"/>
      <c r="V1579" s="64"/>
      <c r="W1579" s="64"/>
      <c r="X1579" s="64"/>
      <c r="Y1579" s="64"/>
      <c r="Z1579" s="64"/>
      <c r="AA1579" s="64"/>
      <c r="AB1579" s="64"/>
      <c r="AC1579" s="64"/>
      <c r="AD1579" s="64"/>
      <c r="AE1579" s="64"/>
      <c r="AF1579" s="64"/>
      <c r="AG1579" s="64"/>
      <c r="AH1579" s="64"/>
      <c r="AI1579" s="64"/>
      <c r="AJ1579" s="64"/>
      <c r="AK1579" s="64"/>
      <c r="AL1579" s="64"/>
      <c r="AM1579" s="169"/>
      <c r="AN1579" s="169"/>
      <c r="AO1579" s="169"/>
      <c r="AP1579" s="169"/>
      <c r="AQ1579" s="169"/>
      <c r="AR1579" s="169"/>
      <c r="AS1579" s="169"/>
      <c r="AT1579" s="169"/>
    </row>
    <row r="1580" spans="10:46">
      <c r="J1580" s="64"/>
      <c r="K1580" s="64"/>
      <c r="L1580" s="64"/>
      <c r="M1580" s="64"/>
      <c r="N1580" s="64"/>
      <c r="O1580" s="64"/>
      <c r="P1580" s="64"/>
      <c r="Q1580" s="64"/>
      <c r="R1580" s="64"/>
      <c r="S1580" s="64"/>
      <c r="T1580" s="64"/>
      <c r="U1580" s="64"/>
      <c r="V1580" s="64"/>
      <c r="W1580" s="64"/>
      <c r="X1580" s="64"/>
      <c r="Y1580" s="64"/>
      <c r="Z1580" s="64"/>
      <c r="AA1580" s="64"/>
      <c r="AB1580" s="64"/>
      <c r="AC1580" s="64"/>
      <c r="AD1580" s="64"/>
      <c r="AE1580" s="64"/>
      <c r="AF1580" s="64"/>
      <c r="AG1580" s="64"/>
      <c r="AH1580" s="64"/>
      <c r="AI1580" s="64"/>
      <c r="AJ1580" s="64"/>
      <c r="AK1580" s="64"/>
      <c r="AL1580" s="64"/>
      <c r="AM1580" s="169"/>
      <c r="AN1580" s="169"/>
      <c r="AO1580" s="169"/>
      <c r="AP1580" s="169"/>
      <c r="AQ1580" s="169"/>
      <c r="AR1580" s="169"/>
      <c r="AS1580" s="169"/>
      <c r="AT1580" s="169"/>
    </row>
    <row r="1581" spans="10:46">
      <c r="J1581" s="64"/>
      <c r="K1581" s="64"/>
      <c r="L1581" s="64"/>
      <c r="M1581" s="64"/>
      <c r="N1581" s="64"/>
      <c r="O1581" s="64"/>
      <c r="P1581" s="64"/>
      <c r="Q1581" s="64"/>
      <c r="R1581" s="64"/>
      <c r="S1581" s="64"/>
      <c r="T1581" s="64"/>
      <c r="U1581" s="64"/>
      <c r="V1581" s="64"/>
      <c r="W1581" s="64"/>
      <c r="X1581" s="64"/>
      <c r="Y1581" s="64"/>
      <c r="Z1581" s="64"/>
      <c r="AA1581" s="64"/>
      <c r="AB1581" s="64"/>
      <c r="AC1581" s="64"/>
      <c r="AD1581" s="64"/>
      <c r="AE1581" s="64"/>
      <c r="AF1581" s="64"/>
      <c r="AG1581" s="64"/>
      <c r="AH1581" s="64"/>
      <c r="AI1581" s="64"/>
      <c r="AJ1581" s="64"/>
      <c r="AK1581" s="64"/>
      <c r="AL1581" s="64"/>
      <c r="AM1581" s="169"/>
      <c r="AN1581" s="169"/>
      <c r="AO1581" s="169"/>
      <c r="AP1581" s="169"/>
      <c r="AQ1581" s="169"/>
      <c r="AR1581" s="169"/>
      <c r="AS1581" s="169"/>
      <c r="AT1581" s="169"/>
    </row>
    <row r="1582" spans="10:46">
      <c r="J1582" s="64"/>
      <c r="K1582" s="64"/>
      <c r="L1582" s="64"/>
      <c r="M1582" s="64"/>
      <c r="N1582" s="64"/>
      <c r="O1582" s="64"/>
      <c r="P1582" s="64"/>
      <c r="Q1582" s="64"/>
      <c r="R1582" s="64"/>
      <c r="S1582" s="64"/>
      <c r="T1582" s="64"/>
      <c r="U1582" s="64"/>
      <c r="V1582" s="64"/>
      <c r="W1582" s="64"/>
      <c r="X1582" s="64"/>
      <c r="Y1582" s="64"/>
      <c r="Z1582" s="64"/>
      <c r="AA1582" s="64"/>
      <c r="AB1582" s="64"/>
      <c r="AC1582" s="64"/>
      <c r="AD1582" s="64"/>
      <c r="AE1582" s="64"/>
      <c r="AF1582" s="64"/>
      <c r="AG1582" s="64"/>
      <c r="AH1582" s="64"/>
      <c r="AI1582" s="64"/>
      <c r="AJ1582" s="64"/>
      <c r="AK1582" s="64"/>
      <c r="AL1582" s="64"/>
      <c r="AM1582" s="169"/>
      <c r="AN1582" s="169"/>
      <c r="AO1582" s="169"/>
      <c r="AP1582" s="169"/>
      <c r="AQ1582" s="169"/>
      <c r="AR1582" s="169"/>
      <c r="AS1582" s="169"/>
      <c r="AT1582" s="169"/>
    </row>
    <row r="1583" spans="10:46">
      <c r="J1583" s="64"/>
      <c r="K1583" s="64"/>
      <c r="L1583" s="64"/>
      <c r="M1583" s="64"/>
      <c r="N1583" s="64"/>
      <c r="O1583" s="64"/>
      <c r="P1583" s="64"/>
      <c r="Q1583" s="64"/>
      <c r="R1583" s="64"/>
      <c r="S1583" s="64"/>
      <c r="T1583" s="64"/>
      <c r="U1583" s="64"/>
      <c r="V1583" s="64"/>
      <c r="W1583" s="64"/>
      <c r="X1583" s="64"/>
      <c r="Y1583" s="64"/>
      <c r="Z1583" s="64"/>
      <c r="AA1583" s="64"/>
      <c r="AB1583" s="64"/>
      <c r="AC1583" s="64"/>
      <c r="AD1583" s="64"/>
      <c r="AE1583" s="64"/>
      <c r="AF1583" s="64"/>
      <c r="AG1583" s="64"/>
      <c r="AH1583" s="64"/>
      <c r="AI1583" s="64"/>
      <c r="AJ1583" s="64"/>
      <c r="AK1583" s="64"/>
      <c r="AL1583" s="64"/>
      <c r="AM1583" s="169"/>
      <c r="AN1583" s="169"/>
      <c r="AO1583" s="169"/>
      <c r="AP1583" s="169"/>
      <c r="AQ1583" s="169"/>
      <c r="AR1583" s="169"/>
      <c r="AS1583" s="169"/>
      <c r="AT1583" s="169"/>
    </row>
    <row r="1584" spans="10:46">
      <c r="J1584" s="64"/>
      <c r="K1584" s="64"/>
      <c r="L1584" s="64"/>
      <c r="M1584" s="64"/>
      <c r="N1584" s="64"/>
      <c r="O1584" s="64"/>
      <c r="P1584" s="64"/>
      <c r="Q1584" s="64"/>
      <c r="R1584" s="64"/>
      <c r="S1584" s="64"/>
      <c r="T1584" s="64"/>
      <c r="U1584" s="64"/>
      <c r="V1584" s="64"/>
      <c r="W1584" s="64"/>
      <c r="X1584" s="64"/>
      <c r="Y1584" s="64"/>
      <c r="Z1584" s="64"/>
      <c r="AA1584" s="64"/>
      <c r="AB1584" s="64"/>
      <c r="AC1584" s="64"/>
      <c r="AD1584" s="64"/>
      <c r="AE1584" s="64"/>
      <c r="AF1584" s="64"/>
      <c r="AG1584" s="64"/>
      <c r="AH1584" s="64"/>
      <c r="AI1584" s="64"/>
      <c r="AJ1584" s="64"/>
      <c r="AK1584" s="64"/>
      <c r="AL1584" s="64"/>
      <c r="AM1584" s="169"/>
      <c r="AN1584" s="169"/>
      <c r="AO1584" s="169"/>
      <c r="AP1584" s="169"/>
      <c r="AQ1584" s="169"/>
      <c r="AR1584" s="169"/>
      <c r="AS1584" s="169"/>
      <c r="AT1584" s="169"/>
    </row>
    <row r="1585" spans="10:46">
      <c r="J1585" s="64"/>
      <c r="K1585" s="64"/>
      <c r="L1585" s="64"/>
      <c r="M1585" s="64"/>
      <c r="N1585" s="64"/>
      <c r="O1585" s="64"/>
      <c r="P1585" s="64"/>
      <c r="Q1585" s="64"/>
      <c r="R1585" s="64"/>
      <c r="S1585" s="64"/>
      <c r="T1585" s="64"/>
      <c r="U1585" s="64"/>
      <c r="V1585" s="64"/>
      <c r="W1585" s="64"/>
      <c r="X1585" s="64"/>
      <c r="Y1585" s="64"/>
      <c r="Z1585" s="64"/>
      <c r="AA1585" s="64"/>
      <c r="AB1585" s="64"/>
      <c r="AC1585" s="64"/>
      <c r="AD1585" s="64"/>
      <c r="AE1585" s="64"/>
      <c r="AF1585" s="64"/>
      <c r="AG1585" s="64"/>
      <c r="AH1585" s="64"/>
      <c r="AI1585" s="64"/>
      <c r="AJ1585" s="64"/>
      <c r="AK1585" s="64"/>
      <c r="AL1585" s="64"/>
      <c r="AM1585" s="169"/>
      <c r="AN1585" s="169"/>
      <c r="AO1585" s="169"/>
      <c r="AP1585" s="169"/>
      <c r="AQ1585" s="169"/>
      <c r="AR1585" s="169"/>
      <c r="AS1585" s="169"/>
      <c r="AT1585" s="169"/>
    </row>
    <row r="1586" spans="10:46">
      <c r="J1586" s="64"/>
      <c r="K1586" s="64"/>
      <c r="L1586" s="64"/>
      <c r="M1586" s="64"/>
      <c r="N1586" s="64"/>
      <c r="O1586" s="64"/>
      <c r="P1586" s="64"/>
      <c r="Q1586" s="64"/>
      <c r="R1586" s="64"/>
      <c r="S1586" s="64"/>
      <c r="T1586" s="64"/>
      <c r="U1586" s="64"/>
      <c r="V1586" s="64"/>
      <c r="W1586" s="64"/>
      <c r="X1586" s="64"/>
      <c r="Y1586" s="64"/>
      <c r="Z1586" s="64"/>
      <c r="AA1586" s="64"/>
      <c r="AB1586" s="64"/>
      <c r="AC1586" s="64"/>
      <c r="AD1586" s="64"/>
      <c r="AE1586" s="64"/>
      <c r="AF1586" s="64"/>
      <c r="AG1586" s="64"/>
      <c r="AH1586" s="64"/>
      <c r="AI1586" s="64"/>
      <c r="AJ1586" s="64"/>
      <c r="AK1586" s="64"/>
      <c r="AL1586" s="64"/>
      <c r="AM1586" s="169"/>
      <c r="AN1586" s="169"/>
      <c r="AO1586" s="169"/>
      <c r="AP1586" s="169"/>
      <c r="AQ1586" s="169"/>
      <c r="AR1586" s="169"/>
      <c r="AS1586" s="169"/>
      <c r="AT1586" s="169"/>
    </row>
    <row r="1587" spans="10:46">
      <c r="J1587" s="64"/>
      <c r="K1587" s="64"/>
      <c r="L1587" s="64"/>
      <c r="M1587" s="64"/>
      <c r="N1587" s="64"/>
      <c r="O1587" s="64"/>
      <c r="P1587" s="64"/>
      <c r="Q1587" s="64"/>
      <c r="R1587" s="64"/>
      <c r="S1587" s="64"/>
      <c r="T1587" s="64"/>
      <c r="U1587" s="64"/>
      <c r="V1587" s="64"/>
      <c r="W1587" s="64"/>
      <c r="X1587" s="64"/>
      <c r="Y1587" s="64"/>
      <c r="Z1587" s="64"/>
      <c r="AA1587" s="64"/>
      <c r="AB1587" s="64"/>
      <c r="AC1587" s="64"/>
      <c r="AD1587" s="64"/>
      <c r="AE1587" s="64"/>
      <c r="AF1587" s="64"/>
      <c r="AG1587" s="64"/>
      <c r="AH1587" s="64"/>
      <c r="AI1587" s="64"/>
      <c r="AJ1587" s="64"/>
      <c r="AK1587" s="64"/>
      <c r="AL1587" s="64"/>
      <c r="AM1587" s="169"/>
      <c r="AN1587" s="169"/>
      <c r="AO1587" s="169"/>
      <c r="AP1587" s="169"/>
      <c r="AQ1587" s="169"/>
      <c r="AR1587" s="169"/>
      <c r="AS1587" s="169"/>
      <c r="AT1587" s="169"/>
    </row>
    <row r="1588" spans="10:46">
      <c r="J1588" s="64"/>
      <c r="K1588" s="64"/>
      <c r="L1588" s="64"/>
      <c r="M1588" s="64"/>
      <c r="N1588" s="64"/>
      <c r="O1588" s="64"/>
      <c r="P1588" s="64"/>
      <c r="Q1588" s="64"/>
      <c r="R1588" s="64"/>
      <c r="S1588" s="64"/>
      <c r="T1588" s="64"/>
      <c r="U1588" s="64"/>
      <c r="V1588" s="64"/>
      <c r="W1588" s="64"/>
      <c r="X1588" s="64"/>
      <c r="Y1588" s="64"/>
      <c r="Z1588" s="64"/>
      <c r="AA1588" s="64"/>
      <c r="AB1588" s="64"/>
      <c r="AC1588" s="64"/>
      <c r="AD1588" s="64"/>
      <c r="AE1588" s="64"/>
      <c r="AF1588" s="64"/>
      <c r="AG1588" s="64"/>
      <c r="AH1588" s="64"/>
      <c r="AI1588" s="64"/>
      <c r="AJ1588" s="64"/>
      <c r="AK1588" s="64"/>
      <c r="AL1588" s="64"/>
      <c r="AM1588" s="169"/>
      <c r="AN1588" s="169"/>
      <c r="AO1588" s="169"/>
      <c r="AP1588" s="169"/>
      <c r="AQ1588" s="169"/>
      <c r="AR1588" s="169"/>
      <c r="AS1588" s="169"/>
      <c r="AT1588" s="169"/>
    </row>
    <row r="1589" spans="10:46">
      <c r="J1589" s="64"/>
      <c r="K1589" s="64"/>
      <c r="L1589" s="64"/>
      <c r="M1589" s="64"/>
      <c r="N1589" s="64"/>
      <c r="O1589" s="64"/>
      <c r="P1589" s="64"/>
      <c r="Q1589" s="64"/>
      <c r="R1589" s="64"/>
      <c r="S1589" s="64"/>
      <c r="T1589" s="64"/>
      <c r="U1589" s="64"/>
      <c r="V1589" s="64"/>
      <c r="W1589" s="64"/>
      <c r="X1589" s="64"/>
      <c r="Y1589" s="64"/>
      <c r="Z1589" s="64"/>
      <c r="AA1589" s="64"/>
      <c r="AB1589" s="64"/>
      <c r="AC1589" s="64"/>
      <c r="AD1589" s="64"/>
      <c r="AE1589" s="64"/>
      <c r="AF1589" s="64"/>
      <c r="AG1589" s="64"/>
      <c r="AH1589" s="64"/>
      <c r="AI1589" s="64"/>
      <c r="AJ1589" s="64"/>
      <c r="AK1589" s="64"/>
      <c r="AL1589" s="64"/>
      <c r="AM1589" s="169"/>
      <c r="AN1589" s="169"/>
      <c r="AO1589" s="169"/>
      <c r="AP1589" s="169"/>
      <c r="AQ1589" s="169"/>
      <c r="AR1589" s="169"/>
      <c r="AS1589" s="169"/>
      <c r="AT1589" s="169"/>
    </row>
    <row r="1590" spans="10:46">
      <c r="J1590" s="64"/>
      <c r="K1590" s="64"/>
      <c r="L1590" s="64"/>
      <c r="M1590" s="64"/>
      <c r="N1590" s="64"/>
      <c r="O1590" s="64"/>
      <c r="P1590" s="64"/>
      <c r="Q1590" s="64"/>
      <c r="R1590" s="64"/>
      <c r="S1590" s="64"/>
      <c r="T1590" s="64"/>
      <c r="U1590" s="64"/>
      <c r="V1590" s="64"/>
      <c r="W1590" s="64"/>
      <c r="X1590" s="64"/>
      <c r="Y1590" s="64"/>
      <c r="Z1590" s="64"/>
      <c r="AA1590" s="64"/>
      <c r="AB1590" s="64"/>
      <c r="AC1590" s="64"/>
      <c r="AD1590" s="64"/>
      <c r="AE1590" s="64"/>
      <c r="AF1590" s="64"/>
      <c r="AG1590" s="64"/>
      <c r="AH1590" s="64"/>
      <c r="AI1590" s="64"/>
      <c r="AJ1590" s="64"/>
      <c r="AK1590" s="64"/>
      <c r="AL1590" s="64"/>
      <c r="AM1590" s="169"/>
      <c r="AN1590" s="169"/>
      <c r="AO1590" s="169"/>
      <c r="AP1590" s="169"/>
      <c r="AQ1590" s="169"/>
      <c r="AR1590" s="169"/>
      <c r="AS1590" s="169"/>
      <c r="AT1590" s="169"/>
    </row>
    <row r="1591" spans="10:46">
      <c r="J1591" s="64"/>
      <c r="K1591" s="64"/>
      <c r="L1591" s="64"/>
      <c r="M1591" s="64"/>
      <c r="N1591" s="64"/>
      <c r="O1591" s="64"/>
      <c r="P1591" s="64"/>
      <c r="Q1591" s="64"/>
      <c r="R1591" s="64"/>
      <c r="S1591" s="64"/>
      <c r="T1591" s="64"/>
      <c r="U1591" s="64"/>
      <c r="V1591" s="64"/>
      <c r="W1591" s="64"/>
      <c r="X1591" s="64"/>
      <c r="Y1591" s="64"/>
      <c r="Z1591" s="64"/>
      <c r="AA1591" s="64"/>
      <c r="AB1591" s="64"/>
      <c r="AC1591" s="64"/>
      <c r="AD1591" s="64"/>
      <c r="AE1591" s="64"/>
      <c r="AF1591" s="64"/>
      <c r="AG1591" s="64"/>
      <c r="AH1591" s="64"/>
      <c r="AI1591" s="64"/>
      <c r="AJ1591" s="64"/>
      <c r="AK1591" s="64"/>
      <c r="AL1591" s="64"/>
      <c r="AM1591" s="169"/>
      <c r="AN1591" s="169"/>
      <c r="AO1591" s="169"/>
      <c r="AP1591" s="169"/>
      <c r="AQ1591" s="169"/>
      <c r="AR1591" s="169"/>
      <c r="AS1591" s="169"/>
      <c r="AT1591" s="169"/>
    </row>
    <row r="1592" spans="10:46">
      <c r="J1592" s="64"/>
      <c r="K1592" s="64"/>
      <c r="L1592" s="64"/>
      <c r="M1592" s="64"/>
      <c r="N1592" s="64"/>
      <c r="O1592" s="64"/>
      <c r="P1592" s="64"/>
      <c r="Q1592" s="64"/>
      <c r="R1592" s="64"/>
      <c r="S1592" s="64"/>
      <c r="T1592" s="64"/>
      <c r="U1592" s="64"/>
      <c r="V1592" s="64"/>
      <c r="W1592" s="64"/>
      <c r="X1592" s="64"/>
      <c r="Y1592" s="64"/>
      <c r="Z1592" s="64"/>
      <c r="AA1592" s="64"/>
      <c r="AB1592" s="64"/>
      <c r="AC1592" s="64"/>
      <c r="AD1592" s="64"/>
      <c r="AE1592" s="64"/>
      <c r="AF1592" s="64"/>
      <c r="AG1592" s="64"/>
      <c r="AH1592" s="64"/>
      <c r="AI1592" s="64"/>
      <c r="AJ1592" s="64"/>
      <c r="AK1592" s="64"/>
      <c r="AL1592" s="64"/>
      <c r="AM1592" s="169"/>
      <c r="AN1592" s="169"/>
      <c r="AO1592" s="169"/>
      <c r="AP1592" s="169"/>
      <c r="AQ1592" s="169"/>
      <c r="AR1592" s="169"/>
      <c r="AS1592" s="169"/>
      <c r="AT1592" s="169"/>
    </row>
    <row r="1593" spans="10:46">
      <c r="J1593" s="64"/>
      <c r="K1593" s="64"/>
      <c r="L1593" s="64"/>
      <c r="M1593" s="64"/>
      <c r="N1593" s="64"/>
      <c r="O1593" s="64"/>
      <c r="P1593" s="64"/>
      <c r="Q1593" s="64"/>
      <c r="R1593" s="64"/>
      <c r="S1593" s="64"/>
      <c r="T1593" s="64"/>
      <c r="U1593" s="64"/>
      <c r="V1593" s="64"/>
      <c r="W1593" s="64"/>
      <c r="X1593" s="64"/>
      <c r="Y1593" s="64"/>
      <c r="Z1593" s="64"/>
      <c r="AA1593" s="64"/>
      <c r="AB1593" s="64"/>
      <c r="AC1593" s="64"/>
      <c r="AD1593" s="64"/>
      <c r="AE1593" s="64"/>
      <c r="AF1593" s="64"/>
      <c r="AG1593" s="64"/>
      <c r="AH1593" s="64"/>
      <c r="AI1593" s="64"/>
      <c r="AJ1593" s="64"/>
      <c r="AK1593" s="64"/>
      <c r="AL1593" s="64"/>
      <c r="AM1593" s="169"/>
      <c r="AN1593" s="169"/>
      <c r="AO1593" s="169"/>
      <c r="AP1593" s="169"/>
      <c r="AQ1593" s="169"/>
      <c r="AR1593" s="169"/>
      <c r="AS1593" s="169"/>
      <c r="AT1593" s="169"/>
    </row>
    <row r="1594" spans="10:46">
      <c r="J1594" s="64"/>
      <c r="K1594" s="64"/>
      <c r="L1594" s="64"/>
      <c r="M1594" s="64"/>
      <c r="N1594" s="64"/>
      <c r="O1594" s="64"/>
      <c r="P1594" s="64"/>
      <c r="Q1594" s="64"/>
      <c r="R1594" s="64"/>
      <c r="S1594" s="64"/>
      <c r="T1594" s="64"/>
      <c r="U1594" s="64"/>
      <c r="V1594" s="64"/>
      <c r="W1594" s="64"/>
      <c r="X1594" s="64"/>
      <c r="Y1594" s="64"/>
      <c r="Z1594" s="64"/>
      <c r="AA1594" s="64"/>
      <c r="AB1594" s="64"/>
      <c r="AC1594" s="64"/>
      <c r="AD1594" s="64"/>
      <c r="AE1594" s="64"/>
      <c r="AF1594" s="64"/>
      <c r="AG1594" s="64"/>
      <c r="AH1594" s="64"/>
      <c r="AI1594" s="64"/>
      <c r="AJ1594" s="64"/>
      <c r="AK1594" s="64"/>
      <c r="AL1594" s="64"/>
      <c r="AM1594" s="169"/>
      <c r="AN1594" s="169"/>
      <c r="AO1594" s="169"/>
      <c r="AP1594" s="169"/>
      <c r="AQ1594" s="169"/>
      <c r="AR1594" s="169"/>
      <c r="AS1594" s="169"/>
      <c r="AT1594" s="169"/>
    </row>
    <row r="1595" spans="10:46">
      <c r="J1595" s="64"/>
      <c r="K1595" s="64"/>
      <c r="L1595" s="64"/>
      <c r="M1595" s="64"/>
      <c r="N1595" s="64"/>
      <c r="O1595" s="64"/>
      <c r="P1595" s="64"/>
      <c r="Q1595" s="64"/>
      <c r="R1595" s="64"/>
      <c r="S1595" s="64"/>
      <c r="T1595" s="64"/>
      <c r="U1595" s="64"/>
      <c r="V1595" s="64"/>
      <c r="W1595" s="64"/>
      <c r="X1595" s="64"/>
      <c r="Y1595" s="64"/>
      <c r="Z1595" s="64"/>
      <c r="AA1595" s="64"/>
      <c r="AB1595" s="64"/>
      <c r="AC1595" s="64"/>
      <c r="AD1595" s="64"/>
      <c r="AE1595" s="64"/>
      <c r="AF1595" s="64"/>
      <c r="AG1595" s="64"/>
      <c r="AH1595" s="64"/>
      <c r="AI1595" s="64"/>
      <c r="AJ1595" s="64"/>
      <c r="AK1595" s="64"/>
      <c r="AL1595" s="64"/>
      <c r="AM1595" s="169"/>
      <c r="AN1595" s="169"/>
      <c r="AO1595" s="169"/>
      <c r="AP1595" s="169"/>
      <c r="AQ1595" s="169"/>
      <c r="AR1595" s="169"/>
      <c r="AS1595" s="169"/>
      <c r="AT1595" s="169"/>
    </row>
    <row r="1596" spans="10:46">
      <c r="J1596" s="64"/>
      <c r="K1596" s="64"/>
      <c r="L1596" s="64"/>
      <c r="M1596" s="64"/>
      <c r="N1596" s="64"/>
      <c r="O1596" s="64"/>
      <c r="P1596" s="64"/>
      <c r="Q1596" s="64"/>
      <c r="R1596" s="64"/>
      <c r="S1596" s="64"/>
      <c r="T1596" s="64"/>
      <c r="U1596" s="64"/>
      <c r="V1596" s="64"/>
      <c r="W1596" s="64"/>
      <c r="X1596" s="64"/>
      <c r="Y1596" s="64"/>
      <c r="Z1596" s="64"/>
      <c r="AA1596" s="64"/>
      <c r="AB1596" s="64"/>
      <c r="AC1596" s="64"/>
      <c r="AD1596" s="64"/>
      <c r="AE1596" s="64"/>
      <c r="AF1596" s="64"/>
      <c r="AG1596" s="64"/>
      <c r="AH1596" s="64"/>
      <c r="AI1596" s="64"/>
      <c r="AJ1596" s="64"/>
      <c r="AK1596" s="64"/>
      <c r="AL1596" s="64"/>
      <c r="AM1596" s="169"/>
      <c r="AN1596" s="169"/>
      <c r="AO1596" s="169"/>
      <c r="AP1596" s="169"/>
      <c r="AQ1596" s="169"/>
      <c r="AR1596" s="169"/>
      <c r="AS1596" s="169"/>
      <c r="AT1596" s="169"/>
    </row>
    <row r="1597" spans="10:46">
      <c r="J1597" s="64"/>
      <c r="K1597" s="64"/>
      <c r="L1597" s="64"/>
      <c r="M1597" s="64"/>
      <c r="N1597" s="64"/>
      <c r="O1597" s="64"/>
      <c r="P1597" s="64"/>
      <c r="Q1597" s="64"/>
      <c r="R1597" s="64"/>
      <c r="S1597" s="64"/>
      <c r="T1597" s="64"/>
      <c r="U1597" s="64"/>
      <c r="V1597" s="64"/>
      <c r="W1597" s="64"/>
      <c r="X1597" s="64"/>
      <c r="Y1597" s="64"/>
      <c r="Z1597" s="64"/>
      <c r="AA1597" s="64"/>
      <c r="AB1597" s="64"/>
      <c r="AC1597" s="64"/>
      <c r="AD1597" s="64"/>
      <c r="AE1597" s="64"/>
      <c r="AF1597" s="64"/>
      <c r="AG1597" s="64"/>
      <c r="AH1597" s="64"/>
      <c r="AI1597" s="64"/>
      <c r="AJ1597" s="64"/>
      <c r="AK1597" s="64"/>
      <c r="AL1597" s="64"/>
      <c r="AM1597" s="169"/>
      <c r="AN1597" s="169"/>
      <c r="AO1597" s="169"/>
      <c r="AP1597" s="169"/>
      <c r="AQ1597" s="169"/>
      <c r="AR1597" s="169"/>
      <c r="AS1597" s="169"/>
      <c r="AT1597" s="169"/>
    </row>
    <row r="1598" spans="10:46">
      <c r="J1598" s="64"/>
      <c r="K1598" s="64"/>
      <c r="L1598" s="64"/>
      <c r="M1598" s="64"/>
      <c r="N1598" s="64"/>
      <c r="O1598" s="64"/>
      <c r="P1598" s="64"/>
      <c r="Q1598" s="64"/>
      <c r="R1598" s="64"/>
      <c r="S1598" s="64"/>
      <c r="T1598" s="64"/>
      <c r="U1598" s="64"/>
      <c r="V1598" s="64"/>
      <c r="W1598" s="64"/>
      <c r="X1598" s="64"/>
      <c r="Y1598" s="64"/>
      <c r="Z1598" s="64"/>
      <c r="AA1598" s="64"/>
      <c r="AB1598" s="64"/>
      <c r="AC1598" s="64"/>
      <c r="AD1598" s="64"/>
      <c r="AE1598" s="64"/>
      <c r="AF1598" s="64"/>
      <c r="AG1598" s="64"/>
      <c r="AH1598" s="64"/>
      <c r="AI1598" s="64"/>
      <c r="AJ1598" s="64"/>
      <c r="AK1598" s="64"/>
      <c r="AL1598" s="64"/>
      <c r="AM1598" s="169"/>
      <c r="AN1598" s="169"/>
      <c r="AO1598" s="169"/>
      <c r="AP1598" s="169"/>
      <c r="AQ1598" s="169"/>
      <c r="AR1598" s="169"/>
      <c r="AS1598" s="169"/>
      <c r="AT1598" s="169"/>
    </row>
    <row r="1599" spans="10:46">
      <c r="J1599" s="64"/>
      <c r="K1599" s="64"/>
      <c r="L1599" s="64"/>
      <c r="M1599" s="64"/>
      <c r="N1599" s="64"/>
      <c r="O1599" s="64"/>
      <c r="P1599" s="64"/>
      <c r="Q1599" s="64"/>
      <c r="R1599" s="64"/>
      <c r="S1599" s="64"/>
      <c r="T1599" s="64"/>
      <c r="U1599" s="64"/>
      <c r="V1599" s="64"/>
      <c r="W1599" s="64"/>
      <c r="X1599" s="64"/>
      <c r="Y1599" s="64"/>
      <c r="Z1599" s="64"/>
      <c r="AA1599" s="64"/>
      <c r="AB1599" s="64"/>
      <c r="AC1599" s="64"/>
      <c r="AD1599" s="64"/>
      <c r="AE1599" s="64"/>
      <c r="AF1599" s="64"/>
      <c r="AG1599" s="64"/>
      <c r="AH1599" s="64"/>
      <c r="AI1599" s="64"/>
      <c r="AJ1599" s="64"/>
      <c r="AK1599" s="64"/>
      <c r="AL1599" s="64"/>
      <c r="AM1599" s="169"/>
      <c r="AN1599" s="169"/>
      <c r="AO1599" s="169"/>
      <c r="AP1599" s="169"/>
      <c r="AQ1599" s="169"/>
      <c r="AR1599" s="169"/>
      <c r="AS1599" s="169"/>
      <c r="AT1599" s="169"/>
    </row>
    <row r="1600" spans="10:46">
      <c r="J1600" s="64"/>
      <c r="K1600" s="64"/>
      <c r="L1600" s="64"/>
      <c r="M1600" s="64"/>
      <c r="N1600" s="64"/>
      <c r="O1600" s="64"/>
      <c r="P1600" s="64"/>
      <c r="Q1600" s="64"/>
      <c r="R1600" s="64"/>
      <c r="S1600" s="64"/>
      <c r="T1600" s="64"/>
      <c r="U1600" s="64"/>
      <c r="V1600" s="64"/>
      <c r="W1600" s="64"/>
      <c r="X1600" s="64"/>
      <c r="Y1600" s="64"/>
      <c r="Z1600" s="64"/>
      <c r="AA1600" s="64"/>
      <c r="AB1600" s="64"/>
      <c r="AC1600" s="64"/>
      <c r="AD1600" s="64"/>
      <c r="AE1600" s="64"/>
      <c r="AF1600" s="64"/>
      <c r="AG1600" s="64"/>
      <c r="AH1600" s="64"/>
      <c r="AI1600" s="64"/>
      <c r="AJ1600" s="64"/>
      <c r="AK1600" s="64"/>
      <c r="AL1600" s="64"/>
      <c r="AM1600" s="169"/>
      <c r="AN1600" s="169"/>
      <c r="AO1600" s="169"/>
      <c r="AP1600" s="169"/>
      <c r="AQ1600" s="169"/>
      <c r="AR1600" s="169"/>
      <c r="AS1600" s="169"/>
      <c r="AT1600" s="169"/>
    </row>
    <row r="1601" spans="10:46">
      <c r="J1601" s="64"/>
      <c r="K1601" s="64"/>
      <c r="L1601" s="64"/>
      <c r="M1601" s="64"/>
      <c r="N1601" s="64"/>
      <c r="O1601" s="64"/>
      <c r="P1601" s="64"/>
      <c r="Q1601" s="64"/>
      <c r="R1601" s="64"/>
      <c r="S1601" s="64"/>
      <c r="T1601" s="64"/>
      <c r="U1601" s="64"/>
      <c r="V1601" s="64"/>
      <c r="W1601" s="64"/>
      <c r="X1601" s="64"/>
      <c r="Y1601" s="64"/>
      <c r="Z1601" s="64"/>
      <c r="AA1601" s="64"/>
      <c r="AB1601" s="64"/>
      <c r="AC1601" s="64"/>
      <c r="AD1601" s="64"/>
      <c r="AE1601" s="64"/>
      <c r="AF1601" s="64"/>
      <c r="AG1601" s="64"/>
      <c r="AH1601" s="64"/>
      <c r="AI1601" s="64"/>
      <c r="AJ1601" s="64"/>
      <c r="AK1601" s="64"/>
      <c r="AL1601" s="64"/>
      <c r="AM1601" s="169"/>
      <c r="AN1601" s="169"/>
      <c r="AO1601" s="169"/>
      <c r="AP1601" s="169"/>
      <c r="AQ1601" s="169"/>
      <c r="AR1601" s="169"/>
      <c r="AS1601" s="169"/>
      <c r="AT1601" s="169"/>
    </row>
    <row r="1602" spans="10:46">
      <c r="J1602" s="64"/>
      <c r="K1602" s="64"/>
      <c r="L1602" s="64"/>
      <c r="M1602" s="64"/>
      <c r="N1602" s="64"/>
      <c r="O1602" s="64"/>
      <c r="P1602" s="64"/>
      <c r="Q1602" s="64"/>
      <c r="R1602" s="64"/>
      <c r="S1602" s="64"/>
      <c r="T1602" s="64"/>
      <c r="U1602" s="64"/>
      <c r="V1602" s="64"/>
      <c r="W1602" s="64"/>
      <c r="X1602" s="64"/>
      <c r="Y1602" s="64"/>
      <c r="Z1602" s="64"/>
      <c r="AA1602" s="64"/>
      <c r="AB1602" s="64"/>
      <c r="AC1602" s="64"/>
      <c r="AD1602" s="64"/>
      <c r="AE1602" s="64"/>
      <c r="AF1602" s="64"/>
      <c r="AG1602" s="64"/>
      <c r="AH1602" s="64"/>
      <c r="AI1602" s="64"/>
      <c r="AJ1602" s="64"/>
      <c r="AK1602" s="64"/>
      <c r="AL1602" s="64"/>
      <c r="AM1602" s="169"/>
      <c r="AN1602" s="169"/>
      <c r="AO1602" s="169"/>
      <c r="AP1602" s="169"/>
      <c r="AQ1602" s="169"/>
      <c r="AR1602" s="169"/>
      <c r="AS1602" s="169"/>
      <c r="AT1602" s="169"/>
    </row>
    <row r="1603" spans="10:46">
      <c r="J1603" s="64"/>
      <c r="K1603" s="64"/>
      <c r="L1603" s="64"/>
      <c r="M1603" s="64"/>
      <c r="N1603" s="64"/>
      <c r="O1603" s="64"/>
      <c r="P1603" s="64"/>
      <c r="Q1603" s="64"/>
      <c r="R1603" s="64"/>
      <c r="S1603" s="64"/>
      <c r="T1603" s="64"/>
      <c r="U1603" s="64"/>
      <c r="V1603" s="64"/>
      <c r="W1603" s="64"/>
      <c r="X1603" s="64"/>
      <c r="Y1603" s="64"/>
      <c r="Z1603" s="64"/>
      <c r="AA1603" s="64"/>
      <c r="AB1603" s="64"/>
      <c r="AC1603" s="64"/>
      <c r="AD1603" s="64"/>
      <c r="AE1603" s="64"/>
      <c r="AF1603" s="64"/>
      <c r="AG1603" s="64"/>
      <c r="AH1603" s="64"/>
      <c r="AI1603" s="64"/>
      <c r="AJ1603" s="64"/>
      <c r="AK1603" s="64"/>
      <c r="AL1603" s="64"/>
      <c r="AM1603" s="169"/>
      <c r="AN1603" s="169"/>
      <c r="AO1603" s="169"/>
      <c r="AP1603" s="169"/>
      <c r="AQ1603" s="169"/>
      <c r="AR1603" s="169"/>
      <c r="AS1603" s="169"/>
      <c r="AT1603" s="169"/>
    </row>
    <row r="1604" spans="10:46">
      <c r="J1604" s="64"/>
      <c r="K1604" s="64"/>
      <c r="L1604" s="64"/>
      <c r="M1604" s="64"/>
      <c r="N1604" s="64"/>
      <c r="O1604" s="64"/>
      <c r="P1604" s="64"/>
      <c r="Q1604" s="64"/>
      <c r="R1604" s="64"/>
      <c r="S1604" s="64"/>
      <c r="T1604" s="64"/>
      <c r="U1604" s="64"/>
      <c r="V1604" s="64"/>
      <c r="W1604" s="64"/>
      <c r="X1604" s="64"/>
      <c r="Y1604" s="64"/>
      <c r="Z1604" s="64"/>
      <c r="AA1604" s="64"/>
      <c r="AB1604" s="64"/>
      <c r="AC1604" s="64"/>
      <c r="AD1604" s="64"/>
      <c r="AE1604" s="64"/>
      <c r="AF1604" s="64"/>
      <c r="AG1604" s="64"/>
      <c r="AH1604" s="64"/>
      <c r="AI1604" s="64"/>
      <c r="AJ1604" s="64"/>
      <c r="AK1604" s="64"/>
      <c r="AL1604" s="64"/>
      <c r="AM1604" s="169"/>
      <c r="AN1604" s="169"/>
      <c r="AO1604" s="169"/>
      <c r="AP1604" s="169"/>
      <c r="AQ1604" s="169"/>
      <c r="AR1604" s="169"/>
      <c r="AS1604" s="169"/>
      <c r="AT1604" s="169"/>
    </row>
    <row r="1605" spans="10:46">
      <c r="J1605" s="64"/>
      <c r="K1605" s="64"/>
      <c r="L1605" s="64"/>
      <c r="M1605" s="64"/>
      <c r="N1605" s="64"/>
      <c r="O1605" s="64"/>
      <c r="P1605" s="64"/>
      <c r="Q1605" s="64"/>
      <c r="R1605" s="64"/>
      <c r="S1605" s="64"/>
      <c r="T1605" s="64"/>
      <c r="U1605" s="64"/>
      <c r="V1605" s="64"/>
      <c r="W1605" s="64"/>
      <c r="X1605" s="64"/>
      <c r="Y1605" s="64"/>
      <c r="Z1605" s="64"/>
      <c r="AA1605" s="64"/>
      <c r="AB1605" s="64"/>
      <c r="AC1605" s="64"/>
      <c r="AD1605" s="64"/>
      <c r="AE1605" s="64"/>
      <c r="AF1605" s="64"/>
      <c r="AG1605" s="64"/>
      <c r="AH1605" s="64"/>
      <c r="AI1605" s="64"/>
      <c r="AJ1605" s="64"/>
      <c r="AK1605" s="64"/>
      <c r="AL1605" s="64"/>
      <c r="AM1605" s="169"/>
      <c r="AN1605" s="169"/>
      <c r="AO1605" s="169"/>
      <c r="AP1605" s="169"/>
      <c r="AQ1605" s="169"/>
      <c r="AR1605" s="169"/>
      <c r="AS1605" s="169"/>
      <c r="AT1605" s="169"/>
    </row>
    <row r="1606" spans="10:46">
      <c r="J1606" s="64"/>
      <c r="K1606" s="64"/>
      <c r="L1606" s="64"/>
      <c r="M1606" s="64"/>
      <c r="N1606" s="64"/>
      <c r="O1606" s="64"/>
      <c r="P1606" s="64"/>
      <c r="Q1606" s="64"/>
      <c r="R1606" s="64"/>
      <c r="S1606" s="64"/>
      <c r="T1606" s="64"/>
      <c r="U1606" s="64"/>
      <c r="V1606" s="64"/>
      <c r="W1606" s="64"/>
      <c r="X1606" s="64"/>
      <c r="Y1606" s="64"/>
      <c r="Z1606" s="64"/>
      <c r="AA1606" s="64"/>
      <c r="AB1606" s="64"/>
      <c r="AC1606" s="64"/>
      <c r="AD1606" s="64"/>
      <c r="AE1606" s="64"/>
      <c r="AF1606" s="64"/>
      <c r="AG1606" s="64"/>
      <c r="AH1606" s="64"/>
      <c r="AI1606" s="64"/>
      <c r="AJ1606" s="64"/>
      <c r="AK1606" s="64"/>
      <c r="AL1606" s="64"/>
      <c r="AM1606" s="169"/>
      <c r="AN1606" s="169"/>
      <c r="AO1606" s="169"/>
      <c r="AP1606" s="169"/>
      <c r="AQ1606" s="169"/>
      <c r="AR1606" s="169"/>
      <c r="AS1606" s="169"/>
      <c r="AT1606" s="169"/>
    </row>
    <row r="1607" spans="10:46">
      <c r="J1607" s="64"/>
      <c r="K1607" s="64"/>
      <c r="L1607" s="64"/>
      <c r="M1607" s="64"/>
      <c r="N1607" s="64"/>
      <c r="O1607" s="64"/>
      <c r="P1607" s="64"/>
      <c r="Q1607" s="64"/>
      <c r="R1607" s="64"/>
      <c r="S1607" s="64"/>
      <c r="T1607" s="64"/>
      <c r="U1607" s="64"/>
      <c r="V1607" s="64"/>
      <c r="W1607" s="64"/>
      <c r="X1607" s="64"/>
      <c r="Y1607" s="64"/>
      <c r="Z1607" s="64"/>
      <c r="AA1607" s="64"/>
      <c r="AB1607" s="64"/>
      <c r="AC1607" s="64"/>
      <c r="AD1607" s="64"/>
      <c r="AE1607" s="64"/>
      <c r="AF1607" s="64"/>
      <c r="AG1607" s="64"/>
      <c r="AH1607" s="64"/>
      <c r="AI1607" s="64"/>
      <c r="AJ1607" s="64"/>
      <c r="AK1607" s="64"/>
      <c r="AL1607" s="64"/>
      <c r="AM1607" s="169"/>
      <c r="AN1607" s="169"/>
      <c r="AO1607" s="169"/>
      <c r="AP1607" s="169"/>
      <c r="AQ1607" s="169"/>
      <c r="AR1607" s="169"/>
      <c r="AS1607" s="169"/>
      <c r="AT1607" s="169"/>
    </row>
    <row r="1608" spans="10:46">
      <c r="J1608" s="64"/>
      <c r="K1608" s="64"/>
      <c r="L1608" s="64"/>
      <c r="M1608" s="64"/>
      <c r="N1608" s="64"/>
      <c r="O1608" s="64"/>
      <c r="P1608" s="64"/>
      <c r="Q1608" s="64"/>
      <c r="R1608" s="64"/>
      <c r="S1608" s="64"/>
      <c r="T1608" s="64"/>
      <c r="U1608" s="64"/>
      <c r="V1608" s="64"/>
      <c r="W1608" s="64"/>
      <c r="X1608" s="64"/>
      <c r="Y1608" s="64"/>
      <c r="Z1608" s="64"/>
      <c r="AA1608" s="64"/>
      <c r="AB1608" s="64"/>
      <c r="AC1608" s="64"/>
      <c r="AD1608" s="64"/>
      <c r="AE1608" s="64"/>
      <c r="AF1608" s="64"/>
      <c r="AG1608" s="64"/>
      <c r="AH1608" s="64"/>
      <c r="AI1608" s="64"/>
      <c r="AJ1608" s="64"/>
      <c r="AK1608" s="64"/>
      <c r="AL1608" s="64"/>
      <c r="AM1608" s="169"/>
      <c r="AN1608" s="169"/>
      <c r="AO1608" s="169"/>
      <c r="AP1608" s="169"/>
      <c r="AQ1608" s="169"/>
      <c r="AR1608" s="169"/>
      <c r="AS1608" s="169"/>
      <c r="AT1608" s="169"/>
    </row>
    <row r="1609" spans="10:46">
      <c r="J1609" s="64"/>
      <c r="K1609" s="64"/>
      <c r="L1609" s="64"/>
      <c r="M1609" s="64"/>
      <c r="N1609" s="64"/>
      <c r="O1609" s="64"/>
      <c r="P1609" s="64"/>
      <c r="Q1609" s="64"/>
      <c r="R1609" s="64"/>
      <c r="S1609" s="64"/>
      <c r="T1609" s="64"/>
      <c r="U1609" s="64"/>
      <c r="V1609" s="64"/>
      <c r="W1609" s="64"/>
      <c r="X1609" s="64"/>
      <c r="Y1609" s="64"/>
      <c r="Z1609" s="64"/>
      <c r="AA1609" s="64"/>
      <c r="AB1609" s="64"/>
      <c r="AC1609" s="64"/>
      <c r="AD1609" s="64"/>
      <c r="AE1609" s="64"/>
      <c r="AF1609" s="64"/>
      <c r="AG1609" s="64"/>
      <c r="AH1609" s="64"/>
      <c r="AI1609" s="64"/>
      <c r="AJ1609" s="64"/>
      <c r="AK1609" s="64"/>
      <c r="AL1609" s="64"/>
      <c r="AM1609" s="169"/>
      <c r="AN1609" s="169"/>
      <c r="AO1609" s="169"/>
      <c r="AP1609" s="169"/>
      <c r="AQ1609" s="169"/>
      <c r="AR1609" s="169"/>
      <c r="AS1609" s="169"/>
      <c r="AT1609" s="169"/>
    </row>
    <row r="1610" spans="10:46">
      <c r="J1610" s="64"/>
      <c r="K1610" s="64"/>
      <c r="L1610" s="64"/>
      <c r="M1610" s="64"/>
      <c r="N1610" s="64"/>
      <c r="O1610" s="64"/>
      <c r="P1610" s="64"/>
      <c r="Q1610" s="64"/>
      <c r="R1610" s="64"/>
      <c r="S1610" s="64"/>
      <c r="T1610" s="64"/>
      <c r="U1610" s="64"/>
      <c r="V1610" s="64"/>
      <c r="W1610" s="64"/>
      <c r="X1610" s="64"/>
      <c r="Y1610" s="64"/>
      <c r="Z1610" s="64"/>
      <c r="AA1610" s="64"/>
      <c r="AB1610" s="64"/>
      <c r="AC1610" s="64"/>
      <c r="AD1610" s="64"/>
      <c r="AE1610" s="64"/>
      <c r="AF1610" s="64"/>
      <c r="AG1610" s="64"/>
      <c r="AH1610" s="64"/>
      <c r="AI1610" s="64"/>
      <c r="AJ1610" s="64"/>
      <c r="AK1610" s="64"/>
      <c r="AL1610" s="64"/>
      <c r="AM1610" s="169"/>
      <c r="AN1610" s="169"/>
      <c r="AO1610" s="169"/>
      <c r="AP1610" s="169"/>
      <c r="AQ1610" s="169"/>
      <c r="AR1610" s="169"/>
      <c r="AS1610" s="169"/>
      <c r="AT1610" s="169"/>
    </row>
    <row r="1611" spans="10:46">
      <c r="J1611" s="64"/>
      <c r="K1611" s="64"/>
      <c r="L1611" s="64"/>
      <c r="M1611" s="64"/>
      <c r="N1611" s="64"/>
      <c r="O1611" s="64"/>
      <c r="P1611" s="64"/>
      <c r="Q1611" s="64"/>
      <c r="R1611" s="64"/>
      <c r="S1611" s="64"/>
      <c r="T1611" s="64"/>
      <c r="U1611" s="64"/>
      <c r="V1611" s="64"/>
      <c r="W1611" s="64"/>
      <c r="X1611" s="64"/>
      <c r="Y1611" s="64"/>
      <c r="Z1611" s="64"/>
      <c r="AA1611" s="64"/>
      <c r="AB1611" s="64"/>
      <c r="AC1611" s="64"/>
      <c r="AD1611" s="64"/>
      <c r="AE1611" s="64"/>
      <c r="AF1611" s="64"/>
      <c r="AG1611" s="64"/>
      <c r="AH1611" s="64"/>
      <c r="AI1611" s="64"/>
      <c r="AJ1611" s="64"/>
      <c r="AK1611" s="64"/>
      <c r="AL1611" s="64"/>
      <c r="AM1611" s="169"/>
      <c r="AN1611" s="169"/>
      <c r="AO1611" s="169"/>
      <c r="AP1611" s="169"/>
      <c r="AQ1611" s="169"/>
      <c r="AR1611" s="169"/>
      <c r="AS1611" s="169"/>
      <c r="AT1611" s="169"/>
    </row>
    <row r="1612" spans="10:46">
      <c r="J1612" s="64"/>
      <c r="K1612" s="64"/>
      <c r="L1612" s="64"/>
      <c r="M1612" s="64"/>
      <c r="N1612" s="64"/>
      <c r="O1612" s="64"/>
      <c r="P1612" s="64"/>
      <c r="Q1612" s="64"/>
      <c r="R1612" s="64"/>
      <c r="S1612" s="64"/>
      <c r="T1612" s="64"/>
      <c r="U1612" s="64"/>
      <c r="V1612" s="64"/>
      <c r="W1612" s="64"/>
      <c r="X1612" s="64"/>
      <c r="Y1612" s="64"/>
      <c r="Z1612" s="64"/>
      <c r="AA1612" s="64"/>
      <c r="AB1612" s="64"/>
      <c r="AC1612" s="64"/>
      <c r="AD1612" s="64"/>
      <c r="AE1612" s="64"/>
      <c r="AF1612" s="64"/>
      <c r="AG1612" s="64"/>
      <c r="AH1612" s="64"/>
      <c r="AI1612" s="64"/>
      <c r="AJ1612" s="64"/>
      <c r="AK1612" s="64"/>
      <c r="AL1612" s="64"/>
      <c r="AM1612" s="169"/>
      <c r="AN1612" s="169"/>
      <c r="AO1612" s="169"/>
      <c r="AP1612" s="169"/>
      <c r="AQ1612" s="169"/>
      <c r="AR1612" s="169"/>
      <c r="AS1612" s="169"/>
      <c r="AT1612" s="169"/>
    </row>
    <row r="1613" spans="10:46">
      <c r="J1613" s="64"/>
      <c r="K1613" s="64"/>
      <c r="L1613" s="64"/>
      <c r="M1613" s="64"/>
      <c r="N1613" s="64"/>
      <c r="O1613" s="64"/>
      <c r="P1613" s="64"/>
      <c r="Q1613" s="64"/>
      <c r="R1613" s="64"/>
      <c r="S1613" s="64"/>
      <c r="T1613" s="64"/>
      <c r="U1613" s="64"/>
      <c r="V1613" s="64"/>
      <c r="W1613" s="64"/>
      <c r="X1613" s="64"/>
      <c r="Y1613" s="64"/>
      <c r="Z1613" s="64"/>
      <c r="AA1613" s="64"/>
      <c r="AB1613" s="64"/>
      <c r="AC1613" s="64"/>
      <c r="AD1613" s="64"/>
      <c r="AE1613" s="64"/>
      <c r="AF1613" s="64"/>
      <c r="AG1613" s="64"/>
      <c r="AH1613" s="64"/>
      <c r="AI1613" s="64"/>
      <c r="AJ1613" s="64"/>
      <c r="AK1613" s="64"/>
      <c r="AL1613" s="64"/>
      <c r="AM1613" s="169"/>
      <c r="AN1613" s="169"/>
      <c r="AO1613" s="169"/>
      <c r="AP1613" s="169"/>
      <c r="AQ1613" s="169"/>
      <c r="AR1613" s="169"/>
      <c r="AS1613" s="169"/>
      <c r="AT1613" s="169"/>
    </row>
    <row r="1614" spans="10:46">
      <c r="J1614" s="64"/>
      <c r="K1614" s="64"/>
      <c r="L1614" s="64"/>
      <c r="M1614" s="64"/>
      <c r="N1614" s="64"/>
      <c r="O1614" s="64"/>
      <c r="P1614" s="64"/>
      <c r="Q1614" s="64"/>
      <c r="R1614" s="64"/>
      <c r="S1614" s="64"/>
      <c r="T1614" s="64"/>
      <c r="U1614" s="64"/>
      <c r="V1614" s="64"/>
      <c r="W1614" s="64"/>
      <c r="X1614" s="64"/>
      <c r="Y1614" s="64"/>
      <c r="Z1614" s="64"/>
      <c r="AA1614" s="64"/>
      <c r="AB1614" s="64"/>
      <c r="AC1614" s="64"/>
      <c r="AD1614" s="64"/>
      <c r="AE1614" s="64"/>
      <c r="AF1614" s="64"/>
      <c r="AG1614" s="64"/>
      <c r="AH1614" s="64"/>
      <c r="AI1614" s="64"/>
      <c r="AJ1614" s="64"/>
      <c r="AK1614" s="64"/>
      <c r="AL1614" s="64"/>
      <c r="AM1614" s="169"/>
      <c r="AN1614" s="169"/>
      <c r="AO1614" s="169"/>
      <c r="AP1614" s="169"/>
      <c r="AQ1614" s="169"/>
      <c r="AR1614" s="169"/>
      <c r="AS1614" s="169"/>
      <c r="AT1614" s="169"/>
    </row>
    <row r="1615" spans="10:46">
      <c r="J1615" s="64"/>
      <c r="K1615" s="64"/>
      <c r="L1615" s="64"/>
      <c r="M1615" s="64"/>
      <c r="N1615" s="64"/>
      <c r="O1615" s="64"/>
      <c r="P1615" s="64"/>
      <c r="Q1615" s="64"/>
      <c r="R1615" s="64"/>
      <c r="S1615" s="64"/>
      <c r="T1615" s="64"/>
      <c r="U1615" s="64"/>
      <c r="V1615" s="64"/>
      <c r="W1615" s="64"/>
      <c r="X1615" s="64"/>
      <c r="Y1615" s="64"/>
      <c r="Z1615" s="64"/>
      <c r="AA1615" s="64"/>
      <c r="AB1615" s="64"/>
      <c r="AC1615" s="64"/>
      <c r="AD1615" s="64"/>
      <c r="AE1615" s="64"/>
      <c r="AF1615" s="64"/>
      <c r="AG1615" s="64"/>
      <c r="AH1615" s="64"/>
      <c r="AI1615" s="64"/>
      <c r="AJ1615" s="64"/>
      <c r="AK1615" s="64"/>
      <c r="AL1615" s="64"/>
      <c r="AM1615" s="169"/>
      <c r="AN1615" s="169"/>
      <c r="AO1615" s="169"/>
      <c r="AP1615" s="169"/>
      <c r="AQ1615" s="169"/>
      <c r="AR1615" s="169"/>
      <c r="AS1615" s="169"/>
      <c r="AT1615" s="169"/>
    </row>
    <row r="1616" spans="10:46">
      <c r="J1616" s="64"/>
      <c r="K1616" s="64"/>
      <c r="L1616" s="64"/>
      <c r="M1616" s="64"/>
      <c r="N1616" s="64"/>
      <c r="O1616" s="64"/>
      <c r="P1616" s="64"/>
      <c r="Q1616" s="64"/>
      <c r="R1616" s="64"/>
      <c r="S1616" s="64"/>
      <c r="T1616" s="64"/>
      <c r="U1616" s="64"/>
      <c r="V1616" s="64"/>
      <c r="W1616" s="64"/>
      <c r="X1616" s="64"/>
      <c r="Y1616" s="64"/>
      <c r="Z1616" s="64"/>
      <c r="AA1616" s="64"/>
      <c r="AB1616" s="64"/>
      <c r="AC1616" s="64"/>
      <c r="AD1616" s="64"/>
      <c r="AE1616" s="64"/>
      <c r="AF1616" s="64"/>
      <c r="AG1616" s="64"/>
      <c r="AH1616" s="64"/>
      <c r="AI1616" s="64"/>
      <c r="AJ1616" s="64"/>
      <c r="AK1616" s="64"/>
      <c r="AL1616" s="64"/>
      <c r="AM1616" s="169"/>
      <c r="AN1616" s="169"/>
      <c r="AO1616" s="169"/>
      <c r="AP1616" s="169"/>
      <c r="AQ1616" s="169"/>
      <c r="AR1616" s="169"/>
      <c r="AS1616" s="169"/>
      <c r="AT1616" s="169"/>
    </row>
    <row r="1617" spans="10:46">
      <c r="J1617" s="64"/>
      <c r="K1617" s="64"/>
      <c r="L1617" s="64"/>
      <c r="M1617" s="64"/>
      <c r="N1617" s="64"/>
      <c r="O1617" s="64"/>
      <c r="P1617" s="64"/>
      <c r="Q1617" s="64"/>
      <c r="R1617" s="64"/>
      <c r="S1617" s="64"/>
      <c r="T1617" s="64"/>
      <c r="U1617" s="64"/>
      <c r="V1617" s="64"/>
      <c r="W1617" s="64"/>
      <c r="X1617" s="64"/>
      <c r="Y1617" s="64"/>
      <c r="Z1617" s="64"/>
      <c r="AA1617" s="64"/>
      <c r="AB1617" s="64"/>
      <c r="AC1617" s="64"/>
      <c r="AD1617" s="64"/>
      <c r="AE1617" s="64"/>
      <c r="AF1617" s="64"/>
      <c r="AG1617" s="64"/>
      <c r="AH1617" s="64"/>
      <c r="AI1617" s="64"/>
      <c r="AJ1617" s="64"/>
      <c r="AK1617" s="64"/>
      <c r="AL1617" s="64"/>
      <c r="AM1617" s="169"/>
      <c r="AN1617" s="169"/>
      <c r="AO1617" s="169"/>
      <c r="AP1617" s="169"/>
      <c r="AQ1617" s="169"/>
      <c r="AR1617" s="169"/>
      <c r="AS1617" s="169"/>
      <c r="AT1617" s="169"/>
    </row>
    <row r="1618" spans="10:46">
      <c r="J1618" s="64"/>
      <c r="K1618" s="64"/>
      <c r="L1618" s="64"/>
      <c r="M1618" s="64"/>
      <c r="N1618" s="64"/>
      <c r="O1618" s="64"/>
      <c r="P1618" s="64"/>
      <c r="Q1618" s="64"/>
      <c r="R1618" s="64"/>
      <c r="S1618" s="64"/>
      <c r="T1618" s="64"/>
      <c r="U1618" s="64"/>
      <c r="V1618" s="64"/>
      <c r="W1618" s="64"/>
      <c r="X1618" s="64"/>
      <c r="Y1618" s="64"/>
      <c r="Z1618" s="64"/>
      <c r="AA1618" s="64"/>
      <c r="AB1618" s="64"/>
      <c r="AC1618" s="64"/>
      <c r="AD1618" s="64"/>
      <c r="AE1618" s="64"/>
      <c r="AF1618" s="64"/>
      <c r="AG1618" s="64"/>
      <c r="AH1618" s="64"/>
      <c r="AI1618" s="64"/>
      <c r="AJ1618" s="64"/>
      <c r="AK1618" s="64"/>
      <c r="AL1618" s="64"/>
      <c r="AM1618" s="169"/>
      <c r="AN1618" s="169"/>
      <c r="AO1618" s="169"/>
      <c r="AP1618" s="169"/>
      <c r="AQ1618" s="169"/>
      <c r="AR1618" s="169"/>
      <c r="AS1618" s="169"/>
      <c r="AT1618" s="169"/>
    </row>
    <row r="1619" spans="10:46">
      <c r="J1619" s="64"/>
      <c r="K1619" s="64"/>
      <c r="L1619" s="64"/>
      <c r="M1619" s="64"/>
      <c r="N1619" s="64"/>
      <c r="O1619" s="64"/>
      <c r="P1619" s="64"/>
      <c r="Q1619" s="64"/>
      <c r="R1619" s="64"/>
      <c r="S1619" s="64"/>
      <c r="T1619" s="64"/>
      <c r="U1619" s="64"/>
      <c r="V1619" s="64"/>
      <c r="W1619" s="64"/>
      <c r="X1619" s="64"/>
      <c r="Y1619" s="64"/>
      <c r="Z1619" s="64"/>
      <c r="AA1619" s="64"/>
      <c r="AB1619" s="64"/>
      <c r="AC1619" s="64"/>
      <c r="AD1619" s="64"/>
      <c r="AE1619" s="64"/>
      <c r="AF1619" s="64"/>
      <c r="AG1619" s="64"/>
      <c r="AH1619" s="64"/>
      <c r="AI1619" s="64"/>
      <c r="AJ1619" s="64"/>
      <c r="AK1619" s="64"/>
      <c r="AL1619" s="64"/>
      <c r="AM1619" s="169"/>
      <c r="AN1619" s="169"/>
      <c r="AO1619" s="169"/>
      <c r="AP1619" s="169"/>
      <c r="AQ1619" s="169"/>
      <c r="AR1619" s="169"/>
      <c r="AS1619" s="169"/>
      <c r="AT1619" s="169"/>
    </row>
    <row r="1620" spans="10:46">
      <c r="J1620" s="64"/>
      <c r="K1620" s="64"/>
      <c r="L1620" s="64"/>
      <c r="M1620" s="64"/>
      <c r="N1620" s="64"/>
      <c r="O1620" s="64"/>
      <c r="P1620" s="64"/>
      <c r="Q1620" s="64"/>
      <c r="R1620" s="64"/>
      <c r="S1620" s="64"/>
      <c r="T1620" s="64"/>
      <c r="U1620" s="64"/>
      <c r="V1620" s="64"/>
      <c r="W1620" s="64"/>
      <c r="X1620" s="64"/>
      <c r="Y1620" s="64"/>
      <c r="Z1620" s="64"/>
      <c r="AA1620" s="64"/>
      <c r="AB1620" s="64"/>
      <c r="AC1620" s="64"/>
      <c r="AD1620" s="64"/>
      <c r="AE1620" s="64"/>
      <c r="AF1620" s="64"/>
      <c r="AG1620" s="64"/>
      <c r="AH1620" s="64"/>
      <c r="AI1620" s="64"/>
      <c r="AJ1620" s="64"/>
      <c r="AK1620" s="64"/>
      <c r="AL1620" s="64"/>
      <c r="AM1620" s="169"/>
      <c r="AN1620" s="169"/>
      <c r="AO1620" s="169"/>
      <c r="AP1620" s="169"/>
      <c r="AQ1620" s="169"/>
      <c r="AR1620" s="169"/>
      <c r="AS1620" s="169"/>
      <c r="AT1620" s="169"/>
    </row>
    <row r="1621" spans="10:46">
      <c r="J1621" s="64"/>
      <c r="K1621" s="64"/>
      <c r="L1621" s="64"/>
      <c r="M1621" s="64"/>
      <c r="N1621" s="64"/>
      <c r="O1621" s="64"/>
      <c r="P1621" s="64"/>
      <c r="Q1621" s="64"/>
      <c r="R1621" s="64"/>
      <c r="S1621" s="64"/>
      <c r="T1621" s="64"/>
      <c r="U1621" s="64"/>
      <c r="V1621" s="64"/>
      <c r="W1621" s="64"/>
      <c r="X1621" s="64"/>
      <c r="Y1621" s="64"/>
      <c r="Z1621" s="64"/>
      <c r="AA1621" s="64"/>
      <c r="AB1621" s="64"/>
      <c r="AC1621" s="64"/>
      <c r="AD1621" s="64"/>
      <c r="AE1621" s="64"/>
      <c r="AF1621" s="64"/>
      <c r="AG1621" s="64"/>
      <c r="AH1621" s="64"/>
      <c r="AI1621" s="64"/>
      <c r="AJ1621" s="64"/>
      <c r="AK1621" s="64"/>
      <c r="AL1621" s="64"/>
      <c r="AM1621" s="169"/>
      <c r="AN1621" s="169"/>
      <c r="AO1621" s="169"/>
      <c r="AP1621" s="169"/>
      <c r="AQ1621" s="169"/>
      <c r="AR1621" s="169"/>
      <c r="AS1621" s="169"/>
      <c r="AT1621" s="169"/>
    </row>
    <row r="1622" spans="10:46">
      <c r="J1622" s="64"/>
      <c r="K1622" s="64"/>
      <c r="L1622" s="64"/>
      <c r="M1622" s="64"/>
      <c r="N1622" s="64"/>
      <c r="O1622" s="64"/>
      <c r="P1622" s="64"/>
      <c r="Q1622" s="64"/>
      <c r="R1622" s="64"/>
      <c r="S1622" s="64"/>
      <c r="T1622" s="64"/>
      <c r="U1622" s="64"/>
      <c r="V1622" s="64"/>
      <c r="W1622" s="64"/>
      <c r="X1622" s="64"/>
      <c r="Y1622" s="64"/>
      <c r="Z1622" s="64"/>
      <c r="AA1622" s="64"/>
      <c r="AB1622" s="64"/>
      <c r="AC1622" s="64"/>
      <c r="AD1622" s="64"/>
      <c r="AE1622" s="64"/>
      <c r="AF1622" s="64"/>
      <c r="AG1622" s="64"/>
      <c r="AH1622" s="64"/>
      <c r="AI1622" s="64"/>
      <c r="AJ1622" s="64"/>
      <c r="AK1622" s="64"/>
      <c r="AL1622" s="64"/>
      <c r="AM1622" s="169"/>
      <c r="AN1622" s="169"/>
      <c r="AO1622" s="169"/>
      <c r="AP1622" s="169"/>
      <c r="AQ1622" s="169"/>
      <c r="AR1622" s="169"/>
      <c r="AS1622" s="169"/>
      <c r="AT1622" s="169"/>
    </row>
    <row r="1623" spans="10:46">
      <c r="J1623" s="64"/>
      <c r="K1623" s="64"/>
      <c r="L1623" s="64"/>
      <c r="M1623" s="64"/>
      <c r="N1623" s="64"/>
      <c r="O1623" s="64"/>
      <c r="P1623" s="64"/>
      <c r="Q1623" s="64"/>
      <c r="R1623" s="64"/>
      <c r="S1623" s="64"/>
      <c r="T1623" s="64"/>
      <c r="U1623" s="64"/>
      <c r="V1623" s="64"/>
      <c r="W1623" s="64"/>
      <c r="X1623" s="64"/>
      <c r="Y1623" s="64"/>
      <c r="Z1623" s="64"/>
      <c r="AA1623" s="64"/>
      <c r="AB1623" s="64"/>
      <c r="AC1623" s="64"/>
      <c r="AD1623" s="64"/>
      <c r="AE1623" s="64"/>
      <c r="AF1623" s="64"/>
      <c r="AG1623" s="64"/>
      <c r="AH1623" s="64"/>
      <c r="AI1623" s="64"/>
      <c r="AJ1623" s="64"/>
      <c r="AK1623" s="64"/>
      <c r="AL1623" s="64"/>
      <c r="AM1623" s="169"/>
      <c r="AN1623" s="169"/>
      <c r="AO1623" s="169"/>
      <c r="AP1623" s="169"/>
      <c r="AQ1623" s="169"/>
      <c r="AR1623" s="169"/>
      <c r="AS1623" s="169"/>
      <c r="AT1623" s="169"/>
    </row>
    <row r="1624" spans="10:46">
      <c r="J1624" s="64"/>
      <c r="K1624" s="64"/>
      <c r="L1624" s="64"/>
      <c r="M1624" s="64"/>
      <c r="N1624" s="64"/>
      <c r="O1624" s="64"/>
      <c r="P1624" s="64"/>
      <c r="Q1624" s="64"/>
      <c r="R1624" s="64"/>
      <c r="S1624" s="64"/>
      <c r="T1624" s="64"/>
      <c r="U1624" s="64"/>
      <c r="V1624" s="64"/>
      <c r="W1624" s="64"/>
      <c r="X1624" s="64"/>
      <c r="Y1624" s="64"/>
      <c r="Z1624" s="64"/>
      <c r="AA1624" s="64"/>
      <c r="AB1624" s="64"/>
      <c r="AC1624" s="64"/>
      <c r="AD1624" s="64"/>
      <c r="AE1624" s="64"/>
      <c r="AF1624" s="64"/>
      <c r="AG1624" s="64"/>
      <c r="AH1624" s="64"/>
      <c r="AI1624" s="64"/>
      <c r="AJ1624" s="64"/>
      <c r="AK1624" s="64"/>
      <c r="AL1624" s="64"/>
      <c r="AM1624" s="169"/>
      <c r="AN1624" s="169"/>
      <c r="AO1624" s="169"/>
      <c r="AP1624" s="169"/>
      <c r="AQ1624" s="169"/>
      <c r="AR1624" s="169"/>
      <c r="AS1624" s="169"/>
      <c r="AT1624" s="169"/>
    </row>
    <row r="1625" spans="10:46">
      <c r="J1625" s="64"/>
      <c r="K1625" s="64"/>
      <c r="L1625" s="64"/>
      <c r="M1625" s="64"/>
      <c r="N1625" s="64"/>
      <c r="O1625" s="64"/>
      <c r="P1625" s="64"/>
      <c r="Q1625" s="64"/>
      <c r="R1625" s="64"/>
      <c r="S1625" s="64"/>
      <c r="T1625" s="64"/>
      <c r="U1625" s="64"/>
      <c r="V1625" s="64"/>
      <c r="W1625" s="64"/>
      <c r="X1625" s="64"/>
      <c r="Y1625" s="64"/>
      <c r="Z1625" s="64"/>
      <c r="AA1625" s="64"/>
      <c r="AB1625" s="64"/>
      <c r="AC1625" s="64"/>
      <c r="AD1625" s="64"/>
      <c r="AE1625" s="64"/>
      <c r="AF1625" s="64"/>
      <c r="AG1625" s="64"/>
      <c r="AH1625" s="64"/>
      <c r="AI1625" s="64"/>
      <c r="AJ1625" s="64"/>
      <c r="AK1625" s="64"/>
      <c r="AL1625" s="64"/>
      <c r="AM1625" s="169"/>
      <c r="AN1625" s="169"/>
      <c r="AO1625" s="169"/>
      <c r="AP1625" s="169"/>
      <c r="AQ1625" s="169"/>
      <c r="AR1625" s="169"/>
      <c r="AS1625" s="169"/>
      <c r="AT1625" s="169"/>
    </row>
    <row r="1626" spans="10:46">
      <c r="J1626" s="64"/>
      <c r="K1626" s="64"/>
      <c r="L1626" s="64"/>
      <c r="M1626" s="64"/>
      <c r="N1626" s="64"/>
      <c r="O1626" s="64"/>
      <c r="P1626" s="64"/>
      <c r="Q1626" s="64"/>
      <c r="R1626" s="64"/>
      <c r="S1626" s="64"/>
      <c r="T1626" s="64"/>
      <c r="U1626" s="64"/>
      <c r="V1626" s="64"/>
      <c r="W1626" s="64"/>
      <c r="X1626" s="64"/>
      <c r="Y1626" s="64"/>
      <c r="Z1626" s="64"/>
      <c r="AA1626" s="64"/>
      <c r="AB1626" s="64"/>
      <c r="AC1626" s="64"/>
      <c r="AD1626" s="64"/>
      <c r="AE1626" s="64"/>
      <c r="AF1626" s="64"/>
      <c r="AG1626" s="64"/>
      <c r="AH1626" s="64"/>
      <c r="AI1626" s="64"/>
      <c r="AJ1626" s="64"/>
      <c r="AK1626" s="64"/>
      <c r="AL1626" s="64"/>
      <c r="AM1626" s="169"/>
      <c r="AN1626" s="169"/>
      <c r="AO1626" s="169"/>
      <c r="AP1626" s="169"/>
      <c r="AQ1626" s="169"/>
      <c r="AR1626" s="169"/>
      <c r="AS1626" s="169"/>
      <c r="AT1626" s="169"/>
    </row>
    <row r="1627" spans="10:46">
      <c r="J1627" s="64"/>
      <c r="K1627" s="64"/>
      <c r="L1627" s="64"/>
      <c r="M1627" s="64"/>
      <c r="N1627" s="64"/>
      <c r="O1627" s="64"/>
      <c r="P1627" s="64"/>
      <c r="Q1627" s="64"/>
      <c r="R1627" s="64"/>
      <c r="S1627" s="64"/>
      <c r="T1627" s="64"/>
      <c r="U1627" s="64"/>
      <c r="V1627" s="64"/>
      <c r="W1627" s="64"/>
      <c r="X1627" s="64"/>
      <c r="Y1627" s="64"/>
      <c r="Z1627" s="64"/>
      <c r="AA1627" s="64"/>
      <c r="AB1627" s="64"/>
      <c r="AC1627" s="64"/>
      <c r="AD1627" s="64"/>
      <c r="AE1627" s="64"/>
      <c r="AF1627" s="64"/>
      <c r="AG1627" s="64"/>
      <c r="AH1627" s="64"/>
      <c r="AI1627" s="64"/>
      <c r="AJ1627" s="64"/>
      <c r="AK1627" s="64"/>
      <c r="AL1627" s="64"/>
      <c r="AM1627" s="169"/>
      <c r="AN1627" s="169"/>
      <c r="AO1627" s="169"/>
      <c r="AP1627" s="169"/>
      <c r="AQ1627" s="169"/>
      <c r="AR1627" s="169"/>
      <c r="AS1627" s="169"/>
      <c r="AT1627" s="169"/>
    </row>
    <row r="1628" spans="10:46">
      <c r="J1628" s="64"/>
      <c r="K1628" s="64"/>
      <c r="L1628" s="64"/>
      <c r="M1628" s="64"/>
      <c r="N1628" s="64"/>
      <c r="O1628" s="64"/>
      <c r="P1628" s="64"/>
      <c r="Q1628" s="64"/>
      <c r="R1628" s="64"/>
      <c r="S1628" s="64"/>
      <c r="T1628" s="64"/>
      <c r="U1628" s="64"/>
      <c r="V1628" s="64"/>
      <c r="W1628" s="64"/>
      <c r="X1628" s="64"/>
      <c r="Y1628" s="64"/>
      <c r="Z1628" s="64"/>
      <c r="AA1628" s="64"/>
      <c r="AB1628" s="64"/>
      <c r="AC1628" s="64"/>
      <c r="AD1628" s="64"/>
      <c r="AE1628" s="64"/>
      <c r="AF1628" s="64"/>
      <c r="AG1628" s="64"/>
      <c r="AH1628" s="64"/>
      <c r="AI1628" s="64"/>
      <c r="AJ1628" s="64"/>
      <c r="AK1628" s="64"/>
      <c r="AL1628" s="64"/>
      <c r="AM1628" s="169"/>
      <c r="AN1628" s="169"/>
      <c r="AO1628" s="169"/>
      <c r="AP1628" s="169"/>
      <c r="AQ1628" s="169"/>
      <c r="AR1628" s="169"/>
      <c r="AS1628" s="169"/>
      <c r="AT1628" s="169"/>
    </row>
    <row r="1629" spans="10:46">
      <c r="J1629" s="64"/>
      <c r="K1629" s="64"/>
      <c r="L1629" s="64"/>
      <c r="M1629" s="64"/>
      <c r="N1629" s="64"/>
      <c r="O1629" s="64"/>
      <c r="P1629" s="64"/>
      <c r="Q1629" s="64"/>
      <c r="R1629" s="64"/>
      <c r="S1629" s="64"/>
      <c r="T1629" s="64"/>
      <c r="U1629" s="64"/>
      <c r="V1629" s="64"/>
      <c r="W1629" s="64"/>
      <c r="X1629" s="64"/>
      <c r="Y1629" s="64"/>
      <c r="Z1629" s="64"/>
      <c r="AA1629" s="64"/>
      <c r="AB1629" s="64"/>
      <c r="AC1629" s="64"/>
      <c r="AD1629" s="64"/>
      <c r="AE1629" s="64"/>
      <c r="AF1629" s="64"/>
      <c r="AG1629" s="64"/>
      <c r="AH1629" s="64"/>
      <c r="AI1629" s="64"/>
      <c r="AJ1629" s="64"/>
      <c r="AK1629" s="64"/>
      <c r="AL1629" s="64"/>
      <c r="AM1629" s="169"/>
      <c r="AN1629" s="169"/>
      <c r="AO1629" s="169"/>
      <c r="AP1629" s="169"/>
      <c r="AQ1629" s="169"/>
      <c r="AR1629" s="169"/>
      <c r="AS1629" s="169"/>
      <c r="AT1629" s="169"/>
    </row>
    <row r="1630" spans="10:46">
      <c r="J1630" s="64"/>
      <c r="K1630" s="64"/>
      <c r="L1630" s="64"/>
      <c r="M1630" s="64"/>
      <c r="N1630" s="64"/>
      <c r="O1630" s="64"/>
      <c r="P1630" s="64"/>
      <c r="Q1630" s="64"/>
      <c r="R1630" s="64"/>
      <c r="S1630" s="64"/>
      <c r="T1630" s="64"/>
      <c r="U1630" s="64"/>
      <c r="V1630" s="64"/>
      <c r="W1630" s="64"/>
      <c r="X1630" s="64"/>
      <c r="Y1630" s="64"/>
      <c r="Z1630" s="64"/>
      <c r="AA1630" s="64"/>
      <c r="AB1630" s="64"/>
      <c r="AC1630" s="64"/>
      <c r="AD1630" s="64"/>
      <c r="AE1630" s="64"/>
      <c r="AF1630" s="64"/>
      <c r="AG1630" s="64"/>
      <c r="AH1630" s="64"/>
      <c r="AI1630" s="64"/>
      <c r="AJ1630" s="64"/>
      <c r="AK1630" s="64"/>
      <c r="AL1630" s="64"/>
      <c r="AM1630" s="169"/>
      <c r="AN1630" s="169"/>
      <c r="AO1630" s="169"/>
      <c r="AP1630" s="169"/>
      <c r="AQ1630" s="169"/>
      <c r="AR1630" s="169"/>
      <c r="AS1630" s="169"/>
      <c r="AT1630" s="169"/>
    </row>
    <row r="1631" spans="10:46">
      <c r="J1631" s="64"/>
      <c r="K1631" s="64"/>
      <c r="L1631" s="64"/>
      <c r="M1631" s="64"/>
      <c r="N1631" s="64"/>
      <c r="O1631" s="64"/>
      <c r="P1631" s="64"/>
      <c r="Q1631" s="64"/>
      <c r="R1631" s="64"/>
      <c r="S1631" s="64"/>
      <c r="T1631" s="64"/>
      <c r="U1631" s="64"/>
      <c r="V1631" s="64"/>
      <c r="W1631" s="64"/>
      <c r="X1631" s="64"/>
      <c r="Y1631" s="64"/>
      <c r="Z1631" s="64"/>
      <c r="AA1631" s="64"/>
      <c r="AB1631" s="64"/>
      <c r="AC1631" s="64"/>
      <c r="AD1631" s="64"/>
      <c r="AE1631" s="64"/>
      <c r="AF1631" s="64"/>
      <c r="AG1631" s="64"/>
      <c r="AH1631" s="64"/>
      <c r="AI1631" s="64"/>
      <c r="AJ1631" s="64"/>
      <c r="AK1631" s="64"/>
      <c r="AL1631" s="64"/>
      <c r="AM1631" s="169"/>
      <c r="AN1631" s="169"/>
      <c r="AO1631" s="169"/>
      <c r="AP1631" s="169"/>
      <c r="AQ1631" s="169"/>
      <c r="AR1631" s="169"/>
      <c r="AS1631" s="169"/>
      <c r="AT1631" s="169"/>
    </row>
    <row r="1632" spans="10:46">
      <c r="J1632" s="64"/>
      <c r="K1632" s="64"/>
      <c r="L1632" s="64"/>
      <c r="M1632" s="64"/>
      <c r="N1632" s="64"/>
      <c r="O1632" s="64"/>
      <c r="P1632" s="64"/>
      <c r="Q1632" s="64"/>
      <c r="R1632" s="64"/>
      <c r="S1632" s="64"/>
      <c r="T1632" s="64"/>
      <c r="U1632" s="64"/>
      <c r="V1632" s="64"/>
      <c r="W1632" s="64"/>
      <c r="X1632" s="64"/>
      <c r="Y1632" s="64"/>
      <c r="Z1632" s="64"/>
      <c r="AA1632" s="64"/>
      <c r="AB1632" s="64"/>
      <c r="AC1632" s="64"/>
      <c r="AD1632" s="64"/>
      <c r="AE1632" s="64"/>
      <c r="AF1632" s="64"/>
      <c r="AG1632" s="64"/>
      <c r="AH1632" s="64"/>
      <c r="AI1632" s="64"/>
      <c r="AJ1632" s="64"/>
      <c r="AK1632" s="64"/>
      <c r="AL1632" s="64"/>
      <c r="AM1632" s="169"/>
      <c r="AN1632" s="169"/>
      <c r="AO1632" s="169"/>
      <c r="AP1632" s="169"/>
      <c r="AQ1632" s="169"/>
      <c r="AR1632" s="169"/>
      <c r="AS1632" s="169"/>
      <c r="AT1632" s="169"/>
    </row>
    <row r="1633" spans="10:46">
      <c r="J1633" s="64"/>
      <c r="K1633" s="64"/>
      <c r="L1633" s="64"/>
      <c r="M1633" s="64"/>
      <c r="N1633" s="64"/>
      <c r="O1633" s="64"/>
      <c r="P1633" s="64"/>
      <c r="Q1633" s="64"/>
      <c r="R1633" s="64"/>
      <c r="S1633" s="64"/>
      <c r="T1633" s="64"/>
      <c r="U1633" s="64"/>
      <c r="V1633" s="64"/>
      <c r="W1633" s="64"/>
      <c r="X1633" s="64"/>
      <c r="Y1633" s="64"/>
      <c r="Z1633" s="64"/>
      <c r="AA1633" s="64"/>
      <c r="AB1633" s="64"/>
      <c r="AC1633" s="64"/>
      <c r="AD1633" s="64"/>
      <c r="AE1633" s="64"/>
      <c r="AF1633" s="64"/>
      <c r="AG1633" s="64"/>
      <c r="AH1633" s="64"/>
      <c r="AI1633" s="64"/>
      <c r="AJ1633" s="64"/>
      <c r="AK1633" s="64"/>
      <c r="AL1633" s="64"/>
      <c r="AM1633" s="169"/>
      <c r="AN1633" s="169"/>
      <c r="AO1633" s="169"/>
      <c r="AP1633" s="169"/>
      <c r="AQ1633" s="169"/>
      <c r="AR1633" s="169"/>
      <c r="AS1633" s="169"/>
      <c r="AT1633" s="169"/>
    </row>
    <row r="1634" spans="10:46">
      <c r="J1634" s="64"/>
      <c r="K1634" s="64"/>
      <c r="L1634" s="64"/>
      <c r="M1634" s="64"/>
      <c r="N1634" s="64"/>
      <c r="O1634" s="64"/>
      <c r="P1634" s="64"/>
      <c r="Q1634" s="64"/>
      <c r="R1634" s="64"/>
      <c r="S1634" s="64"/>
      <c r="T1634" s="64"/>
      <c r="U1634" s="64"/>
      <c r="V1634" s="64"/>
      <c r="W1634" s="64"/>
      <c r="X1634" s="64"/>
      <c r="Y1634" s="64"/>
      <c r="Z1634" s="64"/>
      <c r="AA1634" s="64"/>
      <c r="AB1634" s="64"/>
      <c r="AC1634" s="64"/>
      <c r="AD1634" s="64"/>
      <c r="AE1634" s="64"/>
      <c r="AF1634" s="64"/>
      <c r="AG1634" s="64"/>
      <c r="AH1634" s="64"/>
      <c r="AI1634" s="64"/>
      <c r="AJ1634" s="64"/>
      <c r="AK1634" s="64"/>
      <c r="AL1634" s="64"/>
      <c r="AM1634" s="169"/>
      <c r="AN1634" s="169"/>
      <c r="AO1634" s="169"/>
      <c r="AP1634" s="169"/>
      <c r="AQ1634" s="169"/>
      <c r="AR1634" s="169"/>
      <c r="AS1634" s="169"/>
      <c r="AT1634" s="169"/>
    </row>
    <row r="1635" spans="10:46">
      <c r="J1635" s="64"/>
      <c r="K1635" s="64"/>
      <c r="L1635" s="64"/>
      <c r="M1635" s="64"/>
      <c r="N1635" s="64"/>
      <c r="O1635" s="64"/>
      <c r="P1635" s="64"/>
      <c r="Q1635" s="64"/>
      <c r="R1635" s="64"/>
      <c r="S1635" s="64"/>
      <c r="T1635" s="64"/>
      <c r="U1635" s="64"/>
      <c r="V1635" s="64"/>
      <c r="W1635" s="64"/>
      <c r="X1635" s="64"/>
      <c r="Y1635" s="64"/>
      <c r="Z1635" s="64"/>
      <c r="AA1635" s="64"/>
      <c r="AB1635" s="64"/>
      <c r="AC1635" s="64"/>
      <c r="AD1635" s="64"/>
      <c r="AE1635" s="64"/>
      <c r="AF1635" s="64"/>
      <c r="AG1635" s="64"/>
      <c r="AH1635" s="64"/>
      <c r="AI1635" s="64"/>
      <c r="AJ1635" s="64"/>
      <c r="AK1635" s="64"/>
      <c r="AL1635" s="64"/>
      <c r="AM1635" s="169"/>
      <c r="AN1635" s="169"/>
      <c r="AO1635" s="169"/>
      <c r="AP1635" s="169"/>
      <c r="AQ1635" s="169"/>
      <c r="AR1635" s="169"/>
      <c r="AS1635" s="169"/>
      <c r="AT1635" s="169"/>
    </row>
    <row r="1636" spans="10:46">
      <c r="J1636" s="64"/>
      <c r="K1636" s="64"/>
      <c r="L1636" s="64"/>
      <c r="M1636" s="64"/>
      <c r="N1636" s="64"/>
      <c r="O1636" s="64"/>
      <c r="P1636" s="64"/>
      <c r="Q1636" s="64"/>
      <c r="R1636" s="64"/>
      <c r="S1636" s="64"/>
      <c r="T1636" s="64"/>
      <c r="U1636" s="64"/>
      <c r="V1636" s="64"/>
      <c r="W1636" s="64"/>
      <c r="X1636" s="64"/>
      <c r="Y1636" s="64"/>
      <c r="Z1636" s="64"/>
      <c r="AA1636" s="64"/>
      <c r="AB1636" s="64"/>
      <c r="AC1636" s="64"/>
      <c r="AD1636" s="64"/>
      <c r="AE1636" s="64"/>
      <c r="AF1636" s="64"/>
      <c r="AG1636" s="64"/>
      <c r="AH1636" s="64"/>
      <c r="AI1636" s="64"/>
      <c r="AJ1636" s="64"/>
      <c r="AK1636" s="64"/>
      <c r="AL1636" s="64"/>
      <c r="AM1636" s="169"/>
      <c r="AN1636" s="169"/>
      <c r="AO1636" s="169"/>
      <c r="AP1636" s="169"/>
      <c r="AQ1636" s="169"/>
      <c r="AR1636" s="169"/>
      <c r="AS1636" s="169"/>
      <c r="AT1636" s="169"/>
    </row>
    <row r="1637" spans="10:46">
      <c r="J1637" s="64"/>
      <c r="K1637" s="64"/>
      <c r="L1637" s="64"/>
      <c r="M1637" s="64"/>
      <c r="N1637" s="64"/>
      <c r="O1637" s="64"/>
      <c r="P1637" s="64"/>
      <c r="Q1637" s="64"/>
      <c r="R1637" s="64"/>
      <c r="S1637" s="64"/>
      <c r="T1637" s="64"/>
      <c r="U1637" s="64"/>
      <c r="V1637" s="64"/>
      <c r="W1637" s="64"/>
      <c r="X1637" s="64"/>
      <c r="Y1637" s="64"/>
      <c r="Z1637" s="64"/>
      <c r="AA1637" s="64"/>
      <c r="AB1637" s="64"/>
      <c r="AC1637" s="64"/>
      <c r="AD1637" s="64"/>
      <c r="AE1637" s="64"/>
      <c r="AF1637" s="64"/>
      <c r="AG1637" s="64"/>
      <c r="AH1637" s="64"/>
      <c r="AI1637" s="64"/>
      <c r="AJ1637" s="64"/>
      <c r="AK1637" s="64"/>
      <c r="AL1637" s="64"/>
      <c r="AM1637" s="169"/>
      <c r="AN1637" s="169"/>
      <c r="AO1637" s="169"/>
      <c r="AP1637" s="169"/>
      <c r="AQ1637" s="169"/>
      <c r="AR1637" s="169"/>
      <c r="AS1637" s="169"/>
      <c r="AT1637" s="169"/>
    </row>
    <row r="1638" spans="10:46">
      <c r="J1638" s="64"/>
      <c r="K1638" s="64"/>
      <c r="L1638" s="64"/>
      <c r="M1638" s="64"/>
      <c r="N1638" s="64"/>
      <c r="O1638" s="64"/>
      <c r="P1638" s="64"/>
      <c r="Q1638" s="64"/>
      <c r="R1638" s="64"/>
      <c r="S1638" s="64"/>
      <c r="T1638" s="64"/>
      <c r="U1638" s="64"/>
      <c r="V1638" s="64"/>
      <c r="W1638" s="64"/>
      <c r="X1638" s="64"/>
      <c r="Y1638" s="64"/>
      <c r="Z1638" s="64"/>
      <c r="AA1638" s="64"/>
      <c r="AB1638" s="64"/>
      <c r="AC1638" s="64"/>
      <c r="AD1638" s="64"/>
      <c r="AE1638" s="64"/>
      <c r="AF1638" s="64"/>
      <c r="AG1638" s="64"/>
      <c r="AH1638" s="64"/>
      <c r="AI1638" s="64"/>
      <c r="AJ1638" s="64"/>
      <c r="AK1638" s="64"/>
      <c r="AL1638" s="64"/>
      <c r="AM1638" s="169"/>
      <c r="AN1638" s="169"/>
      <c r="AO1638" s="169"/>
      <c r="AP1638" s="169"/>
      <c r="AQ1638" s="169"/>
      <c r="AR1638" s="169"/>
      <c r="AS1638" s="169"/>
      <c r="AT1638" s="169"/>
    </row>
    <row r="1639" spans="10:46">
      <c r="J1639" s="64"/>
      <c r="K1639" s="64"/>
      <c r="L1639" s="64"/>
      <c r="M1639" s="64"/>
      <c r="N1639" s="64"/>
      <c r="O1639" s="64"/>
      <c r="P1639" s="64"/>
      <c r="Q1639" s="64"/>
      <c r="R1639" s="64"/>
      <c r="S1639" s="64"/>
      <c r="T1639" s="64"/>
      <c r="U1639" s="64"/>
      <c r="V1639" s="64"/>
      <c r="W1639" s="64"/>
      <c r="X1639" s="64"/>
      <c r="Y1639" s="64"/>
      <c r="Z1639" s="64"/>
      <c r="AA1639" s="64"/>
      <c r="AB1639" s="64"/>
      <c r="AC1639" s="64"/>
      <c r="AD1639" s="64"/>
      <c r="AE1639" s="64"/>
      <c r="AF1639" s="64"/>
      <c r="AG1639" s="64"/>
      <c r="AH1639" s="64"/>
      <c r="AI1639" s="64"/>
      <c r="AJ1639" s="64"/>
      <c r="AK1639" s="64"/>
      <c r="AL1639" s="64"/>
      <c r="AM1639" s="169"/>
      <c r="AN1639" s="169"/>
      <c r="AO1639" s="169"/>
      <c r="AP1639" s="169"/>
      <c r="AQ1639" s="169"/>
      <c r="AR1639" s="169"/>
      <c r="AS1639" s="169"/>
      <c r="AT1639" s="169"/>
    </row>
    <row r="1640" spans="10:46">
      <c r="J1640" s="64"/>
      <c r="K1640" s="64"/>
      <c r="L1640" s="64"/>
      <c r="M1640" s="64"/>
      <c r="N1640" s="64"/>
      <c r="O1640" s="64"/>
      <c r="P1640" s="64"/>
      <c r="Q1640" s="64"/>
      <c r="R1640" s="64"/>
      <c r="S1640" s="64"/>
      <c r="T1640" s="64"/>
      <c r="U1640" s="64"/>
      <c r="V1640" s="64"/>
      <c r="W1640" s="64"/>
      <c r="X1640" s="64"/>
      <c r="Y1640" s="64"/>
      <c r="Z1640" s="64"/>
      <c r="AA1640" s="64"/>
      <c r="AB1640" s="64"/>
      <c r="AC1640" s="64"/>
      <c r="AD1640" s="64"/>
      <c r="AE1640" s="64"/>
      <c r="AF1640" s="64"/>
      <c r="AG1640" s="64"/>
      <c r="AH1640" s="64"/>
      <c r="AI1640" s="64"/>
      <c r="AJ1640" s="64"/>
      <c r="AK1640" s="64"/>
      <c r="AL1640" s="64"/>
      <c r="AM1640" s="169"/>
      <c r="AN1640" s="169"/>
      <c r="AO1640" s="169"/>
      <c r="AP1640" s="169"/>
      <c r="AQ1640" s="169"/>
      <c r="AR1640" s="169"/>
      <c r="AS1640" s="169"/>
      <c r="AT1640" s="169"/>
    </row>
    <row r="1641" spans="10:46">
      <c r="J1641" s="64"/>
      <c r="K1641" s="64"/>
      <c r="L1641" s="64"/>
      <c r="M1641" s="64"/>
      <c r="N1641" s="64"/>
      <c r="O1641" s="64"/>
      <c r="P1641" s="64"/>
      <c r="Q1641" s="64"/>
      <c r="R1641" s="64"/>
      <c r="S1641" s="64"/>
      <c r="T1641" s="64"/>
      <c r="U1641" s="64"/>
      <c r="V1641" s="64"/>
      <c r="W1641" s="64"/>
      <c r="X1641" s="64"/>
      <c r="Y1641" s="64"/>
      <c r="Z1641" s="64"/>
      <c r="AA1641" s="64"/>
      <c r="AB1641" s="64"/>
      <c r="AC1641" s="64"/>
      <c r="AD1641" s="64"/>
      <c r="AE1641" s="64"/>
      <c r="AF1641" s="64"/>
      <c r="AG1641" s="64"/>
      <c r="AH1641" s="64"/>
      <c r="AI1641" s="64"/>
      <c r="AJ1641" s="64"/>
      <c r="AK1641" s="64"/>
      <c r="AL1641" s="64"/>
      <c r="AM1641" s="169"/>
      <c r="AN1641" s="169"/>
      <c r="AO1641" s="169"/>
      <c r="AP1641" s="169"/>
      <c r="AQ1641" s="169"/>
      <c r="AR1641" s="169"/>
      <c r="AS1641" s="169"/>
      <c r="AT1641" s="169"/>
    </row>
    <row r="1642" spans="10:46">
      <c r="J1642" s="64"/>
      <c r="K1642" s="64"/>
      <c r="L1642" s="64"/>
      <c r="M1642" s="64"/>
      <c r="N1642" s="64"/>
      <c r="O1642" s="64"/>
      <c r="P1642" s="64"/>
      <c r="Q1642" s="64"/>
      <c r="R1642" s="64"/>
      <c r="S1642" s="64"/>
      <c r="T1642" s="64"/>
      <c r="U1642" s="64"/>
      <c r="V1642" s="64"/>
      <c r="W1642" s="64"/>
      <c r="X1642" s="64"/>
      <c r="Y1642" s="64"/>
      <c r="Z1642" s="64"/>
      <c r="AA1642" s="64"/>
      <c r="AB1642" s="64"/>
      <c r="AC1642" s="64"/>
      <c r="AD1642" s="64"/>
      <c r="AE1642" s="64"/>
      <c r="AF1642" s="64"/>
      <c r="AG1642" s="64"/>
      <c r="AH1642" s="64"/>
      <c r="AI1642" s="64"/>
      <c r="AJ1642" s="64"/>
      <c r="AK1642" s="64"/>
      <c r="AL1642" s="64"/>
      <c r="AM1642" s="169"/>
      <c r="AN1642" s="169"/>
      <c r="AO1642" s="169"/>
      <c r="AP1642" s="169"/>
      <c r="AQ1642" s="169"/>
      <c r="AR1642" s="169"/>
      <c r="AS1642" s="169"/>
      <c r="AT1642" s="169"/>
    </row>
    <row r="1643" spans="10:46">
      <c r="J1643" s="64"/>
      <c r="K1643" s="64"/>
      <c r="L1643" s="64"/>
      <c r="M1643" s="64"/>
      <c r="N1643" s="64"/>
      <c r="O1643" s="64"/>
      <c r="P1643" s="64"/>
      <c r="Q1643" s="64"/>
      <c r="R1643" s="64"/>
      <c r="S1643" s="64"/>
      <c r="T1643" s="64"/>
      <c r="U1643" s="64"/>
      <c r="V1643" s="64"/>
      <c r="W1643" s="64"/>
      <c r="X1643" s="64"/>
      <c r="Y1643" s="64"/>
      <c r="Z1643" s="64"/>
      <c r="AA1643" s="64"/>
      <c r="AB1643" s="64"/>
      <c r="AC1643" s="64"/>
      <c r="AD1643" s="64"/>
      <c r="AE1643" s="64"/>
      <c r="AF1643" s="64"/>
      <c r="AG1643" s="64"/>
      <c r="AH1643" s="64"/>
      <c r="AI1643" s="64"/>
      <c r="AJ1643" s="64"/>
      <c r="AK1643" s="64"/>
      <c r="AL1643" s="64"/>
      <c r="AM1643" s="169"/>
      <c r="AN1643" s="169"/>
      <c r="AO1643" s="169"/>
      <c r="AP1643" s="169"/>
      <c r="AQ1643" s="169"/>
      <c r="AR1643" s="169"/>
      <c r="AS1643" s="169"/>
      <c r="AT1643" s="169"/>
    </row>
    <row r="1644" spans="10:46">
      <c r="J1644" s="64"/>
      <c r="K1644" s="64"/>
      <c r="L1644" s="64"/>
      <c r="M1644" s="64"/>
      <c r="N1644" s="64"/>
      <c r="O1644" s="64"/>
      <c r="P1644" s="64"/>
      <c r="Q1644" s="64"/>
      <c r="R1644" s="64"/>
      <c r="S1644" s="64"/>
      <c r="T1644" s="64"/>
      <c r="U1644" s="64"/>
      <c r="V1644" s="64"/>
      <c r="W1644" s="64"/>
      <c r="X1644" s="64"/>
      <c r="Y1644" s="64"/>
      <c r="Z1644" s="64"/>
      <c r="AA1644" s="64"/>
      <c r="AB1644" s="64"/>
      <c r="AC1644" s="64"/>
      <c r="AD1644" s="64"/>
      <c r="AE1644" s="64"/>
      <c r="AF1644" s="64"/>
      <c r="AG1644" s="64"/>
      <c r="AH1644" s="64"/>
      <c r="AI1644" s="64"/>
      <c r="AJ1644" s="64"/>
      <c r="AK1644" s="64"/>
      <c r="AL1644" s="64"/>
      <c r="AM1644" s="169"/>
      <c r="AN1644" s="169"/>
      <c r="AO1644" s="169"/>
      <c r="AP1644" s="169"/>
      <c r="AQ1644" s="169"/>
      <c r="AR1644" s="169"/>
      <c r="AS1644" s="169"/>
      <c r="AT1644" s="169"/>
    </row>
    <row r="1645" spans="10:46">
      <c r="J1645" s="64"/>
      <c r="K1645" s="64"/>
      <c r="L1645" s="64"/>
      <c r="M1645" s="64"/>
      <c r="N1645" s="64"/>
      <c r="O1645" s="64"/>
      <c r="P1645" s="64"/>
      <c r="Q1645" s="64"/>
      <c r="R1645" s="64"/>
      <c r="S1645" s="64"/>
      <c r="T1645" s="64"/>
      <c r="U1645" s="64"/>
      <c r="V1645" s="64"/>
      <c r="W1645" s="64"/>
      <c r="X1645" s="64"/>
      <c r="Y1645" s="64"/>
      <c r="Z1645" s="64"/>
      <c r="AA1645" s="64"/>
      <c r="AB1645" s="64"/>
      <c r="AC1645" s="64"/>
      <c r="AD1645" s="64"/>
      <c r="AE1645" s="64"/>
      <c r="AF1645" s="64"/>
      <c r="AG1645" s="64"/>
      <c r="AH1645" s="64"/>
      <c r="AI1645" s="64"/>
      <c r="AJ1645" s="64"/>
      <c r="AK1645" s="64"/>
      <c r="AL1645" s="64"/>
      <c r="AM1645" s="169"/>
      <c r="AN1645" s="169"/>
      <c r="AO1645" s="169"/>
      <c r="AP1645" s="169"/>
      <c r="AQ1645" s="169"/>
      <c r="AR1645" s="169"/>
      <c r="AS1645" s="169"/>
      <c r="AT1645" s="169"/>
    </row>
    <row r="1646" spans="10:46">
      <c r="J1646" s="64"/>
      <c r="K1646" s="64"/>
      <c r="L1646" s="64"/>
      <c r="M1646" s="64"/>
      <c r="N1646" s="64"/>
      <c r="O1646" s="64"/>
      <c r="P1646" s="64"/>
      <c r="Q1646" s="64"/>
      <c r="R1646" s="64"/>
      <c r="S1646" s="64"/>
      <c r="T1646" s="64"/>
      <c r="U1646" s="64"/>
      <c r="V1646" s="64"/>
      <c r="W1646" s="64"/>
      <c r="X1646" s="64"/>
      <c r="Y1646" s="64"/>
      <c r="Z1646" s="64"/>
      <c r="AA1646" s="64"/>
      <c r="AB1646" s="64"/>
      <c r="AC1646" s="64"/>
      <c r="AD1646" s="64"/>
      <c r="AE1646" s="64"/>
      <c r="AF1646" s="64"/>
      <c r="AG1646" s="64"/>
      <c r="AH1646" s="64"/>
      <c r="AI1646" s="64"/>
      <c r="AJ1646" s="64"/>
      <c r="AK1646" s="64"/>
      <c r="AL1646" s="64"/>
      <c r="AM1646" s="169"/>
      <c r="AN1646" s="169"/>
      <c r="AO1646" s="169"/>
      <c r="AP1646" s="169"/>
      <c r="AQ1646" s="169"/>
      <c r="AR1646" s="169"/>
      <c r="AS1646" s="169"/>
      <c r="AT1646" s="169"/>
    </row>
    <row r="1647" spans="10:46">
      <c r="J1647" s="64"/>
      <c r="K1647" s="64"/>
      <c r="L1647" s="64"/>
      <c r="M1647" s="64"/>
      <c r="N1647" s="64"/>
      <c r="O1647" s="64"/>
      <c r="P1647" s="64"/>
      <c r="Q1647" s="64"/>
      <c r="R1647" s="64"/>
      <c r="S1647" s="64"/>
      <c r="T1647" s="64"/>
      <c r="U1647" s="64"/>
      <c r="V1647" s="64"/>
      <c r="W1647" s="64"/>
      <c r="X1647" s="64"/>
      <c r="Y1647" s="64"/>
      <c r="Z1647" s="64"/>
      <c r="AA1647" s="64"/>
      <c r="AB1647" s="64"/>
      <c r="AC1647" s="64"/>
      <c r="AD1647" s="64"/>
      <c r="AE1647" s="64"/>
      <c r="AF1647" s="64"/>
      <c r="AG1647" s="64"/>
      <c r="AH1647" s="64"/>
      <c r="AI1647" s="64"/>
      <c r="AJ1647" s="64"/>
      <c r="AK1647" s="64"/>
      <c r="AL1647" s="64"/>
      <c r="AM1647" s="169"/>
      <c r="AN1647" s="169"/>
      <c r="AO1647" s="169"/>
      <c r="AP1647" s="169"/>
      <c r="AQ1647" s="169"/>
      <c r="AR1647" s="169"/>
      <c r="AS1647" s="169"/>
      <c r="AT1647" s="169"/>
    </row>
    <row r="1648" spans="10:46">
      <c r="J1648" s="64"/>
      <c r="K1648" s="64"/>
      <c r="L1648" s="64"/>
      <c r="M1648" s="64"/>
      <c r="N1648" s="64"/>
      <c r="O1648" s="64"/>
      <c r="P1648" s="64"/>
      <c r="Q1648" s="64"/>
      <c r="R1648" s="64"/>
      <c r="S1648" s="64"/>
      <c r="T1648" s="64"/>
      <c r="U1648" s="64"/>
      <c r="V1648" s="64"/>
      <c r="W1648" s="64"/>
      <c r="X1648" s="64"/>
      <c r="Y1648" s="64"/>
      <c r="Z1648" s="64"/>
      <c r="AA1648" s="64"/>
      <c r="AB1648" s="64"/>
      <c r="AC1648" s="64"/>
      <c r="AD1648" s="64"/>
      <c r="AE1648" s="64"/>
      <c r="AF1648" s="64"/>
      <c r="AG1648" s="64"/>
      <c r="AH1648" s="64"/>
      <c r="AI1648" s="64"/>
      <c r="AJ1648" s="64"/>
      <c r="AK1648" s="64"/>
      <c r="AL1648" s="64"/>
      <c r="AM1648" s="169"/>
      <c r="AN1648" s="169"/>
      <c r="AO1648" s="169"/>
      <c r="AP1648" s="169"/>
      <c r="AQ1648" s="169"/>
      <c r="AR1648" s="169"/>
      <c r="AS1648" s="169"/>
      <c r="AT1648" s="169"/>
    </row>
    <row r="1649" spans="10:46">
      <c r="J1649" s="64"/>
      <c r="K1649" s="64"/>
      <c r="L1649" s="64"/>
      <c r="M1649" s="64"/>
      <c r="N1649" s="64"/>
      <c r="O1649" s="64"/>
      <c r="P1649" s="64"/>
      <c r="Q1649" s="64"/>
      <c r="R1649" s="64"/>
      <c r="S1649" s="64"/>
      <c r="T1649" s="64"/>
      <c r="U1649" s="64"/>
      <c r="V1649" s="64"/>
      <c r="W1649" s="64"/>
      <c r="X1649" s="64"/>
      <c r="Y1649" s="64"/>
      <c r="Z1649" s="64"/>
      <c r="AA1649" s="64"/>
      <c r="AB1649" s="64"/>
      <c r="AC1649" s="64"/>
      <c r="AD1649" s="64"/>
      <c r="AE1649" s="64"/>
      <c r="AF1649" s="64"/>
      <c r="AG1649" s="64"/>
      <c r="AH1649" s="64"/>
      <c r="AI1649" s="64"/>
      <c r="AJ1649" s="64"/>
      <c r="AK1649" s="64"/>
      <c r="AL1649" s="64"/>
      <c r="AM1649" s="169"/>
      <c r="AN1649" s="169"/>
      <c r="AO1649" s="169"/>
      <c r="AP1649" s="169"/>
      <c r="AQ1649" s="169"/>
      <c r="AR1649" s="169"/>
      <c r="AS1649" s="169"/>
      <c r="AT1649" s="169"/>
    </row>
    <row r="1650" spans="10:46">
      <c r="J1650" s="64"/>
      <c r="K1650" s="64"/>
      <c r="L1650" s="64"/>
      <c r="M1650" s="64"/>
      <c r="N1650" s="64"/>
      <c r="O1650" s="64"/>
      <c r="P1650" s="64"/>
      <c r="Q1650" s="64"/>
      <c r="R1650" s="64"/>
      <c r="S1650" s="64"/>
      <c r="T1650" s="64"/>
      <c r="U1650" s="64"/>
      <c r="V1650" s="64"/>
      <c r="W1650" s="64"/>
      <c r="X1650" s="64"/>
      <c r="Y1650" s="64"/>
      <c r="Z1650" s="64"/>
      <c r="AA1650" s="64"/>
      <c r="AB1650" s="64"/>
      <c r="AC1650" s="64"/>
      <c r="AD1650" s="64"/>
      <c r="AE1650" s="64"/>
      <c r="AF1650" s="64"/>
      <c r="AG1650" s="64"/>
      <c r="AH1650" s="64"/>
      <c r="AI1650" s="64"/>
      <c r="AJ1650" s="64"/>
      <c r="AK1650" s="64"/>
      <c r="AL1650" s="64"/>
      <c r="AM1650" s="169"/>
      <c r="AN1650" s="169"/>
      <c r="AO1650" s="169"/>
      <c r="AP1650" s="169"/>
      <c r="AQ1650" s="169"/>
      <c r="AR1650" s="169"/>
      <c r="AS1650" s="169"/>
      <c r="AT1650" s="169"/>
    </row>
    <row r="1651" spans="10:46">
      <c r="J1651" s="64"/>
      <c r="K1651" s="64"/>
      <c r="L1651" s="64"/>
      <c r="M1651" s="64"/>
      <c r="N1651" s="64"/>
      <c r="O1651" s="64"/>
      <c r="P1651" s="64"/>
      <c r="Q1651" s="64"/>
      <c r="R1651" s="64"/>
      <c r="S1651" s="64"/>
      <c r="T1651" s="64"/>
      <c r="U1651" s="64"/>
      <c r="V1651" s="64"/>
      <c r="W1651" s="64"/>
      <c r="X1651" s="64"/>
      <c r="Y1651" s="64"/>
      <c r="Z1651" s="64"/>
      <c r="AA1651" s="64"/>
      <c r="AB1651" s="64"/>
      <c r="AC1651" s="64"/>
      <c r="AD1651" s="64"/>
      <c r="AE1651" s="64"/>
      <c r="AF1651" s="64"/>
      <c r="AG1651" s="64"/>
      <c r="AH1651" s="64"/>
      <c r="AI1651" s="64"/>
      <c r="AJ1651" s="64"/>
      <c r="AK1651" s="64"/>
      <c r="AL1651" s="64"/>
      <c r="AM1651" s="169"/>
      <c r="AN1651" s="169"/>
      <c r="AO1651" s="169"/>
      <c r="AP1651" s="169"/>
      <c r="AQ1651" s="169"/>
      <c r="AR1651" s="169"/>
      <c r="AS1651" s="169"/>
      <c r="AT1651" s="169"/>
    </row>
    <row r="1652" spans="10:46">
      <c r="J1652" s="64"/>
      <c r="K1652" s="64"/>
      <c r="L1652" s="64"/>
      <c r="M1652" s="64"/>
      <c r="N1652" s="64"/>
      <c r="O1652" s="64"/>
      <c r="P1652" s="64"/>
      <c r="Q1652" s="64"/>
      <c r="R1652" s="64"/>
      <c r="S1652" s="64"/>
      <c r="T1652" s="64"/>
      <c r="U1652" s="64"/>
      <c r="V1652" s="64"/>
      <c r="W1652" s="64"/>
      <c r="X1652" s="64"/>
      <c r="Y1652" s="64"/>
      <c r="Z1652" s="64"/>
      <c r="AA1652" s="64"/>
      <c r="AB1652" s="64"/>
      <c r="AC1652" s="64"/>
      <c r="AD1652" s="64"/>
      <c r="AE1652" s="64"/>
      <c r="AF1652" s="64"/>
      <c r="AG1652" s="64"/>
      <c r="AH1652" s="64"/>
      <c r="AI1652" s="64"/>
      <c r="AJ1652" s="64"/>
      <c r="AK1652" s="64"/>
      <c r="AL1652" s="64"/>
      <c r="AM1652" s="169"/>
      <c r="AN1652" s="169"/>
      <c r="AO1652" s="169"/>
      <c r="AP1652" s="169"/>
      <c r="AQ1652" s="169"/>
      <c r="AR1652" s="169"/>
      <c r="AS1652" s="169"/>
      <c r="AT1652" s="169"/>
    </row>
    <row r="1653" spans="10:46">
      <c r="J1653" s="64"/>
      <c r="K1653" s="64"/>
      <c r="L1653" s="64"/>
      <c r="M1653" s="64"/>
      <c r="N1653" s="64"/>
      <c r="O1653" s="64"/>
      <c r="P1653" s="64"/>
      <c r="Q1653" s="64"/>
      <c r="R1653" s="64"/>
      <c r="S1653" s="64"/>
      <c r="T1653" s="64"/>
      <c r="U1653" s="64"/>
      <c r="V1653" s="64"/>
      <c r="W1653" s="64"/>
      <c r="X1653" s="64"/>
      <c r="Y1653" s="64"/>
      <c r="Z1653" s="64"/>
      <c r="AA1653" s="64"/>
      <c r="AB1653" s="64"/>
      <c r="AC1653" s="64"/>
      <c r="AD1653" s="64"/>
      <c r="AE1653" s="64"/>
      <c r="AF1653" s="64"/>
      <c r="AG1653" s="64"/>
      <c r="AH1653" s="64"/>
      <c r="AI1653" s="64"/>
      <c r="AJ1653" s="64"/>
      <c r="AK1653" s="64"/>
      <c r="AL1653" s="64"/>
      <c r="AM1653" s="169"/>
      <c r="AN1653" s="169"/>
      <c r="AO1653" s="169"/>
      <c r="AP1653" s="169"/>
      <c r="AQ1653" s="169"/>
      <c r="AR1653" s="169"/>
      <c r="AS1653" s="169"/>
      <c r="AT1653" s="169"/>
    </row>
    <row r="1654" spans="10:46">
      <c r="J1654" s="64"/>
      <c r="K1654" s="64"/>
      <c r="L1654" s="64"/>
      <c r="M1654" s="64"/>
      <c r="N1654" s="64"/>
      <c r="O1654" s="64"/>
      <c r="P1654" s="64"/>
      <c r="Q1654" s="64"/>
      <c r="R1654" s="64"/>
      <c r="S1654" s="64"/>
      <c r="T1654" s="64"/>
      <c r="U1654" s="64"/>
      <c r="V1654" s="64"/>
      <c r="W1654" s="64"/>
      <c r="X1654" s="64"/>
      <c r="Y1654" s="64"/>
      <c r="Z1654" s="64"/>
      <c r="AA1654" s="64"/>
      <c r="AB1654" s="64"/>
      <c r="AC1654" s="64"/>
      <c r="AD1654" s="64"/>
      <c r="AE1654" s="64"/>
      <c r="AF1654" s="64"/>
      <c r="AG1654" s="64"/>
      <c r="AH1654" s="64"/>
      <c r="AI1654" s="64"/>
      <c r="AJ1654" s="64"/>
      <c r="AK1654" s="64"/>
      <c r="AL1654" s="64"/>
      <c r="AM1654" s="169"/>
      <c r="AN1654" s="169"/>
      <c r="AO1654" s="169"/>
      <c r="AP1654" s="169"/>
      <c r="AQ1654" s="169"/>
      <c r="AR1654" s="169"/>
      <c r="AS1654" s="169"/>
      <c r="AT1654" s="169"/>
    </row>
    <row r="1655" spans="10:46">
      <c r="J1655" s="64"/>
      <c r="K1655" s="64"/>
      <c r="L1655" s="64"/>
      <c r="M1655" s="64"/>
      <c r="N1655" s="64"/>
      <c r="O1655" s="64"/>
      <c r="P1655" s="64"/>
      <c r="Q1655" s="64"/>
      <c r="R1655" s="64"/>
      <c r="S1655" s="64"/>
      <c r="T1655" s="64"/>
      <c r="U1655" s="64"/>
      <c r="V1655" s="64"/>
      <c r="W1655" s="64"/>
      <c r="X1655" s="64"/>
      <c r="Y1655" s="64"/>
      <c r="Z1655" s="64"/>
      <c r="AA1655" s="64"/>
      <c r="AB1655" s="64"/>
      <c r="AC1655" s="64"/>
      <c r="AD1655" s="64"/>
      <c r="AE1655" s="64"/>
      <c r="AF1655" s="64"/>
      <c r="AG1655" s="64"/>
      <c r="AH1655" s="64"/>
      <c r="AI1655" s="64"/>
      <c r="AJ1655" s="64"/>
      <c r="AK1655" s="64"/>
      <c r="AL1655" s="64"/>
      <c r="AM1655" s="169"/>
      <c r="AN1655" s="169"/>
      <c r="AO1655" s="169"/>
      <c r="AP1655" s="169"/>
      <c r="AQ1655" s="169"/>
      <c r="AR1655" s="169"/>
      <c r="AS1655" s="169"/>
      <c r="AT1655" s="169"/>
    </row>
    <row r="1656" spans="10:46">
      <c r="J1656" s="64"/>
      <c r="K1656" s="64"/>
      <c r="L1656" s="64"/>
      <c r="M1656" s="64"/>
      <c r="N1656" s="64"/>
      <c r="O1656" s="64"/>
      <c r="P1656" s="64"/>
      <c r="Q1656" s="64"/>
      <c r="R1656" s="64"/>
      <c r="S1656" s="64"/>
      <c r="T1656" s="64"/>
      <c r="U1656" s="64"/>
      <c r="V1656" s="64"/>
      <c r="W1656" s="64"/>
      <c r="X1656" s="64"/>
      <c r="Y1656" s="64"/>
      <c r="Z1656" s="64"/>
      <c r="AA1656" s="64"/>
      <c r="AB1656" s="64"/>
      <c r="AC1656" s="64"/>
      <c r="AD1656" s="64"/>
      <c r="AE1656" s="64"/>
      <c r="AF1656" s="64"/>
      <c r="AG1656" s="64"/>
      <c r="AH1656" s="64"/>
      <c r="AI1656" s="64"/>
      <c r="AJ1656" s="64"/>
      <c r="AK1656" s="64"/>
      <c r="AL1656" s="64"/>
      <c r="AM1656" s="169"/>
      <c r="AN1656" s="169"/>
      <c r="AO1656" s="169"/>
      <c r="AP1656" s="169"/>
      <c r="AQ1656" s="169"/>
      <c r="AR1656" s="169"/>
      <c r="AS1656" s="169"/>
      <c r="AT1656" s="169"/>
    </row>
    <row r="1657" spans="10:46">
      <c r="J1657" s="64"/>
      <c r="K1657" s="64"/>
      <c r="L1657" s="64"/>
      <c r="M1657" s="64"/>
      <c r="N1657" s="64"/>
      <c r="O1657" s="64"/>
      <c r="P1657" s="64"/>
      <c r="Q1657" s="64"/>
      <c r="R1657" s="64"/>
      <c r="S1657" s="64"/>
      <c r="T1657" s="64"/>
      <c r="U1657" s="64"/>
      <c r="V1657" s="64"/>
      <c r="W1657" s="64"/>
      <c r="X1657" s="64"/>
      <c r="Y1657" s="64"/>
      <c r="Z1657" s="64"/>
      <c r="AA1657" s="64"/>
      <c r="AB1657" s="64"/>
      <c r="AC1657" s="64"/>
      <c r="AD1657" s="64"/>
      <c r="AE1657" s="64"/>
      <c r="AF1657" s="64"/>
      <c r="AG1657" s="64"/>
      <c r="AH1657" s="64"/>
      <c r="AI1657" s="64"/>
      <c r="AJ1657" s="64"/>
      <c r="AK1657" s="64"/>
      <c r="AL1657" s="64"/>
      <c r="AM1657" s="169"/>
      <c r="AN1657" s="169"/>
      <c r="AO1657" s="169"/>
      <c r="AP1657" s="169"/>
      <c r="AQ1657" s="169"/>
      <c r="AR1657" s="169"/>
      <c r="AS1657" s="169"/>
      <c r="AT1657" s="169"/>
    </row>
    <row r="1658" spans="10:46">
      <c r="J1658" s="64"/>
      <c r="K1658" s="64"/>
      <c r="L1658" s="64"/>
      <c r="M1658" s="64"/>
      <c r="N1658" s="64"/>
      <c r="O1658" s="64"/>
      <c r="P1658" s="64"/>
      <c r="Q1658" s="64"/>
      <c r="R1658" s="64"/>
      <c r="S1658" s="64"/>
      <c r="T1658" s="64"/>
      <c r="U1658" s="64"/>
      <c r="V1658" s="64"/>
      <c r="W1658" s="64"/>
      <c r="X1658" s="64"/>
      <c r="Y1658" s="64"/>
      <c r="Z1658" s="64"/>
      <c r="AA1658" s="64"/>
      <c r="AB1658" s="64"/>
      <c r="AC1658" s="64"/>
      <c r="AD1658" s="64"/>
      <c r="AE1658" s="64"/>
      <c r="AF1658" s="64"/>
      <c r="AG1658" s="64"/>
      <c r="AH1658" s="64"/>
      <c r="AI1658" s="64"/>
      <c r="AJ1658" s="64"/>
      <c r="AK1658" s="64"/>
      <c r="AL1658" s="64"/>
      <c r="AM1658" s="169"/>
      <c r="AN1658" s="169"/>
      <c r="AO1658" s="169"/>
      <c r="AP1658" s="169"/>
      <c r="AQ1658" s="169"/>
      <c r="AR1658" s="169"/>
      <c r="AS1658" s="169"/>
      <c r="AT1658" s="169"/>
    </row>
    <row r="1659" spans="10:46">
      <c r="J1659" s="64"/>
      <c r="K1659" s="64"/>
      <c r="L1659" s="64"/>
      <c r="M1659" s="64"/>
      <c r="N1659" s="64"/>
      <c r="O1659" s="64"/>
      <c r="P1659" s="64"/>
      <c r="Q1659" s="64"/>
      <c r="R1659" s="64"/>
      <c r="S1659" s="64"/>
      <c r="T1659" s="64"/>
      <c r="U1659" s="64"/>
      <c r="V1659" s="64"/>
      <c r="W1659" s="64"/>
      <c r="X1659" s="64"/>
      <c r="Y1659" s="64"/>
      <c r="Z1659" s="64"/>
      <c r="AA1659" s="64"/>
      <c r="AB1659" s="64"/>
      <c r="AC1659" s="64"/>
      <c r="AD1659" s="64"/>
      <c r="AE1659" s="64"/>
      <c r="AF1659" s="64"/>
      <c r="AG1659" s="64"/>
      <c r="AH1659" s="64"/>
      <c r="AI1659" s="64"/>
      <c r="AJ1659" s="64"/>
      <c r="AK1659" s="64"/>
      <c r="AL1659" s="64"/>
      <c r="AM1659" s="169"/>
      <c r="AN1659" s="169"/>
      <c r="AO1659" s="169"/>
      <c r="AP1659" s="169"/>
      <c r="AQ1659" s="169"/>
      <c r="AR1659" s="169"/>
      <c r="AS1659" s="169"/>
      <c r="AT1659" s="169"/>
    </row>
    <row r="1660" spans="10:46">
      <c r="J1660" s="64"/>
      <c r="K1660" s="64"/>
      <c r="L1660" s="64"/>
      <c r="M1660" s="64"/>
      <c r="N1660" s="64"/>
      <c r="O1660" s="64"/>
      <c r="P1660" s="64"/>
      <c r="Q1660" s="64"/>
      <c r="R1660" s="64"/>
      <c r="S1660" s="64"/>
      <c r="T1660" s="64"/>
      <c r="U1660" s="64"/>
      <c r="V1660" s="64"/>
      <c r="W1660" s="64"/>
      <c r="X1660" s="64"/>
      <c r="Y1660" s="64"/>
      <c r="Z1660" s="64"/>
      <c r="AA1660" s="64"/>
      <c r="AB1660" s="64"/>
      <c r="AC1660" s="64"/>
      <c r="AD1660" s="64"/>
      <c r="AE1660" s="64"/>
      <c r="AF1660" s="64"/>
      <c r="AG1660" s="64"/>
      <c r="AH1660" s="64"/>
      <c r="AI1660" s="64"/>
      <c r="AJ1660" s="64"/>
      <c r="AK1660" s="64"/>
      <c r="AL1660" s="64"/>
      <c r="AM1660" s="169"/>
      <c r="AN1660" s="169"/>
      <c r="AO1660" s="169"/>
      <c r="AP1660" s="169"/>
      <c r="AQ1660" s="169"/>
      <c r="AR1660" s="169"/>
      <c r="AS1660" s="169"/>
      <c r="AT1660" s="169"/>
    </row>
    <row r="1661" spans="10:46">
      <c r="J1661" s="64"/>
      <c r="K1661" s="64"/>
      <c r="L1661" s="64"/>
      <c r="M1661" s="64"/>
      <c r="N1661" s="64"/>
      <c r="O1661" s="64"/>
      <c r="P1661" s="64"/>
      <c r="Q1661" s="64"/>
      <c r="R1661" s="64"/>
      <c r="S1661" s="64"/>
      <c r="T1661" s="64"/>
      <c r="U1661" s="64"/>
      <c r="V1661" s="64"/>
      <c r="W1661" s="64"/>
      <c r="X1661" s="64"/>
      <c r="Y1661" s="64"/>
      <c r="Z1661" s="64"/>
      <c r="AA1661" s="64"/>
      <c r="AB1661" s="64"/>
      <c r="AC1661" s="64"/>
      <c r="AD1661" s="64"/>
      <c r="AE1661" s="64"/>
      <c r="AF1661" s="64"/>
      <c r="AG1661" s="64"/>
      <c r="AH1661" s="64"/>
      <c r="AI1661" s="64"/>
      <c r="AJ1661" s="64"/>
      <c r="AK1661" s="64"/>
      <c r="AL1661" s="64"/>
      <c r="AM1661" s="169"/>
      <c r="AN1661" s="169"/>
      <c r="AO1661" s="169"/>
      <c r="AP1661" s="169"/>
      <c r="AQ1661" s="169"/>
      <c r="AR1661" s="169"/>
      <c r="AS1661" s="169"/>
      <c r="AT1661" s="169"/>
    </row>
    <row r="1662" spans="10:46">
      <c r="J1662" s="64"/>
      <c r="K1662" s="64"/>
      <c r="L1662" s="64"/>
      <c r="M1662" s="64"/>
      <c r="N1662" s="64"/>
      <c r="O1662" s="64"/>
      <c r="P1662" s="64"/>
      <c r="Q1662" s="64"/>
      <c r="R1662" s="64"/>
      <c r="S1662" s="64"/>
      <c r="T1662" s="64"/>
      <c r="U1662" s="64"/>
      <c r="V1662" s="64"/>
      <c r="W1662" s="64"/>
      <c r="X1662" s="64"/>
      <c r="Y1662" s="64"/>
      <c r="Z1662" s="64"/>
      <c r="AA1662" s="64"/>
      <c r="AB1662" s="64"/>
      <c r="AC1662" s="64"/>
      <c r="AD1662" s="64"/>
      <c r="AE1662" s="64"/>
      <c r="AF1662" s="64"/>
      <c r="AG1662" s="64"/>
      <c r="AH1662" s="64"/>
      <c r="AI1662" s="64"/>
      <c r="AJ1662" s="64"/>
      <c r="AK1662" s="64"/>
      <c r="AL1662" s="64"/>
      <c r="AM1662" s="169"/>
      <c r="AN1662" s="169"/>
      <c r="AO1662" s="169"/>
      <c r="AP1662" s="169"/>
      <c r="AQ1662" s="169"/>
      <c r="AR1662" s="169"/>
      <c r="AS1662" s="169"/>
      <c r="AT1662" s="169"/>
    </row>
    <row r="1663" spans="10:46">
      <c r="J1663" s="64"/>
      <c r="K1663" s="64"/>
      <c r="L1663" s="64"/>
      <c r="M1663" s="64"/>
      <c r="N1663" s="64"/>
      <c r="O1663" s="64"/>
      <c r="P1663" s="64"/>
      <c r="Q1663" s="64"/>
      <c r="R1663" s="64"/>
      <c r="S1663" s="64"/>
      <c r="T1663" s="64"/>
      <c r="U1663" s="64"/>
      <c r="V1663" s="64"/>
      <c r="W1663" s="64"/>
      <c r="X1663" s="64"/>
      <c r="Y1663" s="64"/>
      <c r="Z1663" s="64"/>
      <c r="AA1663" s="64"/>
      <c r="AB1663" s="64"/>
      <c r="AC1663" s="64"/>
      <c r="AD1663" s="64"/>
      <c r="AE1663" s="64"/>
      <c r="AF1663" s="64"/>
      <c r="AG1663" s="64"/>
      <c r="AH1663" s="64"/>
      <c r="AI1663" s="64"/>
      <c r="AJ1663" s="64"/>
      <c r="AK1663" s="64"/>
      <c r="AL1663" s="64"/>
      <c r="AM1663" s="169"/>
      <c r="AN1663" s="169"/>
      <c r="AO1663" s="169"/>
      <c r="AP1663" s="169"/>
      <c r="AQ1663" s="169"/>
      <c r="AR1663" s="169"/>
      <c r="AS1663" s="169"/>
      <c r="AT1663" s="169"/>
    </row>
    <row r="1664" spans="10:46">
      <c r="J1664" s="64"/>
      <c r="K1664" s="64"/>
      <c r="L1664" s="64"/>
      <c r="M1664" s="64"/>
      <c r="N1664" s="64"/>
      <c r="O1664" s="64"/>
      <c r="P1664" s="64"/>
      <c r="Q1664" s="64"/>
      <c r="R1664" s="64"/>
      <c r="S1664" s="64"/>
      <c r="T1664" s="64"/>
      <c r="U1664" s="64"/>
      <c r="V1664" s="64"/>
      <c r="W1664" s="64"/>
      <c r="X1664" s="64"/>
      <c r="Y1664" s="64"/>
      <c r="Z1664" s="64"/>
      <c r="AA1664" s="64"/>
      <c r="AB1664" s="64"/>
      <c r="AC1664" s="64"/>
      <c r="AD1664" s="64"/>
      <c r="AE1664" s="64"/>
      <c r="AF1664" s="64"/>
      <c r="AG1664" s="64"/>
      <c r="AH1664" s="64"/>
      <c r="AI1664" s="64"/>
      <c r="AJ1664" s="64"/>
      <c r="AK1664" s="64"/>
      <c r="AL1664" s="64"/>
      <c r="AM1664" s="169"/>
      <c r="AN1664" s="169"/>
      <c r="AO1664" s="169"/>
      <c r="AP1664" s="169"/>
      <c r="AQ1664" s="169"/>
      <c r="AR1664" s="169"/>
      <c r="AS1664" s="169"/>
      <c r="AT1664" s="169"/>
    </row>
    <row r="1665" spans="10:46">
      <c r="J1665" s="64"/>
      <c r="K1665" s="64"/>
      <c r="L1665" s="64"/>
      <c r="M1665" s="64"/>
      <c r="N1665" s="64"/>
      <c r="O1665" s="64"/>
      <c r="P1665" s="64"/>
      <c r="Q1665" s="64"/>
      <c r="R1665" s="64"/>
      <c r="S1665" s="64"/>
      <c r="T1665" s="64"/>
      <c r="U1665" s="64"/>
      <c r="V1665" s="64"/>
      <c r="W1665" s="64"/>
      <c r="X1665" s="64"/>
      <c r="Y1665" s="64"/>
      <c r="Z1665" s="64"/>
      <c r="AA1665" s="64"/>
      <c r="AB1665" s="64"/>
      <c r="AC1665" s="64"/>
      <c r="AD1665" s="64"/>
      <c r="AE1665" s="64"/>
      <c r="AF1665" s="64"/>
      <c r="AG1665" s="64"/>
      <c r="AH1665" s="64"/>
      <c r="AI1665" s="64"/>
      <c r="AJ1665" s="64"/>
      <c r="AK1665" s="64"/>
      <c r="AL1665" s="64"/>
      <c r="AM1665" s="169"/>
      <c r="AN1665" s="169"/>
      <c r="AO1665" s="169"/>
      <c r="AP1665" s="169"/>
      <c r="AQ1665" s="169"/>
      <c r="AR1665" s="169"/>
      <c r="AS1665" s="169"/>
      <c r="AT1665" s="169"/>
    </row>
    <row r="1666" spans="10:46">
      <c r="J1666" s="64"/>
      <c r="K1666" s="64"/>
      <c r="L1666" s="64"/>
      <c r="M1666" s="64"/>
      <c r="N1666" s="64"/>
      <c r="O1666" s="64"/>
      <c r="P1666" s="64"/>
      <c r="Q1666" s="64"/>
      <c r="R1666" s="64"/>
      <c r="S1666" s="64"/>
      <c r="T1666" s="64"/>
      <c r="U1666" s="64"/>
      <c r="V1666" s="64"/>
      <c r="W1666" s="64"/>
      <c r="X1666" s="64"/>
      <c r="Y1666" s="64"/>
      <c r="Z1666" s="64"/>
      <c r="AA1666" s="64"/>
      <c r="AB1666" s="64"/>
      <c r="AC1666" s="64"/>
      <c r="AD1666" s="64"/>
      <c r="AE1666" s="64"/>
      <c r="AF1666" s="64"/>
      <c r="AG1666" s="64"/>
      <c r="AH1666" s="64"/>
      <c r="AI1666" s="64"/>
      <c r="AJ1666" s="64"/>
      <c r="AK1666" s="64"/>
      <c r="AL1666" s="64"/>
      <c r="AM1666" s="169"/>
      <c r="AN1666" s="169"/>
      <c r="AO1666" s="169"/>
      <c r="AP1666" s="169"/>
      <c r="AQ1666" s="169"/>
      <c r="AR1666" s="169"/>
      <c r="AS1666" s="169"/>
      <c r="AT1666" s="169"/>
    </row>
    <row r="1667" spans="10:46">
      <c r="J1667" s="64"/>
      <c r="K1667" s="64"/>
      <c r="L1667" s="64"/>
      <c r="M1667" s="64"/>
      <c r="N1667" s="64"/>
      <c r="O1667" s="64"/>
      <c r="P1667" s="64"/>
      <c r="Q1667" s="64"/>
      <c r="R1667" s="64"/>
      <c r="S1667" s="64"/>
      <c r="T1667" s="64"/>
      <c r="U1667" s="64"/>
      <c r="V1667" s="64"/>
      <c r="W1667" s="64"/>
      <c r="X1667" s="64"/>
      <c r="Y1667" s="64"/>
      <c r="Z1667" s="64"/>
      <c r="AA1667" s="64"/>
      <c r="AB1667" s="64"/>
      <c r="AC1667" s="64"/>
      <c r="AD1667" s="64"/>
      <c r="AE1667" s="64"/>
      <c r="AF1667" s="64"/>
      <c r="AG1667" s="64"/>
      <c r="AH1667" s="64"/>
      <c r="AI1667" s="64"/>
      <c r="AJ1667" s="64"/>
      <c r="AK1667" s="64"/>
      <c r="AL1667" s="64"/>
      <c r="AM1667" s="169"/>
      <c r="AN1667" s="169"/>
      <c r="AO1667" s="169"/>
      <c r="AP1667" s="169"/>
      <c r="AQ1667" s="169"/>
      <c r="AR1667" s="169"/>
      <c r="AS1667" s="169"/>
      <c r="AT1667" s="169"/>
    </row>
    <row r="1668" spans="10:46">
      <c r="J1668" s="64"/>
      <c r="K1668" s="64"/>
      <c r="L1668" s="64"/>
      <c r="M1668" s="64"/>
      <c r="N1668" s="64"/>
      <c r="O1668" s="64"/>
      <c r="P1668" s="64"/>
      <c r="Q1668" s="64"/>
      <c r="R1668" s="64"/>
      <c r="S1668" s="64"/>
      <c r="T1668" s="64"/>
      <c r="U1668" s="64"/>
      <c r="V1668" s="64"/>
      <c r="W1668" s="64"/>
      <c r="X1668" s="64"/>
      <c r="Y1668" s="64"/>
      <c r="Z1668" s="64"/>
      <c r="AA1668" s="64"/>
      <c r="AB1668" s="64"/>
      <c r="AC1668" s="64"/>
      <c r="AD1668" s="64"/>
      <c r="AE1668" s="64"/>
      <c r="AF1668" s="64"/>
      <c r="AG1668" s="64"/>
      <c r="AH1668" s="64"/>
      <c r="AI1668" s="64"/>
      <c r="AJ1668" s="64"/>
      <c r="AK1668" s="64"/>
      <c r="AL1668" s="64"/>
      <c r="AM1668" s="169"/>
      <c r="AN1668" s="169"/>
      <c r="AO1668" s="169"/>
      <c r="AP1668" s="169"/>
      <c r="AQ1668" s="169"/>
      <c r="AR1668" s="169"/>
      <c r="AS1668" s="169"/>
      <c r="AT1668" s="169"/>
    </row>
    <row r="1669" spans="10:46">
      <c r="J1669" s="64"/>
      <c r="K1669" s="64"/>
      <c r="L1669" s="64"/>
      <c r="M1669" s="64"/>
      <c r="N1669" s="64"/>
      <c r="O1669" s="64"/>
      <c r="P1669" s="64"/>
      <c r="Q1669" s="64"/>
      <c r="R1669" s="64"/>
      <c r="S1669" s="64"/>
      <c r="T1669" s="64"/>
      <c r="U1669" s="64"/>
      <c r="V1669" s="64"/>
      <c r="W1669" s="64"/>
      <c r="X1669" s="64"/>
      <c r="Y1669" s="64"/>
      <c r="Z1669" s="64"/>
      <c r="AA1669" s="64"/>
      <c r="AB1669" s="64"/>
      <c r="AC1669" s="64"/>
      <c r="AD1669" s="64"/>
      <c r="AE1669" s="64"/>
      <c r="AF1669" s="64"/>
      <c r="AG1669" s="64"/>
      <c r="AH1669" s="64"/>
      <c r="AI1669" s="64"/>
      <c r="AJ1669" s="64"/>
      <c r="AK1669" s="64"/>
      <c r="AL1669" s="64"/>
      <c r="AM1669" s="169"/>
      <c r="AN1669" s="169"/>
      <c r="AO1669" s="169"/>
      <c r="AP1669" s="169"/>
      <c r="AQ1669" s="169"/>
      <c r="AR1669" s="169"/>
      <c r="AS1669" s="169"/>
      <c r="AT1669" s="169"/>
    </row>
    <row r="1670" spans="10:46">
      <c r="J1670" s="64"/>
      <c r="K1670" s="64"/>
      <c r="L1670" s="64"/>
      <c r="M1670" s="64"/>
      <c r="N1670" s="64"/>
      <c r="O1670" s="64"/>
      <c r="P1670" s="64"/>
      <c r="Q1670" s="64"/>
      <c r="R1670" s="64"/>
      <c r="S1670" s="64"/>
      <c r="T1670" s="64"/>
      <c r="U1670" s="64"/>
      <c r="V1670" s="64"/>
      <c r="W1670" s="64"/>
      <c r="X1670" s="64"/>
      <c r="Y1670" s="64"/>
      <c r="Z1670" s="64"/>
      <c r="AA1670" s="64"/>
      <c r="AB1670" s="64"/>
      <c r="AC1670" s="64"/>
      <c r="AD1670" s="64"/>
      <c r="AE1670" s="64"/>
      <c r="AF1670" s="64"/>
      <c r="AG1670" s="64"/>
      <c r="AH1670" s="64"/>
      <c r="AI1670" s="64"/>
      <c r="AJ1670" s="64"/>
      <c r="AK1670" s="64"/>
      <c r="AL1670" s="64"/>
      <c r="AM1670" s="169"/>
      <c r="AN1670" s="169"/>
      <c r="AO1670" s="169"/>
      <c r="AP1670" s="169"/>
      <c r="AQ1670" s="169"/>
      <c r="AR1670" s="169"/>
      <c r="AS1670" s="169"/>
      <c r="AT1670" s="169"/>
    </row>
    <row r="1671" spans="10:46">
      <c r="J1671" s="64"/>
      <c r="K1671" s="64"/>
      <c r="L1671" s="64"/>
      <c r="M1671" s="64"/>
      <c r="N1671" s="64"/>
      <c r="O1671" s="64"/>
      <c r="P1671" s="64"/>
      <c r="Q1671" s="64"/>
      <c r="R1671" s="64"/>
      <c r="S1671" s="64"/>
      <c r="T1671" s="64"/>
      <c r="U1671" s="64"/>
      <c r="V1671" s="64"/>
      <c r="W1671" s="64"/>
      <c r="X1671" s="64"/>
      <c r="Y1671" s="64"/>
      <c r="Z1671" s="64"/>
      <c r="AA1671" s="64"/>
      <c r="AB1671" s="64"/>
      <c r="AC1671" s="64"/>
      <c r="AD1671" s="64"/>
      <c r="AE1671" s="64"/>
      <c r="AF1671" s="64"/>
      <c r="AG1671" s="64"/>
      <c r="AH1671" s="64"/>
      <c r="AI1671" s="64"/>
      <c r="AJ1671" s="64"/>
      <c r="AK1671" s="64"/>
      <c r="AL1671" s="64"/>
      <c r="AM1671" s="169"/>
      <c r="AN1671" s="169"/>
      <c r="AO1671" s="169"/>
      <c r="AP1671" s="169"/>
      <c r="AQ1671" s="169"/>
      <c r="AR1671" s="169"/>
      <c r="AS1671" s="169"/>
      <c r="AT1671" s="169"/>
    </row>
    <row r="1672" spans="10:46">
      <c r="J1672" s="64"/>
      <c r="K1672" s="64"/>
      <c r="L1672" s="64"/>
      <c r="M1672" s="64"/>
      <c r="N1672" s="64"/>
      <c r="O1672" s="64"/>
      <c r="P1672" s="64"/>
      <c r="Q1672" s="64"/>
      <c r="R1672" s="64"/>
      <c r="S1672" s="64"/>
      <c r="T1672" s="64"/>
      <c r="U1672" s="64"/>
      <c r="V1672" s="64"/>
      <c r="W1672" s="64"/>
      <c r="X1672" s="64"/>
      <c r="Y1672" s="64"/>
      <c r="Z1672" s="64"/>
      <c r="AA1672" s="64"/>
      <c r="AB1672" s="64"/>
      <c r="AC1672" s="64"/>
      <c r="AD1672" s="64"/>
      <c r="AE1672" s="64"/>
      <c r="AF1672" s="64"/>
      <c r="AG1672" s="64"/>
      <c r="AH1672" s="64"/>
      <c r="AI1672" s="64"/>
      <c r="AJ1672" s="64"/>
      <c r="AK1672" s="64"/>
      <c r="AL1672" s="64"/>
      <c r="AM1672" s="169"/>
      <c r="AN1672" s="169"/>
      <c r="AO1672" s="169"/>
      <c r="AP1672" s="169"/>
      <c r="AQ1672" s="169"/>
      <c r="AR1672" s="169"/>
      <c r="AS1672" s="169"/>
      <c r="AT1672" s="169"/>
    </row>
    <row r="1673" spans="10:46">
      <c r="J1673" s="64"/>
      <c r="K1673" s="64"/>
      <c r="L1673" s="64"/>
      <c r="M1673" s="64"/>
      <c r="N1673" s="64"/>
      <c r="O1673" s="64"/>
      <c r="P1673" s="64"/>
      <c r="Q1673" s="64"/>
      <c r="R1673" s="64"/>
      <c r="S1673" s="64"/>
      <c r="T1673" s="64"/>
      <c r="U1673" s="64"/>
      <c r="V1673" s="64"/>
      <c r="W1673" s="64"/>
      <c r="X1673" s="64"/>
      <c r="Y1673" s="64"/>
      <c r="Z1673" s="64"/>
      <c r="AA1673" s="64"/>
      <c r="AB1673" s="64"/>
      <c r="AC1673" s="64"/>
      <c r="AD1673" s="64"/>
      <c r="AE1673" s="64"/>
      <c r="AF1673" s="64"/>
      <c r="AG1673" s="64"/>
      <c r="AH1673" s="64"/>
      <c r="AI1673" s="64"/>
      <c r="AJ1673" s="64"/>
      <c r="AK1673" s="64"/>
      <c r="AL1673" s="64"/>
      <c r="AM1673" s="169"/>
      <c r="AN1673" s="169"/>
      <c r="AO1673" s="169"/>
      <c r="AP1673" s="169"/>
      <c r="AQ1673" s="169"/>
      <c r="AR1673" s="169"/>
      <c r="AS1673" s="169"/>
      <c r="AT1673" s="169"/>
    </row>
    <row r="1674" spans="10:46">
      <c r="J1674" s="64"/>
      <c r="K1674" s="64"/>
      <c r="L1674" s="64"/>
      <c r="M1674" s="64"/>
      <c r="N1674" s="64"/>
      <c r="O1674" s="64"/>
      <c r="P1674" s="64"/>
      <c r="Q1674" s="64"/>
      <c r="R1674" s="64"/>
      <c r="S1674" s="64"/>
      <c r="T1674" s="64"/>
      <c r="U1674" s="64"/>
      <c r="V1674" s="64"/>
      <c r="W1674" s="64"/>
      <c r="X1674" s="64"/>
      <c r="Y1674" s="64"/>
      <c r="Z1674" s="64"/>
      <c r="AA1674" s="64"/>
      <c r="AB1674" s="64"/>
      <c r="AC1674" s="64"/>
      <c r="AD1674" s="64"/>
      <c r="AE1674" s="64"/>
      <c r="AF1674" s="64"/>
      <c r="AG1674" s="64"/>
      <c r="AH1674" s="64"/>
      <c r="AI1674" s="64"/>
      <c r="AJ1674" s="64"/>
      <c r="AK1674" s="64"/>
      <c r="AL1674" s="64"/>
      <c r="AM1674" s="169"/>
      <c r="AN1674" s="169"/>
      <c r="AO1674" s="169"/>
      <c r="AP1674" s="169"/>
      <c r="AQ1674" s="169"/>
      <c r="AR1674" s="169"/>
      <c r="AS1674" s="169"/>
      <c r="AT1674" s="169"/>
    </row>
    <row r="1675" spans="10:46">
      <c r="J1675" s="64"/>
      <c r="K1675" s="64"/>
      <c r="L1675" s="64"/>
      <c r="M1675" s="64"/>
      <c r="N1675" s="64"/>
      <c r="O1675" s="64"/>
      <c r="P1675" s="64"/>
      <c r="Q1675" s="64"/>
      <c r="R1675" s="64"/>
      <c r="S1675" s="64"/>
      <c r="T1675" s="64"/>
      <c r="U1675" s="64"/>
      <c r="V1675" s="64"/>
      <c r="W1675" s="64"/>
      <c r="X1675" s="64"/>
      <c r="Y1675" s="64"/>
      <c r="Z1675" s="64"/>
      <c r="AA1675" s="64"/>
      <c r="AB1675" s="64"/>
      <c r="AC1675" s="64"/>
      <c r="AD1675" s="64"/>
      <c r="AE1675" s="64"/>
      <c r="AF1675" s="64"/>
      <c r="AG1675" s="64"/>
      <c r="AH1675" s="64"/>
      <c r="AI1675" s="64"/>
      <c r="AJ1675" s="64"/>
      <c r="AK1675" s="64"/>
      <c r="AL1675" s="64"/>
      <c r="AM1675" s="169"/>
      <c r="AN1675" s="169"/>
      <c r="AO1675" s="169"/>
      <c r="AP1675" s="169"/>
      <c r="AQ1675" s="169"/>
      <c r="AR1675" s="169"/>
      <c r="AS1675" s="169"/>
      <c r="AT1675" s="169"/>
    </row>
    <row r="1676" spans="10:46">
      <c r="J1676" s="64"/>
      <c r="K1676" s="64"/>
      <c r="L1676" s="64"/>
      <c r="M1676" s="64"/>
      <c r="N1676" s="64"/>
      <c r="O1676" s="64"/>
      <c r="P1676" s="64"/>
      <c r="Q1676" s="64"/>
      <c r="R1676" s="64"/>
      <c r="S1676" s="64"/>
      <c r="T1676" s="64"/>
      <c r="U1676" s="64"/>
      <c r="V1676" s="64"/>
      <c r="W1676" s="64"/>
      <c r="X1676" s="64"/>
      <c r="Y1676" s="64"/>
      <c r="Z1676" s="64"/>
      <c r="AA1676" s="64"/>
      <c r="AB1676" s="64"/>
      <c r="AC1676" s="64"/>
      <c r="AD1676" s="64"/>
      <c r="AE1676" s="64"/>
      <c r="AF1676" s="64"/>
      <c r="AG1676" s="64"/>
      <c r="AH1676" s="64"/>
      <c r="AI1676" s="64"/>
      <c r="AJ1676" s="64"/>
      <c r="AK1676" s="64"/>
      <c r="AL1676" s="64"/>
      <c r="AM1676" s="169"/>
      <c r="AN1676" s="169"/>
      <c r="AO1676" s="169"/>
      <c r="AP1676" s="169"/>
      <c r="AQ1676" s="169"/>
      <c r="AR1676" s="169"/>
      <c r="AS1676" s="169"/>
      <c r="AT1676" s="169"/>
    </row>
    <row r="1677" spans="10:46">
      <c r="J1677" s="64"/>
      <c r="K1677" s="64"/>
      <c r="L1677" s="64"/>
      <c r="M1677" s="64"/>
      <c r="N1677" s="64"/>
      <c r="O1677" s="64"/>
      <c r="P1677" s="64"/>
      <c r="Q1677" s="64"/>
      <c r="R1677" s="64"/>
      <c r="S1677" s="64"/>
      <c r="T1677" s="64"/>
      <c r="U1677" s="64"/>
      <c r="V1677" s="64"/>
      <c r="W1677" s="64"/>
      <c r="X1677" s="64"/>
      <c r="Y1677" s="64"/>
      <c r="Z1677" s="64"/>
      <c r="AA1677" s="64"/>
      <c r="AB1677" s="64"/>
      <c r="AC1677" s="64"/>
      <c r="AD1677" s="64"/>
      <c r="AE1677" s="64"/>
      <c r="AF1677" s="64"/>
      <c r="AG1677" s="64"/>
      <c r="AH1677" s="64"/>
      <c r="AI1677" s="64"/>
      <c r="AJ1677" s="64"/>
      <c r="AK1677" s="64"/>
      <c r="AL1677" s="64"/>
      <c r="AM1677" s="169"/>
      <c r="AN1677" s="169"/>
      <c r="AO1677" s="169"/>
      <c r="AP1677" s="169"/>
      <c r="AQ1677" s="169"/>
      <c r="AR1677" s="169"/>
      <c r="AS1677" s="169"/>
      <c r="AT1677" s="169"/>
    </row>
    <row r="1678" spans="10:46">
      <c r="J1678" s="64"/>
      <c r="K1678" s="64"/>
      <c r="L1678" s="64"/>
      <c r="M1678" s="64"/>
      <c r="N1678" s="64"/>
      <c r="O1678" s="64"/>
      <c r="P1678" s="64"/>
      <c r="Q1678" s="64"/>
      <c r="R1678" s="64"/>
      <c r="S1678" s="64"/>
      <c r="T1678" s="64"/>
      <c r="U1678" s="64"/>
      <c r="V1678" s="64"/>
      <c r="W1678" s="64"/>
      <c r="X1678" s="64"/>
      <c r="Y1678" s="64"/>
      <c r="Z1678" s="64"/>
      <c r="AA1678" s="64"/>
      <c r="AB1678" s="64"/>
      <c r="AC1678" s="64"/>
      <c r="AD1678" s="64"/>
      <c r="AE1678" s="64"/>
      <c r="AF1678" s="64"/>
      <c r="AG1678" s="64"/>
      <c r="AH1678" s="64"/>
      <c r="AI1678" s="64"/>
      <c r="AJ1678" s="64"/>
      <c r="AK1678" s="64"/>
      <c r="AL1678" s="64"/>
      <c r="AM1678" s="169"/>
      <c r="AN1678" s="169"/>
      <c r="AO1678" s="169"/>
      <c r="AP1678" s="169"/>
      <c r="AQ1678" s="169"/>
      <c r="AR1678" s="169"/>
      <c r="AS1678" s="169"/>
      <c r="AT1678" s="169"/>
    </row>
    <row r="1679" spans="10:46">
      <c r="J1679" s="64"/>
      <c r="K1679" s="64"/>
      <c r="L1679" s="64"/>
      <c r="M1679" s="64"/>
      <c r="N1679" s="64"/>
      <c r="O1679" s="64"/>
      <c r="P1679" s="64"/>
      <c r="Q1679" s="64"/>
      <c r="R1679" s="64"/>
      <c r="S1679" s="64"/>
      <c r="T1679" s="64"/>
      <c r="U1679" s="64"/>
      <c r="V1679" s="64"/>
      <c r="W1679" s="64"/>
      <c r="X1679" s="64"/>
      <c r="Y1679" s="64"/>
      <c r="Z1679" s="64"/>
      <c r="AA1679" s="64"/>
      <c r="AB1679" s="64"/>
      <c r="AC1679" s="64"/>
      <c r="AD1679" s="64"/>
      <c r="AE1679" s="64"/>
      <c r="AF1679" s="64"/>
      <c r="AG1679" s="64"/>
      <c r="AH1679" s="64"/>
      <c r="AI1679" s="64"/>
      <c r="AJ1679" s="64"/>
      <c r="AK1679" s="64"/>
      <c r="AL1679" s="64"/>
      <c r="AM1679" s="169"/>
      <c r="AN1679" s="169"/>
      <c r="AO1679" s="169"/>
      <c r="AP1679" s="169"/>
      <c r="AQ1679" s="169"/>
      <c r="AR1679" s="169"/>
      <c r="AS1679" s="169"/>
      <c r="AT1679" s="169"/>
    </row>
    <row r="1680" spans="10:46">
      <c r="J1680" s="64"/>
      <c r="K1680" s="64"/>
      <c r="L1680" s="64"/>
      <c r="M1680" s="64"/>
      <c r="N1680" s="64"/>
      <c r="O1680" s="64"/>
      <c r="P1680" s="64"/>
      <c r="Q1680" s="64"/>
      <c r="R1680" s="64"/>
      <c r="S1680" s="64"/>
      <c r="T1680" s="64"/>
      <c r="U1680" s="64"/>
      <c r="V1680" s="64"/>
      <c r="W1680" s="64"/>
      <c r="X1680" s="64"/>
      <c r="Y1680" s="64"/>
      <c r="Z1680" s="64"/>
      <c r="AA1680" s="64"/>
      <c r="AB1680" s="64"/>
      <c r="AC1680" s="64"/>
      <c r="AD1680" s="64"/>
      <c r="AE1680" s="64"/>
      <c r="AF1680" s="64"/>
      <c r="AG1680" s="64"/>
      <c r="AH1680" s="64"/>
      <c r="AI1680" s="64"/>
      <c r="AJ1680" s="64"/>
      <c r="AK1680" s="64"/>
      <c r="AL1680" s="64"/>
      <c r="AM1680" s="169"/>
      <c r="AN1680" s="169"/>
      <c r="AO1680" s="169"/>
      <c r="AP1680" s="169"/>
      <c r="AQ1680" s="169"/>
      <c r="AR1680" s="169"/>
      <c r="AS1680" s="169"/>
      <c r="AT1680" s="169"/>
    </row>
    <row r="1681" spans="10:46">
      <c r="J1681" s="64"/>
      <c r="K1681" s="64"/>
      <c r="L1681" s="64"/>
      <c r="M1681" s="64"/>
      <c r="N1681" s="64"/>
      <c r="O1681" s="64"/>
      <c r="P1681" s="64"/>
      <c r="Q1681" s="64"/>
      <c r="R1681" s="64"/>
      <c r="S1681" s="64"/>
      <c r="T1681" s="64"/>
      <c r="U1681" s="64"/>
      <c r="V1681" s="64"/>
      <c r="W1681" s="64"/>
      <c r="X1681" s="64"/>
      <c r="Y1681" s="64"/>
      <c r="Z1681" s="64"/>
      <c r="AA1681" s="64"/>
      <c r="AB1681" s="64"/>
      <c r="AC1681" s="64"/>
      <c r="AD1681" s="64"/>
      <c r="AE1681" s="64"/>
      <c r="AF1681" s="64"/>
      <c r="AG1681" s="64"/>
      <c r="AH1681" s="64"/>
      <c r="AI1681" s="64"/>
      <c r="AJ1681" s="64"/>
      <c r="AK1681" s="64"/>
      <c r="AL1681" s="64"/>
      <c r="AM1681" s="169"/>
      <c r="AN1681" s="169"/>
      <c r="AO1681" s="169"/>
      <c r="AP1681" s="169"/>
      <c r="AQ1681" s="169"/>
      <c r="AR1681" s="169"/>
      <c r="AS1681" s="169"/>
      <c r="AT1681" s="169"/>
    </row>
    <row r="1682" spans="10:46">
      <c r="J1682" s="64"/>
      <c r="K1682" s="64"/>
      <c r="L1682" s="64"/>
      <c r="M1682" s="64"/>
      <c r="N1682" s="64"/>
      <c r="O1682" s="64"/>
      <c r="P1682" s="64"/>
      <c r="Q1682" s="64"/>
      <c r="R1682" s="64"/>
      <c r="S1682" s="64"/>
      <c r="T1682" s="64"/>
      <c r="U1682" s="64"/>
      <c r="V1682" s="64"/>
      <c r="W1682" s="64"/>
      <c r="X1682" s="64"/>
      <c r="Y1682" s="64"/>
      <c r="Z1682" s="64"/>
      <c r="AA1682" s="64"/>
      <c r="AB1682" s="64"/>
      <c r="AC1682" s="64"/>
      <c r="AD1682" s="64"/>
      <c r="AE1682" s="64"/>
      <c r="AF1682" s="64"/>
      <c r="AG1682" s="64"/>
      <c r="AH1682" s="64"/>
      <c r="AI1682" s="64"/>
      <c r="AJ1682" s="64"/>
      <c r="AK1682" s="64"/>
      <c r="AL1682" s="64"/>
      <c r="AM1682" s="169"/>
      <c r="AN1682" s="169"/>
      <c r="AO1682" s="169"/>
      <c r="AP1682" s="169"/>
      <c r="AQ1682" s="169"/>
      <c r="AR1682" s="169"/>
      <c r="AS1682" s="169"/>
      <c r="AT1682" s="169"/>
    </row>
    <row r="1683" spans="10:46">
      <c r="J1683" s="64"/>
      <c r="K1683" s="64"/>
      <c r="L1683" s="64"/>
      <c r="M1683" s="64"/>
      <c r="N1683" s="64"/>
      <c r="O1683" s="64"/>
      <c r="P1683" s="64"/>
      <c r="Q1683" s="64"/>
      <c r="R1683" s="64"/>
      <c r="S1683" s="64"/>
      <c r="T1683" s="64"/>
      <c r="U1683" s="64"/>
      <c r="V1683" s="64"/>
      <c r="W1683" s="64"/>
      <c r="X1683" s="64"/>
      <c r="Y1683" s="64"/>
      <c r="Z1683" s="64"/>
      <c r="AA1683" s="64"/>
      <c r="AB1683" s="64"/>
      <c r="AC1683" s="64"/>
      <c r="AD1683" s="64"/>
      <c r="AE1683" s="64"/>
      <c r="AF1683" s="64"/>
      <c r="AG1683" s="64"/>
      <c r="AH1683" s="64"/>
      <c r="AI1683" s="64"/>
      <c r="AJ1683" s="64"/>
      <c r="AK1683" s="64"/>
      <c r="AL1683" s="64"/>
      <c r="AM1683" s="169"/>
      <c r="AN1683" s="169"/>
      <c r="AO1683" s="169"/>
      <c r="AP1683" s="169"/>
      <c r="AQ1683" s="169"/>
      <c r="AR1683" s="169"/>
      <c r="AS1683" s="169"/>
      <c r="AT1683" s="169"/>
    </row>
    <row r="1684" spans="10:46">
      <c r="J1684" s="64"/>
      <c r="K1684" s="64"/>
      <c r="L1684" s="64"/>
      <c r="M1684" s="64"/>
      <c r="N1684" s="64"/>
      <c r="O1684" s="64"/>
      <c r="P1684" s="64"/>
      <c r="Q1684" s="64"/>
      <c r="R1684" s="64"/>
      <c r="S1684" s="64"/>
      <c r="T1684" s="64"/>
      <c r="U1684" s="64"/>
      <c r="V1684" s="64"/>
      <c r="W1684" s="64"/>
      <c r="X1684" s="64"/>
      <c r="Y1684" s="64"/>
      <c r="Z1684" s="64"/>
      <c r="AA1684" s="64"/>
      <c r="AB1684" s="64"/>
      <c r="AC1684" s="64"/>
      <c r="AD1684" s="64"/>
      <c r="AE1684" s="64"/>
      <c r="AF1684" s="64"/>
      <c r="AG1684" s="64"/>
      <c r="AH1684" s="64"/>
      <c r="AI1684" s="64"/>
      <c r="AJ1684" s="64"/>
      <c r="AK1684" s="64"/>
      <c r="AL1684" s="64"/>
      <c r="AM1684" s="169"/>
      <c r="AN1684" s="169"/>
      <c r="AO1684" s="169"/>
      <c r="AP1684" s="169"/>
      <c r="AQ1684" s="169"/>
      <c r="AR1684" s="169"/>
      <c r="AS1684" s="169"/>
      <c r="AT1684" s="169"/>
    </row>
    <row r="1685" spans="10:46">
      <c r="J1685" s="64"/>
      <c r="K1685" s="64"/>
      <c r="L1685" s="64"/>
      <c r="M1685" s="64"/>
      <c r="N1685" s="64"/>
      <c r="O1685" s="64"/>
      <c r="P1685" s="64"/>
      <c r="Q1685" s="64"/>
      <c r="R1685" s="64"/>
      <c r="S1685" s="64"/>
      <c r="T1685" s="64"/>
      <c r="U1685" s="64"/>
      <c r="V1685" s="64"/>
      <c r="W1685" s="64"/>
      <c r="X1685" s="64"/>
      <c r="Y1685" s="64"/>
      <c r="Z1685" s="64"/>
      <c r="AA1685" s="64"/>
      <c r="AB1685" s="64"/>
      <c r="AC1685" s="64"/>
      <c r="AD1685" s="64"/>
      <c r="AE1685" s="64"/>
      <c r="AF1685" s="64"/>
      <c r="AG1685" s="64"/>
      <c r="AH1685" s="64"/>
      <c r="AI1685" s="64"/>
      <c r="AJ1685" s="64"/>
      <c r="AK1685" s="64"/>
      <c r="AL1685" s="64"/>
      <c r="AM1685" s="169"/>
      <c r="AN1685" s="169"/>
      <c r="AO1685" s="169"/>
      <c r="AP1685" s="169"/>
      <c r="AQ1685" s="169"/>
      <c r="AR1685" s="169"/>
      <c r="AS1685" s="169"/>
      <c r="AT1685" s="169"/>
    </row>
    <row r="1686" spans="10:46">
      <c r="J1686" s="64"/>
      <c r="K1686" s="64"/>
      <c r="L1686" s="64"/>
      <c r="M1686" s="64"/>
      <c r="N1686" s="64"/>
      <c r="O1686" s="64"/>
      <c r="P1686" s="64"/>
      <c r="Q1686" s="64"/>
      <c r="R1686" s="64"/>
      <c r="S1686" s="64"/>
      <c r="T1686" s="64"/>
      <c r="U1686" s="64"/>
      <c r="V1686" s="64"/>
      <c r="W1686" s="64"/>
      <c r="X1686" s="64"/>
      <c r="Y1686" s="64"/>
      <c r="Z1686" s="64"/>
      <c r="AA1686" s="64"/>
      <c r="AB1686" s="64"/>
      <c r="AC1686" s="64"/>
      <c r="AD1686" s="64"/>
      <c r="AE1686" s="64"/>
      <c r="AF1686" s="64"/>
      <c r="AG1686" s="64"/>
      <c r="AH1686" s="64"/>
      <c r="AI1686" s="64"/>
      <c r="AJ1686" s="64"/>
      <c r="AK1686" s="64"/>
      <c r="AL1686" s="64"/>
      <c r="AM1686" s="169"/>
      <c r="AN1686" s="169"/>
      <c r="AO1686" s="169"/>
      <c r="AP1686" s="169"/>
      <c r="AQ1686" s="169"/>
      <c r="AR1686" s="169"/>
      <c r="AS1686" s="169"/>
      <c r="AT1686" s="169"/>
    </row>
    <row r="1687" spans="10:46">
      <c r="J1687" s="64"/>
      <c r="K1687" s="64"/>
      <c r="L1687" s="64"/>
      <c r="M1687" s="64"/>
      <c r="N1687" s="64"/>
      <c r="O1687" s="64"/>
      <c r="P1687" s="64"/>
      <c r="Q1687" s="64"/>
      <c r="R1687" s="64"/>
      <c r="S1687" s="64"/>
      <c r="T1687" s="64"/>
      <c r="U1687" s="64"/>
      <c r="V1687" s="64"/>
      <c r="W1687" s="64"/>
      <c r="X1687" s="64"/>
      <c r="Y1687" s="64"/>
      <c r="Z1687" s="64"/>
      <c r="AA1687" s="64"/>
      <c r="AB1687" s="64"/>
      <c r="AC1687" s="64"/>
      <c r="AD1687" s="64"/>
      <c r="AE1687" s="64"/>
      <c r="AF1687" s="64"/>
      <c r="AG1687" s="64"/>
      <c r="AH1687" s="64"/>
      <c r="AI1687" s="64"/>
      <c r="AJ1687" s="64"/>
      <c r="AK1687" s="64"/>
      <c r="AL1687" s="64"/>
      <c r="AM1687" s="169"/>
      <c r="AN1687" s="169"/>
      <c r="AO1687" s="169"/>
      <c r="AP1687" s="169"/>
      <c r="AQ1687" s="169"/>
      <c r="AR1687" s="169"/>
      <c r="AS1687" s="169"/>
      <c r="AT1687" s="169"/>
    </row>
    <row r="1688" spans="10:46">
      <c r="J1688" s="64"/>
      <c r="K1688" s="64"/>
      <c r="L1688" s="64"/>
      <c r="M1688" s="64"/>
      <c r="N1688" s="64"/>
      <c r="O1688" s="64"/>
      <c r="P1688" s="64"/>
      <c r="Q1688" s="64"/>
      <c r="R1688" s="64"/>
      <c r="S1688" s="64"/>
      <c r="T1688" s="64"/>
      <c r="U1688" s="64"/>
      <c r="V1688" s="64"/>
      <c r="W1688" s="64"/>
      <c r="X1688" s="64"/>
      <c r="Y1688" s="64"/>
      <c r="Z1688" s="64"/>
      <c r="AA1688" s="64"/>
      <c r="AB1688" s="64"/>
      <c r="AC1688" s="64"/>
      <c r="AD1688" s="64"/>
      <c r="AE1688" s="64"/>
      <c r="AF1688" s="64"/>
      <c r="AG1688" s="64"/>
      <c r="AH1688" s="64"/>
      <c r="AI1688" s="64"/>
      <c r="AJ1688" s="64"/>
      <c r="AK1688" s="64"/>
      <c r="AL1688" s="64"/>
      <c r="AM1688" s="169"/>
      <c r="AN1688" s="169"/>
      <c r="AO1688" s="169"/>
      <c r="AP1688" s="169"/>
      <c r="AQ1688" s="169"/>
      <c r="AR1688" s="169"/>
      <c r="AS1688" s="169"/>
      <c r="AT1688" s="169"/>
    </row>
    <row r="1689" spans="10:46">
      <c r="J1689" s="64"/>
      <c r="K1689" s="64"/>
      <c r="L1689" s="64"/>
      <c r="M1689" s="64"/>
      <c r="N1689" s="64"/>
      <c r="O1689" s="64"/>
      <c r="P1689" s="64"/>
      <c r="Q1689" s="64"/>
      <c r="R1689" s="64"/>
      <c r="S1689" s="64"/>
      <c r="T1689" s="64"/>
      <c r="U1689" s="64"/>
      <c r="V1689" s="64"/>
      <c r="W1689" s="64"/>
      <c r="X1689" s="64"/>
      <c r="Y1689" s="64"/>
      <c r="Z1689" s="64"/>
      <c r="AA1689" s="64"/>
      <c r="AB1689" s="64"/>
      <c r="AC1689" s="64"/>
      <c r="AD1689" s="64"/>
      <c r="AE1689" s="64"/>
      <c r="AF1689" s="64"/>
      <c r="AG1689" s="64"/>
      <c r="AH1689" s="64"/>
      <c r="AI1689" s="64"/>
      <c r="AJ1689" s="64"/>
      <c r="AK1689" s="64"/>
      <c r="AL1689" s="64"/>
      <c r="AM1689" s="169"/>
      <c r="AN1689" s="169"/>
      <c r="AO1689" s="169"/>
      <c r="AP1689" s="169"/>
      <c r="AQ1689" s="169"/>
      <c r="AR1689" s="169"/>
      <c r="AS1689" s="169"/>
      <c r="AT1689" s="169"/>
    </row>
    <row r="1690" spans="10:46">
      <c r="J1690" s="64"/>
      <c r="K1690" s="64"/>
      <c r="L1690" s="64"/>
      <c r="M1690" s="64"/>
      <c r="N1690" s="64"/>
      <c r="O1690" s="64"/>
      <c r="P1690" s="64"/>
      <c r="Q1690" s="64"/>
      <c r="R1690" s="64"/>
      <c r="S1690" s="64"/>
      <c r="T1690" s="64"/>
      <c r="U1690" s="64"/>
      <c r="V1690" s="64"/>
      <c r="W1690" s="64"/>
      <c r="X1690" s="64"/>
      <c r="Y1690" s="64"/>
      <c r="Z1690" s="64"/>
      <c r="AA1690" s="64"/>
      <c r="AB1690" s="64"/>
      <c r="AC1690" s="64"/>
      <c r="AD1690" s="64"/>
      <c r="AE1690" s="64"/>
      <c r="AF1690" s="64"/>
      <c r="AG1690" s="64"/>
      <c r="AH1690" s="64"/>
      <c r="AI1690" s="64"/>
      <c r="AJ1690" s="64"/>
      <c r="AK1690" s="64"/>
      <c r="AL1690" s="64"/>
      <c r="AM1690" s="169"/>
      <c r="AN1690" s="169"/>
      <c r="AO1690" s="169"/>
      <c r="AP1690" s="169"/>
      <c r="AQ1690" s="169"/>
      <c r="AR1690" s="169"/>
      <c r="AS1690" s="169"/>
      <c r="AT1690" s="169"/>
    </row>
    <row r="1691" spans="10:46">
      <c r="J1691" s="64"/>
      <c r="K1691" s="64"/>
      <c r="L1691" s="64"/>
      <c r="M1691" s="64"/>
      <c r="N1691" s="64"/>
      <c r="O1691" s="64"/>
      <c r="P1691" s="64"/>
      <c r="Q1691" s="64"/>
      <c r="R1691" s="64"/>
      <c r="S1691" s="64"/>
      <c r="T1691" s="64"/>
      <c r="U1691" s="64"/>
      <c r="V1691" s="64"/>
      <c r="W1691" s="64"/>
      <c r="X1691" s="64"/>
      <c r="Y1691" s="64"/>
      <c r="Z1691" s="64"/>
      <c r="AA1691" s="64"/>
      <c r="AB1691" s="64"/>
      <c r="AC1691" s="64"/>
      <c r="AD1691" s="64"/>
      <c r="AE1691" s="64"/>
      <c r="AF1691" s="64"/>
      <c r="AG1691" s="64"/>
      <c r="AH1691" s="64"/>
      <c r="AI1691" s="64"/>
      <c r="AJ1691" s="64"/>
      <c r="AK1691" s="64"/>
      <c r="AL1691" s="64"/>
      <c r="AM1691" s="169"/>
      <c r="AN1691" s="169"/>
      <c r="AO1691" s="169"/>
      <c r="AP1691" s="169"/>
      <c r="AQ1691" s="169"/>
      <c r="AR1691" s="169"/>
      <c r="AS1691" s="169"/>
      <c r="AT1691" s="169"/>
    </row>
    <row r="1692" spans="10:46">
      <c r="J1692" s="64"/>
      <c r="K1692" s="64"/>
      <c r="L1692" s="64"/>
      <c r="M1692" s="64"/>
      <c r="N1692" s="64"/>
      <c r="O1692" s="64"/>
      <c r="P1692" s="64"/>
      <c r="Q1692" s="64"/>
      <c r="R1692" s="64"/>
      <c r="S1692" s="64"/>
      <c r="T1692" s="64"/>
      <c r="U1692" s="64"/>
      <c r="V1692" s="64"/>
      <c r="W1692" s="64"/>
      <c r="X1692" s="64"/>
      <c r="Y1692" s="64"/>
      <c r="Z1692" s="64"/>
      <c r="AA1692" s="64"/>
      <c r="AB1692" s="64"/>
      <c r="AC1692" s="64"/>
      <c r="AD1692" s="64"/>
      <c r="AE1692" s="64"/>
      <c r="AF1692" s="64"/>
      <c r="AG1692" s="64"/>
      <c r="AH1692" s="64"/>
      <c r="AI1692" s="64"/>
      <c r="AJ1692" s="64"/>
      <c r="AK1692" s="64"/>
      <c r="AL1692" s="64"/>
      <c r="AM1692" s="169"/>
      <c r="AN1692" s="169"/>
      <c r="AO1692" s="169"/>
      <c r="AP1692" s="169"/>
      <c r="AQ1692" s="169"/>
      <c r="AR1692" s="169"/>
      <c r="AS1692" s="169"/>
      <c r="AT1692" s="169"/>
    </row>
    <row r="1693" spans="10:46">
      <c r="J1693" s="64"/>
      <c r="K1693" s="64"/>
      <c r="L1693" s="64"/>
      <c r="M1693" s="64"/>
      <c r="N1693" s="64"/>
      <c r="O1693" s="64"/>
      <c r="P1693" s="64"/>
      <c r="Q1693" s="64"/>
      <c r="R1693" s="64"/>
      <c r="S1693" s="64"/>
      <c r="T1693" s="64"/>
      <c r="U1693" s="64"/>
      <c r="V1693" s="64"/>
      <c r="W1693" s="64"/>
      <c r="X1693" s="64"/>
      <c r="Y1693" s="64"/>
      <c r="Z1693" s="64"/>
      <c r="AA1693" s="64"/>
      <c r="AB1693" s="64"/>
      <c r="AC1693" s="64"/>
      <c r="AD1693" s="64"/>
      <c r="AE1693" s="64"/>
      <c r="AF1693" s="64"/>
      <c r="AG1693" s="64"/>
      <c r="AH1693" s="64"/>
      <c r="AI1693" s="64"/>
      <c r="AJ1693" s="64"/>
      <c r="AK1693" s="64"/>
      <c r="AL1693" s="64"/>
      <c r="AM1693" s="169"/>
      <c r="AN1693" s="169"/>
      <c r="AO1693" s="169"/>
      <c r="AP1693" s="169"/>
      <c r="AQ1693" s="169"/>
      <c r="AR1693" s="169"/>
      <c r="AS1693" s="169"/>
      <c r="AT1693" s="169"/>
    </row>
    <row r="1694" spans="10:46">
      <c r="J1694" s="64"/>
      <c r="K1694" s="64"/>
      <c r="L1694" s="64"/>
      <c r="M1694" s="64"/>
      <c r="N1694" s="64"/>
      <c r="O1694" s="64"/>
      <c r="P1694" s="64"/>
      <c r="Q1694" s="64"/>
      <c r="R1694" s="64"/>
      <c r="S1694" s="64"/>
      <c r="T1694" s="64"/>
      <c r="U1694" s="64"/>
      <c r="V1694" s="64"/>
      <c r="W1694" s="64"/>
      <c r="X1694" s="64"/>
      <c r="Y1694" s="64"/>
      <c r="Z1694" s="64"/>
      <c r="AA1694" s="64"/>
      <c r="AB1694" s="64"/>
      <c r="AC1694" s="64"/>
      <c r="AD1694" s="64"/>
      <c r="AE1694" s="64"/>
      <c r="AF1694" s="64"/>
      <c r="AG1694" s="64"/>
      <c r="AH1694" s="64"/>
      <c r="AI1694" s="64"/>
      <c r="AJ1694" s="64"/>
      <c r="AK1694" s="64"/>
      <c r="AL1694" s="64"/>
      <c r="AM1694" s="169"/>
      <c r="AN1694" s="169"/>
      <c r="AO1694" s="169"/>
      <c r="AP1694" s="169"/>
      <c r="AQ1694" s="169"/>
      <c r="AR1694" s="169"/>
      <c r="AS1694" s="169"/>
      <c r="AT1694" s="169"/>
    </row>
    <row r="1695" spans="10:46">
      <c r="J1695" s="64"/>
      <c r="K1695" s="64"/>
      <c r="L1695" s="64"/>
      <c r="M1695" s="64"/>
      <c r="N1695" s="64"/>
      <c r="O1695" s="64"/>
      <c r="P1695" s="64"/>
      <c r="Q1695" s="64"/>
      <c r="R1695" s="64"/>
      <c r="S1695" s="64"/>
      <c r="T1695" s="64"/>
      <c r="U1695" s="64"/>
      <c r="V1695" s="64"/>
      <c r="W1695" s="64"/>
      <c r="X1695" s="64"/>
      <c r="Y1695" s="64"/>
      <c r="Z1695" s="64"/>
      <c r="AA1695" s="64"/>
      <c r="AB1695" s="64"/>
      <c r="AC1695" s="64"/>
      <c r="AD1695" s="64"/>
      <c r="AE1695" s="64"/>
      <c r="AF1695" s="64"/>
      <c r="AG1695" s="64"/>
      <c r="AH1695" s="64"/>
      <c r="AI1695" s="64"/>
      <c r="AJ1695" s="64"/>
      <c r="AK1695" s="64"/>
      <c r="AL1695" s="64"/>
      <c r="AM1695" s="169"/>
      <c r="AN1695" s="169"/>
      <c r="AO1695" s="169"/>
      <c r="AP1695" s="169"/>
      <c r="AQ1695" s="169"/>
      <c r="AR1695" s="169"/>
      <c r="AS1695" s="169"/>
      <c r="AT1695" s="169"/>
    </row>
    <row r="1696" spans="10:46">
      <c r="J1696" s="64"/>
      <c r="K1696" s="64"/>
      <c r="L1696" s="64"/>
      <c r="M1696" s="64"/>
      <c r="N1696" s="64"/>
      <c r="O1696" s="64"/>
      <c r="P1696" s="64"/>
      <c r="Q1696" s="64"/>
      <c r="R1696" s="64"/>
      <c r="S1696" s="64"/>
      <c r="T1696" s="64"/>
      <c r="U1696" s="64"/>
      <c r="V1696" s="64"/>
      <c r="W1696" s="64"/>
      <c r="X1696" s="64"/>
      <c r="Y1696" s="64"/>
      <c r="Z1696" s="64"/>
      <c r="AA1696" s="64"/>
      <c r="AB1696" s="64"/>
      <c r="AC1696" s="64"/>
      <c r="AD1696" s="64"/>
      <c r="AE1696" s="64"/>
      <c r="AF1696" s="64"/>
      <c r="AG1696" s="64"/>
      <c r="AH1696" s="64"/>
      <c r="AI1696" s="64"/>
      <c r="AJ1696" s="64"/>
      <c r="AK1696" s="64"/>
      <c r="AL1696" s="64"/>
      <c r="AM1696" s="169"/>
      <c r="AN1696" s="169"/>
      <c r="AO1696" s="169"/>
      <c r="AP1696" s="169"/>
      <c r="AQ1696" s="169"/>
      <c r="AR1696" s="169"/>
      <c r="AS1696" s="169"/>
      <c r="AT1696" s="169"/>
    </row>
    <row r="1697" spans="10:46">
      <c r="J1697" s="64"/>
      <c r="K1697" s="64"/>
      <c r="L1697" s="64"/>
      <c r="M1697" s="64"/>
      <c r="N1697" s="64"/>
      <c r="O1697" s="64"/>
      <c r="P1697" s="64"/>
      <c r="Q1697" s="64"/>
      <c r="R1697" s="64"/>
      <c r="S1697" s="64"/>
      <c r="T1697" s="64"/>
      <c r="U1697" s="64"/>
      <c r="V1697" s="64"/>
      <c r="W1697" s="64"/>
      <c r="X1697" s="64"/>
      <c r="Y1697" s="64"/>
      <c r="Z1697" s="64"/>
      <c r="AA1697" s="64"/>
      <c r="AB1697" s="64"/>
      <c r="AC1697" s="64"/>
      <c r="AD1697" s="64"/>
      <c r="AE1697" s="64"/>
      <c r="AF1697" s="64"/>
      <c r="AG1697" s="64"/>
      <c r="AH1697" s="64"/>
      <c r="AI1697" s="64"/>
      <c r="AJ1697" s="64"/>
      <c r="AK1697" s="64"/>
      <c r="AL1697" s="64"/>
      <c r="AM1697" s="169"/>
      <c r="AN1697" s="169"/>
      <c r="AO1697" s="169"/>
      <c r="AP1697" s="169"/>
      <c r="AQ1697" s="169"/>
      <c r="AR1697" s="169"/>
      <c r="AS1697" s="169"/>
      <c r="AT1697" s="169"/>
    </row>
    <row r="1698" spans="10:46">
      <c r="J1698" s="64"/>
      <c r="K1698" s="64"/>
      <c r="L1698" s="64"/>
      <c r="M1698" s="64"/>
      <c r="N1698" s="64"/>
      <c r="O1698" s="64"/>
      <c r="P1698" s="64"/>
      <c r="Q1698" s="64"/>
      <c r="R1698" s="64"/>
      <c r="S1698" s="64"/>
      <c r="T1698" s="64"/>
      <c r="U1698" s="64"/>
      <c r="V1698" s="64"/>
      <c r="W1698" s="64"/>
      <c r="X1698" s="64"/>
      <c r="Y1698" s="64"/>
      <c r="Z1698" s="64"/>
      <c r="AA1698" s="64"/>
      <c r="AB1698" s="64"/>
      <c r="AC1698" s="64"/>
      <c r="AD1698" s="64"/>
      <c r="AE1698" s="64"/>
      <c r="AF1698" s="64"/>
      <c r="AG1698" s="64"/>
      <c r="AH1698" s="64"/>
      <c r="AI1698" s="64"/>
      <c r="AJ1698" s="64"/>
      <c r="AK1698" s="64"/>
      <c r="AL1698" s="64"/>
      <c r="AM1698" s="169"/>
      <c r="AN1698" s="169"/>
      <c r="AO1698" s="169"/>
      <c r="AP1698" s="169"/>
      <c r="AQ1698" s="169"/>
      <c r="AR1698" s="169"/>
      <c r="AS1698" s="169"/>
      <c r="AT1698" s="169"/>
    </row>
    <row r="1699" spans="10:46">
      <c r="J1699" s="64"/>
      <c r="K1699" s="64"/>
      <c r="L1699" s="64"/>
      <c r="M1699" s="64"/>
      <c r="N1699" s="64"/>
      <c r="O1699" s="64"/>
      <c r="P1699" s="64"/>
      <c r="Q1699" s="64"/>
      <c r="R1699" s="64"/>
      <c r="S1699" s="64"/>
      <c r="T1699" s="64"/>
      <c r="U1699" s="64"/>
      <c r="V1699" s="64"/>
      <c r="W1699" s="64"/>
      <c r="X1699" s="64"/>
      <c r="Y1699" s="64"/>
      <c r="Z1699" s="64"/>
      <c r="AA1699" s="64"/>
      <c r="AB1699" s="64"/>
      <c r="AC1699" s="64"/>
      <c r="AD1699" s="64"/>
      <c r="AE1699" s="64"/>
      <c r="AF1699" s="64"/>
      <c r="AG1699" s="64"/>
      <c r="AH1699" s="64"/>
      <c r="AI1699" s="64"/>
      <c r="AJ1699" s="64"/>
      <c r="AK1699" s="64"/>
      <c r="AL1699" s="64"/>
      <c r="AM1699" s="169"/>
      <c r="AN1699" s="169"/>
      <c r="AO1699" s="169"/>
      <c r="AP1699" s="169"/>
      <c r="AQ1699" s="169"/>
      <c r="AR1699" s="169"/>
      <c r="AS1699" s="169"/>
      <c r="AT1699" s="169"/>
    </row>
    <row r="1700" spans="10:46">
      <c r="J1700" s="64"/>
      <c r="K1700" s="64"/>
      <c r="L1700" s="64"/>
      <c r="M1700" s="64"/>
      <c r="N1700" s="64"/>
      <c r="O1700" s="64"/>
      <c r="P1700" s="64"/>
      <c r="Q1700" s="64"/>
      <c r="R1700" s="64"/>
      <c r="S1700" s="64"/>
      <c r="T1700" s="64"/>
      <c r="U1700" s="64"/>
      <c r="V1700" s="64"/>
      <c r="W1700" s="64"/>
      <c r="X1700" s="64"/>
      <c r="Y1700" s="64"/>
      <c r="Z1700" s="64"/>
      <c r="AA1700" s="64"/>
      <c r="AB1700" s="64"/>
      <c r="AC1700" s="64"/>
      <c r="AD1700" s="64"/>
      <c r="AE1700" s="64"/>
      <c r="AF1700" s="64"/>
      <c r="AG1700" s="64"/>
      <c r="AH1700" s="64"/>
      <c r="AI1700" s="64"/>
      <c r="AJ1700" s="64"/>
      <c r="AK1700" s="64"/>
      <c r="AL1700" s="64"/>
      <c r="AM1700" s="169"/>
      <c r="AN1700" s="169"/>
      <c r="AO1700" s="169"/>
      <c r="AP1700" s="169"/>
      <c r="AQ1700" s="169"/>
      <c r="AR1700" s="169"/>
      <c r="AS1700" s="169"/>
      <c r="AT1700" s="169"/>
    </row>
    <row r="1701" spans="10:46">
      <c r="J1701" s="64"/>
      <c r="K1701" s="64"/>
      <c r="L1701" s="64"/>
      <c r="M1701" s="64"/>
      <c r="N1701" s="64"/>
      <c r="O1701" s="64"/>
      <c r="P1701" s="64"/>
      <c r="Q1701" s="64"/>
      <c r="R1701" s="64"/>
      <c r="S1701" s="64"/>
      <c r="T1701" s="64"/>
      <c r="U1701" s="64"/>
      <c r="V1701" s="64"/>
      <c r="W1701" s="64"/>
      <c r="X1701" s="64"/>
      <c r="Y1701" s="64"/>
      <c r="Z1701" s="64"/>
      <c r="AA1701" s="64"/>
      <c r="AB1701" s="64"/>
      <c r="AC1701" s="64"/>
      <c r="AD1701" s="64"/>
      <c r="AE1701" s="64"/>
      <c r="AF1701" s="64"/>
      <c r="AG1701" s="64"/>
      <c r="AH1701" s="64"/>
      <c r="AI1701" s="64"/>
      <c r="AJ1701" s="64"/>
      <c r="AK1701" s="64"/>
      <c r="AL1701" s="64"/>
      <c r="AM1701" s="169"/>
      <c r="AN1701" s="169"/>
      <c r="AO1701" s="169"/>
      <c r="AP1701" s="169"/>
      <c r="AQ1701" s="169"/>
      <c r="AR1701" s="169"/>
      <c r="AS1701" s="169"/>
      <c r="AT1701" s="169"/>
    </row>
    <row r="1702" spans="10:46">
      <c r="J1702" s="64"/>
      <c r="K1702" s="64"/>
      <c r="L1702" s="64"/>
      <c r="M1702" s="64"/>
      <c r="N1702" s="64"/>
      <c r="O1702" s="64"/>
      <c r="P1702" s="64"/>
      <c r="Q1702" s="64"/>
      <c r="R1702" s="64"/>
      <c r="S1702" s="64"/>
      <c r="T1702" s="64"/>
      <c r="U1702" s="64"/>
      <c r="V1702" s="64"/>
      <c r="W1702" s="64"/>
      <c r="X1702" s="64"/>
      <c r="Y1702" s="64"/>
      <c r="Z1702" s="64"/>
      <c r="AA1702" s="64"/>
      <c r="AB1702" s="64"/>
      <c r="AC1702" s="64"/>
      <c r="AD1702" s="64"/>
      <c r="AE1702" s="64"/>
      <c r="AF1702" s="64"/>
      <c r="AG1702" s="64"/>
      <c r="AH1702" s="64"/>
      <c r="AI1702" s="64"/>
      <c r="AJ1702" s="64"/>
      <c r="AK1702" s="64"/>
      <c r="AL1702" s="64"/>
      <c r="AM1702" s="169"/>
      <c r="AN1702" s="169"/>
      <c r="AO1702" s="169"/>
      <c r="AP1702" s="169"/>
      <c r="AQ1702" s="169"/>
      <c r="AR1702" s="169"/>
      <c r="AS1702" s="169"/>
      <c r="AT1702" s="169"/>
    </row>
    <row r="1703" spans="10:46">
      <c r="J1703" s="64"/>
      <c r="K1703" s="64"/>
      <c r="L1703" s="64"/>
      <c r="M1703" s="64"/>
      <c r="N1703" s="64"/>
      <c r="O1703" s="64"/>
      <c r="P1703" s="64"/>
      <c r="Q1703" s="64"/>
      <c r="R1703" s="64"/>
      <c r="S1703" s="64"/>
      <c r="T1703" s="64"/>
      <c r="U1703" s="64"/>
      <c r="V1703" s="64"/>
      <c r="W1703" s="64"/>
      <c r="X1703" s="64"/>
      <c r="Y1703" s="64"/>
      <c r="Z1703" s="64"/>
      <c r="AA1703" s="64"/>
      <c r="AB1703" s="64"/>
      <c r="AC1703" s="64"/>
      <c r="AD1703" s="64"/>
      <c r="AE1703" s="64"/>
      <c r="AF1703" s="64"/>
      <c r="AG1703" s="64"/>
      <c r="AH1703" s="64"/>
      <c r="AI1703" s="64"/>
      <c r="AJ1703" s="64"/>
      <c r="AK1703" s="64"/>
      <c r="AL1703" s="64"/>
      <c r="AM1703" s="169"/>
      <c r="AN1703" s="169"/>
      <c r="AO1703" s="169"/>
      <c r="AP1703" s="169"/>
      <c r="AQ1703" s="169"/>
      <c r="AR1703" s="169"/>
      <c r="AS1703" s="169"/>
      <c r="AT1703" s="169"/>
    </row>
    <row r="1704" spans="10:46">
      <c r="J1704" s="64"/>
      <c r="K1704" s="64"/>
      <c r="L1704" s="64"/>
      <c r="M1704" s="64"/>
      <c r="N1704" s="64"/>
      <c r="O1704" s="64"/>
      <c r="P1704" s="64"/>
      <c r="Q1704" s="64"/>
      <c r="R1704" s="64"/>
      <c r="S1704" s="64"/>
      <c r="T1704" s="64"/>
      <c r="U1704" s="64"/>
      <c r="V1704" s="64"/>
      <c r="W1704" s="64"/>
      <c r="X1704" s="64"/>
      <c r="Y1704" s="64"/>
      <c r="Z1704" s="64"/>
      <c r="AA1704" s="64"/>
      <c r="AB1704" s="64"/>
      <c r="AC1704" s="64"/>
      <c r="AD1704" s="64"/>
      <c r="AE1704" s="64"/>
      <c r="AF1704" s="64"/>
      <c r="AG1704" s="64"/>
      <c r="AH1704" s="64"/>
      <c r="AI1704" s="64"/>
      <c r="AJ1704" s="64"/>
      <c r="AK1704" s="64"/>
      <c r="AL1704" s="64"/>
      <c r="AM1704" s="169"/>
      <c r="AN1704" s="169"/>
      <c r="AO1704" s="169"/>
      <c r="AP1704" s="169"/>
      <c r="AQ1704" s="169"/>
      <c r="AR1704" s="169"/>
      <c r="AS1704" s="169"/>
      <c r="AT1704" s="169"/>
    </row>
    <row r="1705" spans="10:46">
      <c r="J1705" s="64"/>
      <c r="K1705" s="64"/>
      <c r="L1705" s="64"/>
      <c r="M1705" s="64"/>
      <c r="N1705" s="64"/>
      <c r="O1705" s="64"/>
      <c r="P1705" s="64"/>
      <c r="Q1705" s="64"/>
      <c r="R1705" s="64"/>
      <c r="S1705" s="64"/>
      <c r="T1705" s="64"/>
      <c r="U1705" s="64"/>
      <c r="V1705" s="64"/>
      <c r="W1705" s="64"/>
      <c r="X1705" s="64"/>
      <c r="Y1705" s="64"/>
      <c r="Z1705" s="64"/>
      <c r="AA1705" s="64"/>
      <c r="AB1705" s="64"/>
      <c r="AC1705" s="64"/>
      <c r="AD1705" s="64"/>
      <c r="AE1705" s="64"/>
      <c r="AF1705" s="64"/>
      <c r="AG1705" s="64"/>
      <c r="AH1705" s="64"/>
      <c r="AI1705" s="64"/>
      <c r="AJ1705" s="64"/>
      <c r="AK1705" s="64"/>
      <c r="AL1705" s="64"/>
      <c r="AM1705" s="169"/>
      <c r="AN1705" s="169"/>
      <c r="AO1705" s="169"/>
      <c r="AP1705" s="169"/>
      <c r="AQ1705" s="169"/>
      <c r="AR1705" s="169"/>
      <c r="AS1705" s="169"/>
      <c r="AT1705" s="169"/>
    </row>
    <row r="1706" spans="10:46">
      <c r="J1706" s="64"/>
      <c r="K1706" s="64"/>
      <c r="L1706" s="64"/>
      <c r="M1706" s="64"/>
      <c r="N1706" s="64"/>
      <c r="O1706" s="64"/>
      <c r="P1706" s="64"/>
      <c r="Q1706" s="64"/>
      <c r="R1706" s="64"/>
      <c r="S1706" s="64"/>
      <c r="T1706" s="64"/>
      <c r="U1706" s="64"/>
      <c r="V1706" s="64"/>
      <c r="W1706" s="64"/>
      <c r="X1706" s="64"/>
      <c r="Y1706" s="64"/>
      <c r="Z1706" s="64"/>
      <c r="AA1706" s="64"/>
      <c r="AB1706" s="64"/>
      <c r="AC1706" s="64"/>
      <c r="AD1706" s="64"/>
      <c r="AE1706" s="64"/>
      <c r="AF1706" s="64"/>
      <c r="AG1706" s="64"/>
      <c r="AH1706" s="64"/>
      <c r="AI1706" s="64"/>
      <c r="AJ1706" s="64"/>
      <c r="AK1706" s="64"/>
      <c r="AL1706" s="64"/>
      <c r="AM1706" s="169"/>
      <c r="AN1706" s="169"/>
      <c r="AO1706" s="169"/>
      <c r="AP1706" s="169"/>
      <c r="AQ1706" s="169"/>
      <c r="AR1706" s="169"/>
      <c r="AS1706" s="169"/>
      <c r="AT1706" s="169"/>
    </row>
    <row r="1707" spans="10:46">
      <c r="J1707" s="64"/>
      <c r="K1707" s="64"/>
      <c r="L1707" s="64"/>
      <c r="M1707" s="64"/>
      <c r="N1707" s="64"/>
      <c r="O1707" s="64"/>
      <c r="P1707" s="64"/>
      <c r="Q1707" s="64"/>
      <c r="R1707" s="64"/>
      <c r="S1707" s="64"/>
      <c r="T1707" s="64"/>
      <c r="U1707" s="64"/>
      <c r="V1707" s="64"/>
      <c r="W1707" s="64"/>
      <c r="X1707" s="64"/>
      <c r="Y1707" s="64"/>
      <c r="Z1707" s="64"/>
      <c r="AA1707" s="64"/>
      <c r="AB1707" s="64"/>
      <c r="AC1707" s="64"/>
      <c r="AD1707" s="64"/>
      <c r="AE1707" s="64"/>
      <c r="AF1707" s="64"/>
      <c r="AG1707" s="64"/>
      <c r="AH1707" s="64"/>
      <c r="AI1707" s="64"/>
      <c r="AJ1707" s="64"/>
      <c r="AK1707" s="64"/>
      <c r="AL1707" s="64"/>
      <c r="AM1707" s="169"/>
      <c r="AN1707" s="169"/>
      <c r="AO1707" s="169"/>
      <c r="AP1707" s="169"/>
      <c r="AQ1707" s="169"/>
      <c r="AR1707" s="169"/>
      <c r="AS1707" s="169"/>
      <c r="AT1707" s="169"/>
    </row>
    <row r="1708" spans="10:46">
      <c r="J1708" s="64"/>
      <c r="K1708" s="64"/>
      <c r="L1708" s="64"/>
      <c r="M1708" s="64"/>
      <c r="N1708" s="64"/>
      <c r="O1708" s="64"/>
      <c r="P1708" s="64"/>
      <c r="Q1708" s="64"/>
      <c r="R1708" s="64"/>
      <c r="S1708" s="64"/>
      <c r="T1708" s="64"/>
      <c r="U1708" s="64"/>
      <c r="V1708" s="64"/>
      <c r="W1708" s="64"/>
      <c r="X1708" s="64"/>
      <c r="Y1708" s="64"/>
      <c r="Z1708" s="64"/>
      <c r="AA1708" s="64"/>
      <c r="AB1708" s="64"/>
      <c r="AC1708" s="64"/>
      <c r="AD1708" s="64"/>
      <c r="AE1708" s="64"/>
      <c r="AF1708" s="64"/>
      <c r="AG1708" s="64"/>
      <c r="AH1708" s="64"/>
      <c r="AI1708" s="64"/>
      <c r="AJ1708" s="64"/>
      <c r="AK1708" s="64"/>
      <c r="AL1708" s="64"/>
      <c r="AM1708" s="169"/>
      <c r="AN1708" s="169"/>
      <c r="AO1708" s="169"/>
      <c r="AP1708" s="169"/>
      <c r="AQ1708" s="169"/>
      <c r="AR1708" s="169"/>
      <c r="AS1708" s="169"/>
      <c r="AT1708" s="169"/>
    </row>
    <row r="1709" spans="10:46">
      <c r="J1709" s="64"/>
      <c r="K1709" s="64"/>
      <c r="L1709" s="64"/>
      <c r="M1709" s="64"/>
      <c r="N1709" s="64"/>
      <c r="O1709" s="64"/>
      <c r="P1709" s="64"/>
      <c r="Q1709" s="64"/>
      <c r="R1709" s="64"/>
      <c r="S1709" s="64"/>
      <c r="T1709" s="64"/>
      <c r="U1709" s="64"/>
      <c r="V1709" s="64"/>
      <c r="W1709" s="64"/>
      <c r="X1709" s="64"/>
      <c r="Y1709" s="64"/>
      <c r="Z1709" s="64"/>
      <c r="AA1709" s="64"/>
      <c r="AB1709" s="64"/>
      <c r="AC1709" s="64"/>
      <c r="AD1709" s="64"/>
      <c r="AE1709" s="64"/>
      <c r="AF1709" s="64"/>
      <c r="AG1709" s="64"/>
      <c r="AH1709" s="64"/>
      <c r="AI1709" s="64"/>
      <c r="AJ1709" s="64"/>
      <c r="AK1709" s="64"/>
      <c r="AL1709" s="64"/>
      <c r="AM1709" s="169"/>
      <c r="AN1709" s="169"/>
      <c r="AO1709" s="169"/>
      <c r="AP1709" s="169"/>
      <c r="AQ1709" s="169"/>
      <c r="AR1709" s="169"/>
      <c r="AS1709" s="169"/>
      <c r="AT1709" s="169"/>
    </row>
    <row r="1710" spans="10:46">
      <c r="J1710" s="64"/>
      <c r="K1710" s="64"/>
      <c r="L1710" s="64"/>
      <c r="M1710" s="64"/>
      <c r="N1710" s="64"/>
      <c r="O1710" s="64"/>
      <c r="P1710" s="64"/>
      <c r="Q1710" s="64"/>
      <c r="R1710" s="64"/>
      <c r="S1710" s="64"/>
      <c r="T1710" s="64"/>
      <c r="U1710" s="64"/>
      <c r="V1710" s="64"/>
      <c r="W1710" s="64"/>
      <c r="X1710" s="64"/>
      <c r="Y1710" s="64"/>
      <c r="Z1710" s="64"/>
      <c r="AA1710" s="64"/>
      <c r="AB1710" s="64"/>
      <c r="AC1710" s="64"/>
      <c r="AD1710" s="64"/>
      <c r="AE1710" s="64"/>
      <c r="AF1710" s="64"/>
      <c r="AG1710" s="64"/>
      <c r="AH1710" s="64"/>
      <c r="AI1710" s="64"/>
      <c r="AJ1710" s="64"/>
      <c r="AK1710" s="64"/>
      <c r="AL1710" s="64"/>
      <c r="AM1710" s="169"/>
      <c r="AN1710" s="169"/>
      <c r="AO1710" s="169"/>
      <c r="AP1710" s="169"/>
      <c r="AQ1710" s="169"/>
      <c r="AR1710" s="169"/>
      <c r="AS1710" s="169"/>
      <c r="AT1710" s="169"/>
    </row>
    <row r="1711" spans="10:46">
      <c r="J1711" s="64"/>
      <c r="K1711" s="64"/>
      <c r="L1711" s="64"/>
      <c r="M1711" s="64"/>
      <c r="N1711" s="64"/>
      <c r="O1711" s="64"/>
      <c r="P1711" s="64"/>
      <c r="Q1711" s="64"/>
      <c r="R1711" s="64"/>
      <c r="S1711" s="64"/>
      <c r="T1711" s="64"/>
      <c r="U1711" s="64"/>
      <c r="V1711" s="64"/>
      <c r="W1711" s="64"/>
      <c r="X1711" s="64"/>
      <c r="Y1711" s="64"/>
      <c r="Z1711" s="64"/>
      <c r="AA1711" s="64"/>
      <c r="AB1711" s="64"/>
      <c r="AC1711" s="64"/>
      <c r="AD1711" s="64"/>
      <c r="AE1711" s="64"/>
      <c r="AF1711" s="64"/>
      <c r="AG1711" s="64"/>
      <c r="AH1711" s="64"/>
      <c r="AI1711" s="64"/>
      <c r="AJ1711" s="64"/>
      <c r="AK1711" s="64"/>
      <c r="AL1711" s="64"/>
      <c r="AM1711" s="169"/>
      <c r="AN1711" s="169"/>
      <c r="AO1711" s="169"/>
      <c r="AP1711" s="169"/>
      <c r="AQ1711" s="169"/>
      <c r="AR1711" s="169"/>
      <c r="AS1711" s="169"/>
      <c r="AT1711" s="169"/>
    </row>
    <row r="1712" spans="10:46">
      <c r="J1712" s="64"/>
      <c r="K1712" s="64"/>
      <c r="L1712" s="64"/>
      <c r="M1712" s="64"/>
      <c r="N1712" s="64"/>
      <c r="O1712" s="64"/>
      <c r="P1712" s="64"/>
      <c r="Q1712" s="64"/>
      <c r="R1712" s="64"/>
      <c r="S1712" s="64"/>
      <c r="T1712" s="64"/>
      <c r="U1712" s="64"/>
      <c r="V1712" s="64"/>
      <c r="W1712" s="64"/>
      <c r="X1712" s="64"/>
      <c r="Y1712" s="64"/>
      <c r="Z1712" s="64"/>
      <c r="AA1712" s="64"/>
      <c r="AB1712" s="64"/>
      <c r="AC1712" s="64"/>
      <c r="AD1712" s="64"/>
      <c r="AE1712" s="64"/>
      <c r="AF1712" s="64"/>
      <c r="AG1712" s="64"/>
      <c r="AH1712" s="64"/>
      <c r="AI1712" s="64"/>
      <c r="AJ1712" s="64"/>
      <c r="AK1712" s="64"/>
      <c r="AL1712" s="64"/>
      <c r="AM1712" s="169"/>
      <c r="AN1712" s="169"/>
      <c r="AO1712" s="169"/>
      <c r="AP1712" s="169"/>
      <c r="AQ1712" s="169"/>
      <c r="AR1712" s="169"/>
      <c r="AS1712" s="169"/>
      <c r="AT1712" s="169"/>
    </row>
    <row r="1713" spans="10:46">
      <c r="J1713" s="64"/>
      <c r="K1713" s="64"/>
      <c r="L1713" s="64"/>
      <c r="M1713" s="64"/>
      <c r="N1713" s="64"/>
      <c r="O1713" s="64"/>
      <c r="P1713" s="64"/>
      <c r="Q1713" s="64"/>
      <c r="R1713" s="64"/>
      <c r="S1713" s="64"/>
      <c r="T1713" s="64"/>
      <c r="U1713" s="64"/>
      <c r="V1713" s="64"/>
      <c r="W1713" s="64"/>
      <c r="X1713" s="64"/>
      <c r="Y1713" s="64"/>
      <c r="Z1713" s="64"/>
      <c r="AA1713" s="64"/>
      <c r="AB1713" s="64"/>
      <c r="AC1713" s="64"/>
      <c r="AD1713" s="64"/>
      <c r="AE1713" s="64"/>
      <c r="AF1713" s="64"/>
      <c r="AG1713" s="64"/>
      <c r="AH1713" s="64"/>
      <c r="AI1713" s="64"/>
      <c r="AJ1713" s="64"/>
      <c r="AK1713" s="64"/>
      <c r="AL1713" s="64"/>
      <c r="AM1713" s="169"/>
      <c r="AN1713" s="169"/>
      <c r="AO1713" s="169"/>
      <c r="AP1713" s="169"/>
      <c r="AQ1713" s="169"/>
      <c r="AR1713" s="169"/>
      <c r="AS1713" s="169"/>
      <c r="AT1713" s="169"/>
    </row>
    <row r="1714" spans="10:46">
      <c r="J1714" s="64"/>
      <c r="K1714" s="64"/>
      <c r="L1714" s="64"/>
      <c r="M1714" s="64"/>
      <c r="N1714" s="64"/>
      <c r="O1714" s="64"/>
      <c r="P1714" s="64"/>
      <c r="Q1714" s="64"/>
      <c r="R1714" s="64"/>
      <c r="S1714" s="64"/>
      <c r="T1714" s="64"/>
      <c r="U1714" s="64"/>
      <c r="V1714" s="64"/>
      <c r="W1714" s="64"/>
      <c r="X1714" s="64"/>
      <c r="Y1714" s="64"/>
      <c r="Z1714" s="64"/>
      <c r="AA1714" s="64"/>
      <c r="AB1714" s="64"/>
      <c r="AC1714" s="64"/>
      <c r="AD1714" s="64"/>
      <c r="AE1714" s="64"/>
      <c r="AF1714" s="64"/>
      <c r="AG1714" s="64"/>
      <c r="AH1714" s="64"/>
      <c r="AI1714" s="64"/>
      <c r="AJ1714" s="64"/>
      <c r="AK1714" s="64"/>
      <c r="AL1714" s="64"/>
      <c r="AM1714" s="169"/>
      <c r="AN1714" s="169"/>
      <c r="AO1714" s="169"/>
      <c r="AP1714" s="169"/>
      <c r="AQ1714" s="169"/>
      <c r="AR1714" s="169"/>
      <c r="AS1714" s="169"/>
      <c r="AT1714" s="169"/>
    </row>
    <row r="1715" spans="10:46">
      <c r="J1715" s="64"/>
      <c r="K1715" s="64"/>
      <c r="L1715" s="64"/>
      <c r="M1715" s="64"/>
      <c r="N1715" s="64"/>
      <c r="O1715" s="64"/>
      <c r="P1715" s="64"/>
      <c r="Q1715" s="64"/>
      <c r="R1715" s="64"/>
      <c r="S1715" s="64"/>
      <c r="T1715" s="64"/>
      <c r="U1715" s="64"/>
      <c r="V1715" s="64"/>
      <c r="W1715" s="64"/>
      <c r="X1715" s="64"/>
      <c r="Y1715" s="64"/>
      <c r="Z1715" s="64"/>
      <c r="AA1715" s="64"/>
      <c r="AB1715" s="64"/>
      <c r="AC1715" s="64"/>
      <c r="AD1715" s="64"/>
      <c r="AE1715" s="64"/>
      <c r="AF1715" s="64"/>
      <c r="AG1715" s="64"/>
      <c r="AH1715" s="64"/>
      <c r="AI1715" s="64"/>
      <c r="AJ1715" s="64"/>
      <c r="AK1715" s="64"/>
      <c r="AL1715" s="64"/>
      <c r="AM1715" s="169"/>
      <c r="AN1715" s="169"/>
      <c r="AO1715" s="169"/>
      <c r="AP1715" s="169"/>
      <c r="AQ1715" s="169"/>
      <c r="AR1715" s="169"/>
      <c r="AS1715" s="169"/>
      <c r="AT1715" s="169"/>
    </row>
    <row r="1716" spans="10:46">
      <c r="J1716" s="64"/>
      <c r="K1716" s="64"/>
      <c r="L1716" s="64"/>
      <c r="M1716" s="64"/>
      <c r="N1716" s="64"/>
      <c r="O1716" s="64"/>
      <c r="P1716" s="64"/>
      <c r="Q1716" s="64"/>
      <c r="R1716" s="64"/>
      <c r="S1716" s="64"/>
      <c r="T1716" s="64"/>
      <c r="U1716" s="64"/>
      <c r="V1716" s="64"/>
      <c r="W1716" s="64"/>
      <c r="X1716" s="64"/>
      <c r="Y1716" s="64"/>
      <c r="Z1716" s="64"/>
      <c r="AA1716" s="64"/>
      <c r="AB1716" s="64"/>
      <c r="AC1716" s="64"/>
      <c r="AD1716" s="64"/>
      <c r="AE1716" s="64"/>
      <c r="AF1716" s="64"/>
      <c r="AG1716" s="64"/>
      <c r="AH1716" s="64"/>
      <c r="AI1716" s="64"/>
      <c r="AJ1716" s="64"/>
      <c r="AK1716" s="64"/>
      <c r="AL1716" s="64"/>
      <c r="AM1716" s="169"/>
      <c r="AN1716" s="169"/>
      <c r="AO1716" s="169"/>
      <c r="AP1716" s="169"/>
      <c r="AQ1716" s="169"/>
      <c r="AR1716" s="169"/>
      <c r="AS1716" s="169"/>
      <c r="AT1716" s="169"/>
    </row>
    <row r="1717" spans="10:46">
      <c r="J1717" s="64"/>
      <c r="K1717" s="64"/>
      <c r="L1717" s="64"/>
      <c r="M1717" s="64"/>
      <c r="N1717" s="64"/>
      <c r="O1717" s="64"/>
      <c r="P1717" s="64"/>
      <c r="Q1717" s="64"/>
      <c r="R1717" s="64"/>
      <c r="S1717" s="64"/>
      <c r="T1717" s="64"/>
      <c r="U1717" s="64"/>
      <c r="V1717" s="64"/>
      <c r="W1717" s="64"/>
      <c r="X1717" s="64"/>
      <c r="Y1717" s="64"/>
      <c r="Z1717" s="64"/>
      <c r="AA1717" s="64"/>
      <c r="AB1717" s="64"/>
      <c r="AC1717" s="64"/>
      <c r="AD1717" s="64"/>
      <c r="AE1717" s="64"/>
      <c r="AF1717" s="64"/>
      <c r="AG1717" s="64"/>
      <c r="AH1717" s="64"/>
      <c r="AI1717" s="64"/>
      <c r="AJ1717" s="64"/>
      <c r="AK1717" s="64"/>
      <c r="AL1717" s="64"/>
      <c r="AM1717" s="169"/>
      <c r="AN1717" s="169"/>
      <c r="AO1717" s="169"/>
      <c r="AP1717" s="169"/>
      <c r="AQ1717" s="169"/>
      <c r="AR1717" s="169"/>
      <c r="AS1717" s="169"/>
      <c r="AT1717" s="169"/>
    </row>
    <row r="1718" spans="10:46">
      <c r="J1718" s="64"/>
      <c r="K1718" s="64"/>
      <c r="L1718" s="64"/>
      <c r="M1718" s="64"/>
      <c r="N1718" s="64"/>
      <c r="O1718" s="64"/>
      <c r="P1718" s="64"/>
      <c r="Q1718" s="64"/>
      <c r="R1718" s="64"/>
      <c r="S1718" s="64"/>
      <c r="T1718" s="64"/>
      <c r="U1718" s="64"/>
      <c r="V1718" s="64"/>
      <c r="W1718" s="64"/>
      <c r="X1718" s="64"/>
      <c r="Y1718" s="64"/>
      <c r="Z1718" s="64"/>
      <c r="AA1718" s="64"/>
      <c r="AB1718" s="64"/>
      <c r="AC1718" s="64"/>
      <c r="AD1718" s="64"/>
      <c r="AE1718" s="64"/>
      <c r="AF1718" s="64"/>
      <c r="AG1718" s="64"/>
      <c r="AH1718" s="64"/>
      <c r="AI1718" s="64"/>
      <c r="AJ1718" s="64"/>
      <c r="AK1718" s="64"/>
      <c r="AL1718" s="64"/>
      <c r="AM1718" s="169"/>
      <c r="AN1718" s="169"/>
      <c r="AO1718" s="169"/>
      <c r="AP1718" s="169"/>
      <c r="AQ1718" s="169"/>
      <c r="AR1718" s="169"/>
      <c r="AS1718" s="169"/>
      <c r="AT1718" s="169"/>
    </row>
    <row r="1719" spans="10:46">
      <c r="J1719" s="64"/>
      <c r="K1719" s="64"/>
      <c r="L1719" s="64"/>
      <c r="M1719" s="64"/>
      <c r="N1719" s="64"/>
      <c r="O1719" s="64"/>
      <c r="P1719" s="64"/>
      <c r="Q1719" s="64"/>
      <c r="R1719" s="64"/>
      <c r="S1719" s="64"/>
      <c r="T1719" s="64"/>
      <c r="U1719" s="64"/>
      <c r="V1719" s="64"/>
      <c r="W1719" s="64"/>
      <c r="X1719" s="64"/>
      <c r="Y1719" s="64"/>
      <c r="Z1719" s="64"/>
      <c r="AA1719" s="64"/>
      <c r="AB1719" s="64"/>
      <c r="AC1719" s="64"/>
      <c r="AD1719" s="64"/>
      <c r="AE1719" s="64"/>
      <c r="AF1719" s="64"/>
      <c r="AG1719" s="64"/>
      <c r="AH1719" s="64"/>
      <c r="AI1719" s="64"/>
      <c r="AJ1719" s="64"/>
      <c r="AK1719" s="64"/>
      <c r="AL1719" s="64"/>
      <c r="AM1719" s="169"/>
      <c r="AN1719" s="169"/>
      <c r="AO1719" s="169"/>
      <c r="AP1719" s="169"/>
      <c r="AQ1719" s="169"/>
      <c r="AR1719" s="169"/>
      <c r="AS1719" s="169"/>
      <c r="AT1719" s="169"/>
    </row>
    <row r="1720" spans="10:46">
      <c r="J1720" s="64"/>
      <c r="K1720" s="64"/>
      <c r="L1720" s="64"/>
      <c r="M1720" s="64"/>
      <c r="N1720" s="64"/>
      <c r="O1720" s="64"/>
      <c r="P1720" s="64"/>
      <c r="Q1720" s="64"/>
      <c r="R1720" s="64"/>
      <c r="S1720" s="64"/>
      <c r="T1720" s="64"/>
      <c r="U1720" s="64"/>
      <c r="V1720" s="64"/>
      <c r="W1720" s="64"/>
      <c r="X1720" s="64"/>
      <c r="Y1720" s="64"/>
      <c r="Z1720" s="64"/>
      <c r="AA1720" s="64"/>
      <c r="AB1720" s="64"/>
      <c r="AC1720" s="64"/>
      <c r="AD1720" s="64"/>
      <c r="AE1720" s="64"/>
      <c r="AF1720" s="64"/>
      <c r="AG1720" s="64"/>
      <c r="AH1720" s="64"/>
      <c r="AI1720" s="64"/>
      <c r="AJ1720" s="64"/>
      <c r="AK1720" s="64"/>
      <c r="AL1720" s="64"/>
      <c r="AM1720" s="169"/>
      <c r="AN1720" s="169"/>
      <c r="AO1720" s="169"/>
      <c r="AP1720" s="169"/>
      <c r="AQ1720" s="169"/>
      <c r="AR1720" s="169"/>
      <c r="AS1720" s="169"/>
      <c r="AT1720" s="169"/>
    </row>
    <row r="1721" spans="10:46">
      <c r="J1721" s="64"/>
      <c r="K1721" s="64"/>
      <c r="L1721" s="64"/>
      <c r="M1721" s="64"/>
      <c r="N1721" s="64"/>
      <c r="O1721" s="64"/>
      <c r="P1721" s="64"/>
      <c r="Q1721" s="64"/>
      <c r="R1721" s="64"/>
      <c r="S1721" s="64"/>
      <c r="T1721" s="64"/>
      <c r="U1721" s="64"/>
      <c r="V1721" s="64"/>
      <c r="W1721" s="64"/>
      <c r="X1721" s="64"/>
      <c r="Y1721" s="64"/>
      <c r="Z1721" s="64"/>
      <c r="AA1721" s="64"/>
      <c r="AB1721" s="64"/>
      <c r="AC1721" s="64"/>
      <c r="AD1721" s="64"/>
      <c r="AE1721" s="64"/>
      <c r="AF1721" s="64"/>
      <c r="AG1721" s="64"/>
      <c r="AH1721" s="64"/>
      <c r="AI1721" s="64"/>
      <c r="AJ1721" s="64"/>
      <c r="AK1721" s="64"/>
      <c r="AL1721" s="64"/>
      <c r="AM1721" s="169"/>
      <c r="AN1721" s="169"/>
      <c r="AO1721" s="169"/>
      <c r="AP1721" s="169"/>
      <c r="AQ1721" s="169"/>
      <c r="AR1721" s="169"/>
      <c r="AS1721" s="169"/>
      <c r="AT1721" s="169"/>
    </row>
    <row r="1722" spans="10:46">
      <c r="J1722" s="64"/>
      <c r="K1722" s="64"/>
      <c r="L1722" s="64"/>
      <c r="M1722" s="64"/>
      <c r="N1722" s="64"/>
      <c r="O1722" s="64"/>
      <c r="P1722" s="64"/>
      <c r="Q1722" s="64"/>
      <c r="R1722" s="64"/>
      <c r="S1722" s="64"/>
      <c r="T1722" s="64"/>
      <c r="U1722" s="64"/>
      <c r="V1722" s="64"/>
      <c r="W1722" s="64"/>
      <c r="X1722" s="64"/>
      <c r="Y1722" s="64"/>
      <c r="Z1722" s="64"/>
      <c r="AA1722" s="64"/>
      <c r="AB1722" s="64"/>
      <c r="AC1722" s="64"/>
      <c r="AD1722" s="64"/>
      <c r="AE1722" s="64"/>
      <c r="AF1722" s="64"/>
      <c r="AG1722" s="64"/>
      <c r="AH1722" s="64"/>
      <c r="AI1722" s="64"/>
      <c r="AJ1722" s="64"/>
      <c r="AK1722" s="64"/>
      <c r="AL1722" s="64"/>
      <c r="AM1722" s="169"/>
      <c r="AN1722" s="169"/>
      <c r="AO1722" s="169"/>
      <c r="AP1722" s="169"/>
      <c r="AQ1722" s="169"/>
      <c r="AR1722" s="169"/>
      <c r="AS1722" s="169"/>
      <c r="AT1722" s="169"/>
    </row>
    <row r="1723" spans="10:46">
      <c r="J1723" s="64"/>
      <c r="K1723" s="64"/>
      <c r="L1723" s="64"/>
      <c r="M1723" s="64"/>
      <c r="N1723" s="64"/>
      <c r="O1723" s="64"/>
      <c r="P1723" s="64"/>
      <c r="Q1723" s="64"/>
      <c r="R1723" s="64"/>
      <c r="S1723" s="64"/>
      <c r="T1723" s="64"/>
      <c r="U1723" s="64"/>
      <c r="V1723" s="64"/>
      <c r="W1723" s="64"/>
      <c r="X1723" s="64"/>
      <c r="Y1723" s="64"/>
      <c r="Z1723" s="64"/>
      <c r="AA1723" s="64"/>
      <c r="AB1723" s="64"/>
      <c r="AC1723" s="64"/>
      <c r="AD1723" s="64"/>
      <c r="AE1723" s="64"/>
      <c r="AF1723" s="64"/>
      <c r="AG1723" s="64"/>
      <c r="AH1723" s="64"/>
      <c r="AI1723" s="64"/>
      <c r="AJ1723" s="64"/>
      <c r="AK1723" s="64"/>
      <c r="AL1723" s="64"/>
      <c r="AM1723" s="169"/>
      <c r="AN1723" s="169"/>
      <c r="AO1723" s="169"/>
      <c r="AP1723" s="169"/>
      <c r="AQ1723" s="169"/>
      <c r="AR1723" s="169"/>
      <c r="AS1723" s="169"/>
      <c r="AT1723" s="169"/>
    </row>
    <row r="1724" spans="10:46">
      <c r="J1724" s="64"/>
      <c r="K1724" s="64"/>
      <c r="L1724" s="64"/>
      <c r="M1724" s="64"/>
      <c r="N1724" s="64"/>
      <c r="O1724" s="64"/>
      <c r="P1724" s="64"/>
      <c r="Q1724" s="64"/>
      <c r="R1724" s="64"/>
      <c r="S1724" s="64"/>
      <c r="T1724" s="64"/>
      <c r="U1724" s="64"/>
      <c r="V1724" s="64"/>
      <c r="W1724" s="64"/>
      <c r="X1724" s="64"/>
      <c r="Y1724" s="64"/>
      <c r="Z1724" s="64"/>
      <c r="AA1724" s="64"/>
      <c r="AB1724" s="64"/>
      <c r="AC1724" s="64"/>
      <c r="AD1724" s="64"/>
      <c r="AE1724" s="64"/>
      <c r="AF1724" s="64"/>
      <c r="AG1724" s="64"/>
      <c r="AH1724" s="64"/>
      <c r="AI1724" s="64"/>
      <c r="AJ1724" s="64"/>
      <c r="AK1724" s="64"/>
      <c r="AL1724" s="64"/>
      <c r="AM1724" s="169"/>
      <c r="AN1724" s="169"/>
      <c r="AO1724" s="169"/>
      <c r="AP1724" s="169"/>
      <c r="AQ1724" s="169"/>
      <c r="AR1724" s="169"/>
      <c r="AS1724" s="169"/>
      <c r="AT1724" s="169"/>
    </row>
    <row r="1725" spans="10:46">
      <c r="J1725" s="64"/>
      <c r="K1725" s="64"/>
      <c r="L1725" s="64"/>
      <c r="M1725" s="64"/>
      <c r="N1725" s="64"/>
      <c r="O1725" s="64"/>
      <c r="P1725" s="64"/>
      <c r="Q1725" s="64"/>
      <c r="R1725" s="64"/>
      <c r="S1725" s="64"/>
      <c r="T1725" s="64"/>
      <c r="U1725" s="64"/>
      <c r="V1725" s="64"/>
      <c r="W1725" s="64"/>
      <c r="X1725" s="64"/>
      <c r="Y1725" s="64"/>
      <c r="Z1725" s="64"/>
      <c r="AA1725" s="64"/>
      <c r="AB1725" s="64"/>
      <c r="AC1725" s="64"/>
      <c r="AD1725" s="64"/>
      <c r="AE1725" s="64"/>
      <c r="AF1725" s="64"/>
      <c r="AG1725" s="64"/>
      <c r="AH1725" s="64"/>
      <c r="AI1725" s="64"/>
      <c r="AJ1725" s="64"/>
      <c r="AK1725" s="64"/>
      <c r="AL1725" s="64"/>
      <c r="AM1725" s="169"/>
      <c r="AN1725" s="169"/>
      <c r="AO1725" s="169"/>
      <c r="AP1725" s="169"/>
      <c r="AQ1725" s="169"/>
      <c r="AR1725" s="169"/>
      <c r="AS1725" s="169"/>
      <c r="AT1725" s="169"/>
    </row>
    <row r="1726" spans="10:46">
      <c r="J1726" s="64"/>
      <c r="K1726" s="64"/>
      <c r="L1726" s="64"/>
      <c r="M1726" s="64"/>
      <c r="N1726" s="64"/>
      <c r="O1726" s="64"/>
      <c r="P1726" s="64"/>
      <c r="Q1726" s="64"/>
      <c r="R1726" s="64"/>
      <c r="S1726" s="64"/>
      <c r="T1726" s="64"/>
      <c r="U1726" s="64"/>
      <c r="V1726" s="64"/>
      <c r="W1726" s="64"/>
      <c r="X1726" s="64"/>
      <c r="Y1726" s="64"/>
      <c r="Z1726" s="64"/>
      <c r="AA1726" s="64"/>
      <c r="AB1726" s="64"/>
      <c r="AC1726" s="64"/>
      <c r="AD1726" s="64"/>
      <c r="AE1726" s="64"/>
      <c r="AF1726" s="64"/>
      <c r="AG1726" s="64"/>
      <c r="AH1726" s="64"/>
      <c r="AI1726" s="64"/>
      <c r="AJ1726" s="64"/>
      <c r="AK1726" s="64"/>
      <c r="AL1726" s="64"/>
      <c r="AM1726" s="169"/>
      <c r="AN1726" s="169"/>
      <c r="AO1726" s="169"/>
      <c r="AP1726" s="169"/>
      <c r="AQ1726" s="169"/>
      <c r="AR1726" s="169"/>
      <c r="AS1726" s="169"/>
      <c r="AT1726" s="169"/>
    </row>
    <row r="1727" spans="10:46">
      <c r="J1727" s="64"/>
      <c r="K1727" s="64"/>
      <c r="L1727" s="64"/>
      <c r="M1727" s="64"/>
      <c r="N1727" s="64"/>
      <c r="O1727" s="64"/>
      <c r="P1727" s="64"/>
      <c r="Q1727" s="64"/>
      <c r="R1727" s="64"/>
      <c r="S1727" s="64"/>
      <c r="T1727" s="64"/>
      <c r="U1727" s="64"/>
      <c r="V1727" s="64"/>
      <c r="W1727" s="64"/>
      <c r="X1727" s="64"/>
      <c r="Y1727" s="64"/>
      <c r="Z1727" s="64"/>
      <c r="AA1727" s="64"/>
      <c r="AB1727" s="64"/>
      <c r="AC1727" s="64"/>
      <c r="AD1727" s="64"/>
      <c r="AE1727" s="64"/>
      <c r="AF1727" s="64"/>
      <c r="AG1727" s="64"/>
      <c r="AH1727" s="64"/>
      <c r="AI1727" s="64"/>
      <c r="AJ1727" s="64"/>
      <c r="AK1727" s="64"/>
      <c r="AL1727" s="64"/>
      <c r="AM1727" s="169"/>
      <c r="AN1727" s="169"/>
      <c r="AO1727" s="169"/>
      <c r="AP1727" s="169"/>
      <c r="AQ1727" s="169"/>
      <c r="AR1727" s="169"/>
      <c r="AS1727" s="169"/>
      <c r="AT1727" s="169"/>
    </row>
    <row r="1728" spans="10:46">
      <c r="J1728" s="64"/>
      <c r="K1728" s="64"/>
      <c r="L1728" s="64"/>
      <c r="M1728" s="64"/>
      <c r="N1728" s="64"/>
      <c r="O1728" s="64"/>
      <c r="P1728" s="64"/>
      <c r="Q1728" s="64"/>
      <c r="R1728" s="64"/>
      <c r="S1728" s="64"/>
      <c r="T1728" s="64"/>
      <c r="U1728" s="64"/>
      <c r="V1728" s="64"/>
      <c r="W1728" s="64"/>
      <c r="X1728" s="64"/>
      <c r="Y1728" s="64"/>
      <c r="Z1728" s="64"/>
      <c r="AA1728" s="64"/>
      <c r="AB1728" s="64"/>
      <c r="AC1728" s="64"/>
      <c r="AD1728" s="64"/>
      <c r="AE1728" s="64"/>
      <c r="AF1728" s="64"/>
      <c r="AG1728" s="64"/>
      <c r="AH1728" s="64"/>
      <c r="AI1728" s="64"/>
      <c r="AJ1728" s="64"/>
      <c r="AK1728" s="64"/>
      <c r="AL1728" s="64"/>
      <c r="AM1728" s="169"/>
      <c r="AN1728" s="169"/>
      <c r="AO1728" s="169"/>
      <c r="AP1728" s="169"/>
      <c r="AQ1728" s="169"/>
      <c r="AR1728" s="169"/>
      <c r="AS1728" s="169"/>
      <c r="AT1728" s="169"/>
    </row>
    <row r="1729" spans="10:46">
      <c r="J1729" s="64"/>
      <c r="K1729" s="64"/>
      <c r="L1729" s="64"/>
      <c r="M1729" s="64"/>
      <c r="N1729" s="64"/>
      <c r="O1729" s="64"/>
      <c r="P1729" s="64"/>
      <c r="Q1729" s="64"/>
      <c r="R1729" s="64"/>
      <c r="S1729" s="64"/>
      <c r="T1729" s="64"/>
      <c r="U1729" s="64"/>
      <c r="V1729" s="64"/>
      <c r="W1729" s="64"/>
      <c r="X1729" s="64"/>
      <c r="Y1729" s="64"/>
      <c r="Z1729" s="64"/>
      <c r="AA1729" s="64"/>
      <c r="AB1729" s="64"/>
      <c r="AC1729" s="64"/>
      <c r="AD1729" s="64"/>
      <c r="AE1729" s="64"/>
      <c r="AF1729" s="64"/>
      <c r="AG1729" s="64"/>
      <c r="AH1729" s="64"/>
      <c r="AI1729" s="64"/>
      <c r="AJ1729" s="64"/>
      <c r="AK1729" s="64"/>
      <c r="AL1729" s="64"/>
      <c r="AM1729" s="169"/>
      <c r="AN1729" s="169"/>
      <c r="AO1729" s="169"/>
      <c r="AP1729" s="169"/>
      <c r="AQ1729" s="169"/>
      <c r="AR1729" s="169"/>
      <c r="AS1729" s="169"/>
      <c r="AT1729" s="169"/>
    </row>
    <row r="1730" spans="10:46">
      <c r="J1730" s="64"/>
      <c r="K1730" s="64"/>
      <c r="L1730" s="64"/>
      <c r="M1730" s="64"/>
      <c r="N1730" s="64"/>
      <c r="O1730" s="64"/>
      <c r="P1730" s="64"/>
      <c r="Q1730" s="64"/>
      <c r="R1730" s="64"/>
      <c r="S1730" s="64"/>
      <c r="T1730" s="64"/>
      <c r="U1730" s="64"/>
      <c r="V1730" s="64"/>
      <c r="W1730" s="64"/>
      <c r="X1730" s="64"/>
      <c r="Y1730" s="64"/>
      <c r="Z1730" s="64"/>
      <c r="AA1730" s="64"/>
      <c r="AB1730" s="64"/>
      <c r="AC1730" s="64"/>
      <c r="AD1730" s="64"/>
      <c r="AE1730" s="64"/>
      <c r="AF1730" s="64"/>
      <c r="AG1730" s="64"/>
      <c r="AH1730" s="64"/>
      <c r="AI1730" s="64"/>
      <c r="AJ1730" s="64"/>
      <c r="AK1730" s="64"/>
      <c r="AL1730" s="64"/>
      <c r="AM1730" s="169"/>
      <c r="AN1730" s="169"/>
      <c r="AO1730" s="169"/>
      <c r="AP1730" s="169"/>
      <c r="AQ1730" s="169"/>
      <c r="AR1730" s="169"/>
      <c r="AS1730" s="169"/>
      <c r="AT1730" s="169"/>
    </row>
    <row r="1731" spans="10:46">
      <c r="J1731" s="64"/>
      <c r="K1731" s="64"/>
      <c r="L1731" s="64"/>
      <c r="M1731" s="64"/>
      <c r="N1731" s="64"/>
      <c r="O1731" s="64"/>
      <c r="P1731" s="64"/>
      <c r="Q1731" s="64"/>
      <c r="R1731" s="64"/>
      <c r="S1731" s="64"/>
      <c r="T1731" s="64"/>
      <c r="U1731" s="64"/>
      <c r="V1731" s="64"/>
      <c r="W1731" s="64"/>
      <c r="X1731" s="64"/>
      <c r="Y1731" s="64"/>
      <c r="Z1731" s="64"/>
      <c r="AA1731" s="64"/>
      <c r="AB1731" s="64"/>
      <c r="AC1731" s="64"/>
      <c r="AD1731" s="64"/>
      <c r="AE1731" s="64"/>
      <c r="AF1731" s="64"/>
      <c r="AG1731" s="64"/>
      <c r="AH1731" s="64"/>
      <c r="AI1731" s="64"/>
      <c r="AJ1731" s="64"/>
      <c r="AK1731" s="64"/>
      <c r="AL1731" s="64"/>
      <c r="AM1731" s="169"/>
      <c r="AN1731" s="169"/>
      <c r="AO1731" s="169"/>
      <c r="AP1731" s="169"/>
      <c r="AQ1731" s="169"/>
      <c r="AR1731" s="169"/>
      <c r="AS1731" s="169"/>
      <c r="AT1731" s="169"/>
    </row>
    <row r="1732" spans="10:46">
      <c r="J1732" s="64"/>
      <c r="K1732" s="64"/>
      <c r="L1732" s="64"/>
      <c r="M1732" s="64"/>
      <c r="N1732" s="64"/>
      <c r="O1732" s="64"/>
      <c r="P1732" s="64"/>
      <c r="Q1732" s="64"/>
      <c r="R1732" s="64"/>
      <c r="S1732" s="64"/>
      <c r="T1732" s="64"/>
      <c r="U1732" s="64"/>
      <c r="V1732" s="64"/>
      <c r="W1732" s="64"/>
      <c r="X1732" s="64"/>
      <c r="Y1732" s="64"/>
      <c r="Z1732" s="64"/>
      <c r="AA1732" s="64"/>
      <c r="AB1732" s="64"/>
      <c r="AC1732" s="64"/>
      <c r="AD1732" s="64"/>
      <c r="AE1732" s="64"/>
      <c r="AF1732" s="64"/>
      <c r="AG1732" s="64"/>
      <c r="AH1732" s="64"/>
      <c r="AI1732" s="64"/>
      <c r="AJ1732" s="64"/>
      <c r="AK1732" s="64"/>
      <c r="AL1732" s="64"/>
      <c r="AM1732" s="169"/>
      <c r="AN1732" s="169"/>
      <c r="AO1732" s="169"/>
      <c r="AP1732" s="169"/>
      <c r="AQ1732" s="169"/>
      <c r="AR1732" s="169"/>
      <c r="AS1732" s="169"/>
      <c r="AT1732" s="169"/>
    </row>
    <row r="1733" spans="10:46">
      <c r="J1733" s="64"/>
      <c r="K1733" s="64"/>
      <c r="L1733" s="64"/>
      <c r="M1733" s="64"/>
      <c r="N1733" s="64"/>
      <c r="O1733" s="64"/>
      <c r="P1733" s="64"/>
      <c r="Q1733" s="64"/>
      <c r="R1733" s="64"/>
      <c r="S1733" s="64"/>
      <c r="T1733" s="64"/>
      <c r="U1733" s="64"/>
      <c r="V1733" s="64"/>
      <c r="W1733" s="64"/>
      <c r="X1733" s="64"/>
      <c r="Y1733" s="64"/>
      <c r="Z1733" s="64"/>
      <c r="AA1733" s="64"/>
      <c r="AB1733" s="64"/>
      <c r="AC1733" s="64"/>
      <c r="AD1733" s="64"/>
      <c r="AE1733" s="64"/>
      <c r="AF1733" s="64"/>
      <c r="AG1733" s="64"/>
      <c r="AH1733" s="64"/>
      <c r="AI1733" s="64"/>
      <c r="AJ1733" s="64"/>
      <c r="AK1733" s="64"/>
      <c r="AL1733" s="64"/>
      <c r="AM1733" s="169"/>
      <c r="AN1733" s="169"/>
      <c r="AO1733" s="169"/>
      <c r="AP1733" s="169"/>
      <c r="AQ1733" s="169"/>
      <c r="AR1733" s="169"/>
      <c r="AS1733" s="169"/>
      <c r="AT1733" s="169"/>
    </row>
    <row r="1734" spans="10:46">
      <c r="J1734" s="64"/>
      <c r="K1734" s="64"/>
      <c r="L1734" s="64"/>
      <c r="M1734" s="64"/>
      <c r="N1734" s="64"/>
      <c r="O1734" s="64"/>
      <c r="P1734" s="64"/>
      <c r="Q1734" s="64"/>
      <c r="R1734" s="64"/>
      <c r="S1734" s="64"/>
      <c r="T1734" s="64"/>
      <c r="U1734" s="64"/>
      <c r="V1734" s="64"/>
      <c r="W1734" s="64"/>
      <c r="X1734" s="64"/>
      <c r="Y1734" s="64"/>
      <c r="Z1734" s="64"/>
      <c r="AA1734" s="64"/>
      <c r="AB1734" s="64"/>
      <c r="AC1734" s="64"/>
      <c r="AD1734" s="64"/>
      <c r="AE1734" s="64"/>
      <c r="AF1734" s="64"/>
      <c r="AG1734" s="64"/>
      <c r="AH1734" s="64"/>
      <c r="AI1734" s="64"/>
      <c r="AJ1734" s="64"/>
      <c r="AK1734" s="64"/>
      <c r="AL1734" s="64"/>
      <c r="AM1734" s="169"/>
      <c r="AN1734" s="169"/>
      <c r="AO1734" s="169"/>
      <c r="AP1734" s="169"/>
      <c r="AQ1734" s="169"/>
      <c r="AR1734" s="169"/>
      <c r="AS1734" s="169"/>
      <c r="AT1734" s="169"/>
    </row>
    <row r="1735" spans="10:46">
      <c r="J1735" s="64"/>
      <c r="K1735" s="64"/>
      <c r="L1735" s="64"/>
      <c r="M1735" s="64"/>
      <c r="N1735" s="64"/>
      <c r="O1735" s="64"/>
      <c r="P1735" s="64"/>
      <c r="Q1735" s="64"/>
      <c r="R1735" s="64"/>
      <c r="S1735" s="64"/>
      <c r="T1735" s="64"/>
      <c r="U1735" s="64"/>
      <c r="V1735" s="64"/>
      <c r="W1735" s="64"/>
      <c r="X1735" s="64"/>
      <c r="Y1735" s="64"/>
      <c r="Z1735" s="64"/>
      <c r="AA1735" s="64"/>
      <c r="AB1735" s="64"/>
      <c r="AC1735" s="64"/>
      <c r="AD1735" s="64"/>
      <c r="AE1735" s="64"/>
      <c r="AF1735" s="64"/>
      <c r="AG1735" s="64"/>
      <c r="AH1735" s="64"/>
      <c r="AI1735" s="64"/>
      <c r="AJ1735" s="64"/>
      <c r="AK1735" s="64"/>
      <c r="AL1735" s="64"/>
      <c r="AM1735" s="169"/>
      <c r="AN1735" s="169"/>
      <c r="AO1735" s="169"/>
      <c r="AP1735" s="169"/>
      <c r="AQ1735" s="169"/>
      <c r="AR1735" s="169"/>
      <c r="AS1735" s="169"/>
      <c r="AT1735" s="169"/>
    </row>
    <row r="1736" spans="10:46">
      <c r="J1736" s="64"/>
      <c r="K1736" s="64"/>
      <c r="L1736" s="64"/>
      <c r="M1736" s="64"/>
      <c r="N1736" s="64"/>
      <c r="O1736" s="64"/>
      <c r="P1736" s="64"/>
      <c r="Q1736" s="64"/>
      <c r="R1736" s="64"/>
      <c r="S1736" s="64"/>
      <c r="T1736" s="64"/>
      <c r="U1736" s="64"/>
      <c r="V1736" s="64"/>
      <c r="W1736" s="64"/>
      <c r="X1736" s="64"/>
      <c r="Y1736" s="64"/>
      <c r="Z1736" s="64"/>
      <c r="AA1736" s="64"/>
      <c r="AB1736" s="64"/>
      <c r="AC1736" s="64"/>
      <c r="AD1736" s="64"/>
      <c r="AE1736" s="64"/>
      <c r="AF1736" s="64"/>
      <c r="AG1736" s="64"/>
      <c r="AH1736" s="64"/>
      <c r="AI1736" s="64"/>
      <c r="AJ1736" s="64"/>
      <c r="AK1736" s="64"/>
      <c r="AL1736" s="64"/>
      <c r="AM1736" s="169"/>
      <c r="AN1736" s="169"/>
      <c r="AO1736" s="169"/>
      <c r="AP1736" s="169"/>
      <c r="AQ1736" s="169"/>
      <c r="AR1736" s="169"/>
      <c r="AS1736" s="169"/>
      <c r="AT1736" s="169"/>
    </row>
    <row r="1737" spans="10:46">
      <c r="J1737" s="64"/>
      <c r="K1737" s="64"/>
      <c r="L1737" s="64"/>
      <c r="M1737" s="64"/>
      <c r="N1737" s="64"/>
      <c r="O1737" s="64"/>
      <c r="P1737" s="64"/>
      <c r="Q1737" s="64"/>
      <c r="R1737" s="64"/>
      <c r="S1737" s="64"/>
      <c r="T1737" s="64"/>
      <c r="U1737" s="64"/>
      <c r="V1737" s="64"/>
      <c r="W1737" s="64"/>
      <c r="X1737" s="64"/>
      <c r="Y1737" s="64"/>
      <c r="Z1737" s="64"/>
      <c r="AA1737" s="64"/>
      <c r="AB1737" s="64"/>
      <c r="AC1737" s="64"/>
      <c r="AD1737" s="64"/>
      <c r="AE1737" s="64"/>
      <c r="AF1737" s="64"/>
      <c r="AG1737" s="64"/>
      <c r="AH1737" s="64"/>
      <c r="AI1737" s="64"/>
      <c r="AJ1737" s="64"/>
      <c r="AK1737" s="64"/>
      <c r="AL1737" s="64"/>
      <c r="AM1737" s="169"/>
      <c r="AN1737" s="169"/>
      <c r="AO1737" s="169"/>
      <c r="AP1737" s="169"/>
      <c r="AQ1737" s="169"/>
      <c r="AR1737" s="169"/>
      <c r="AS1737" s="169"/>
      <c r="AT1737" s="169"/>
    </row>
    <row r="1738" spans="10:46">
      <c r="J1738" s="64"/>
      <c r="K1738" s="64"/>
      <c r="L1738" s="64"/>
      <c r="M1738" s="64"/>
      <c r="N1738" s="64"/>
      <c r="O1738" s="64"/>
      <c r="P1738" s="64"/>
      <c r="Q1738" s="64"/>
      <c r="R1738" s="64"/>
      <c r="S1738" s="64"/>
      <c r="T1738" s="64"/>
      <c r="U1738" s="64"/>
      <c r="V1738" s="64"/>
      <c r="W1738" s="64"/>
      <c r="X1738" s="64"/>
      <c r="Y1738" s="64"/>
      <c r="Z1738" s="64"/>
      <c r="AA1738" s="64"/>
      <c r="AB1738" s="64"/>
      <c r="AC1738" s="64"/>
      <c r="AD1738" s="64"/>
      <c r="AE1738" s="64"/>
      <c r="AF1738" s="64"/>
      <c r="AG1738" s="64"/>
      <c r="AH1738" s="64"/>
      <c r="AI1738" s="64"/>
      <c r="AJ1738" s="64"/>
      <c r="AK1738" s="64"/>
      <c r="AL1738" s="64"/>
      <c r="AM1738" s="169"/>
      <c r="AN1738" s="169"/>
      <c r="AO1738" s="169"/>
      <c r="AP1738" s="169"/>
      <c r="AQ1738" s="169"/>
      <c r="AR1738" s="169"/>
      <c r="AS1738" s="169"/>
      <c r="AT1738" s="169"/>
    </row>
    <row r="1739" spans="10:46">
      <c r="J1739" s="64"/>
      <c r="K1739" s="64"/>
      <c r="L1739" s="64"/>
      <c r="M1739" s="64"/>
      <c r="N1739" s="64"/>
      <c r="O1739" s="64"/>
      <c r="P1739" s="64"/>
      <c r="Q1739" s="64"/>
      <c r="R1739" s="64"/>
      <c r="S1739" s="64"/>
      <c r="T1739" s="64"/>
      <c r="U1739" s="64"/>
      <c r="V1739" s="64"/>
      <c r="W1739" s="64"/>
      <c r="X1739" s="64"/>
      <c r="Y1739" s="64"/>
      <c r="Z1739" s="64"/>
      <c r="AA1739" s="64"/>
      <c r="AB1739" s="64"/>
      <c r="AC1739" s="64"/>
      <c r="AD1739" s="64"/>
      <c r="AE1739" s="64"/>
      <c r="AF1739" s="64"/>
      <c r="AG1739" s="64"/>
      <c r="AH1739" s="64"/>
      <c r="AI1739" s="64"/>
      <c r="AJ1739" s="64"/>
      <c r="AK1739" s="64"/>
      <c r="AL1739" s="64"/>
      <c r="AM1739" s="169"/>
      <c r="AN1739" s="169"/>
      <c r="AO1739" s="169"/>
      <c r="AP1739" s="169"/>
      <c r="AQ1739" s="169"/>
      <c r="AR1739" s="169"/>
      <c r="AS1739" s="169"/>
      <c r="AT1739" s="169"/>
    </row>
    <row r="1740" spans="10:46">
      <c r="J1740" s="64"/>
      <c r="K1740" s="64"/>
      <c r="L1740" s="64"/>
      <c r="M1740" s="64"/>
      <c r="N1740" s="64"/>
      <c r="O1740" s="64"/>
      <c r="P1740" s="64"/>
      <c r="Q1740" s="64"/>
      <c r="R1740" s="64"/>
      <c r="S1740" s="64"/>
      <c r="T1740" s="64"/>
      <c r="U1740" s="64"/>
      <c r="V1740" s="64"/>
      <c r="W1740" s="64"/>
      <c r="X1740" s="64"/>
      <c r="Y1740" s="64"/>
      <c r="Z1740" s="64"/>
      <c r="AA1740" s="64"/>
      <c r="AB1740" s="64"/>
      <c r="AC1740" s="64"/>
      <c r="AD1740" s="64"/>
      <c r="AE1740" s="64"/>
      <c r="AF1740" s="64"/>
      <c r="AG1740" s="64"/>
      <c r="AH1740" s="64"/>
      <c r="AI1740" s="64"/>
      <c r="AJ1740" s="64"/>
      <c r="AK1740" s="64"/>
      <c r="AL1740" s="64"/>
      <c r="AM1740" s="169"/>
      <c r="AN1740" s="169"/>
      <c r="AO1740" s="169"/>
      <c r="AP1740" s="169"/>
      <c r="AQ1740" s="169"/>
      <c r="AR1740" s="169"/>
      <c r="AS1740" s="169"/>
      <c r="AT1740" s="169"/>
    </row>
    <row r="1741" spans="10:46">
      <c r="J1741" s="64"/>
      <c r="K1741" s="64"/>
      <c r="L1741" s="64"/>
      <c r="M1741" s="64"/>
      <c r="N1741" s="64"/>
      <c r="O1741" s="64"/>
      <c r="P1741" s="64"/>
      <c r="Q1741" s="64"/>
      <c r="R1741" s="64"/>
      <c r="S1741" s="64"/>
      <c r="T1741" s="64"/>
      <c r="U1741" s="64"/>
      <c r="V1741" s="64"/>
      <c r="W1741" s="64"/>
      <c r="X1741" s="64"/>
      <c r="Y1741" s="64"/>
      <c r="Z1741" s="64"/>
      <c r="AA1741" s="64"/>
      <c r="AB1741" s="64"/>
      <c r="AC1741" s="64"/>
      <c r="AD1741" s="64"/>
      <c r="AE1741" s="64"/>
      <c r="AF1741" s="64"/>
      <c r="AG1741" s="64"/>
      <c r="AH1741" s="64"/>
      <c r="AI1741" s="64"/>
      <c r="AJ1741" s="64"/>
      <c r="AK1741" s="64"/>
      <c r="AL1741" s="64"/>
      <c r="AM1741" s="169"/>
      <c r="AN1741" s="169"/>
      <c r="AO1741" s="169"/>
      <c r="AP1741" s="169"/>
      <c r="AQ1741" s="169"/>
      <c r="AR1741" s="169"/>
      <c r="AS1741" s="169"/>
      <c r="AT1741" s="169"/>
    </row>
    <row r="1742" spans="10:46">
      <c r="J1742" s="64"/>
      <c r="K1742" s="64"/>
      <c r="L1742" s="64"/>
      <c r="M1742" s="64"/>
      <c r="N1742" s="64"/>
      <c r="O1742" s="64"/>
      <c r="P1742" s="64"/>
      <c r="Q1742" s="64"/>
      <c r="R1742" s="64"/>
      <c r="S1742" s="64"/>
      <c r="T1742" s="64"/>
      <c r="U1742" s="64"/>
      <c r="V1742" s="64"/>
      <c r="W1742" s="64"/>
      <c r="X1742" s="64"/>
      <c r="Y1742" s="64"/>
      <c r="Z1742" s="64"/>
      <c r="AA1742" s="64"/>
      <c r="AB1742" s="64"/>
      <c r="AC1742" s="64"/>
      <c r="AD1742" s="64"/>
      <c r="AE1742" s="64"/>
      <c r="AF1742" s="64"/>
      <c r="AG1742" s="64"/>
      <c r="AH1742" s="64"/>
      <c r="AI1742" s="64"/>
      <c r="AJ1742" s="64"/>
      <c r="AK1742" s="64"/>
      <c r="AL1742" s="64"/>
      <c r="AM1742" s="169"/>
      <c r="AN1742" s="169"/>
      <c r="AO1742" s="169"/>
      <c r="AP1742" s="169"/>
      <c r="AQ1742" s="169"/>
      <c r="AR1742" s="169"/>
      <c r="AS1742" s="169"/>
      <c r="AT1742" s="169"/>
    </row>
    <row r="1743" spans="10:46">
      <c r="J1743" s="64"/>
      <c r="K1743" s="64"/>
      <c r="L1743" s="64"/>
      <c r="M1743" s="64"/>
      <c r="N1743" s="64"/>
      <c r="O1743" s="64"/>
      <c r="P1743" s="64"/>
      <c r="Q1743" s="64"/>
      <c r="R1743" s="64"/>
      <c r="S1743" s="64"/>
      <c r="T1743" s="64"/>
      <c r="U1743" s="64"/>
      <c r="V1743" s="64"/>
      <c r="W1743" s="64"/>
      <c r="X1743" s="64"/>
      <c r="Y1743" s="64"/>
      <c r="Z1743" s="64"/>
      <c r="AA1743" s="64"/>
      <c r="AB1743" s="64"/>
      <c r="AC1743" s="64"/>
      <c r="AD1743" s="64"/>
      <c r="AE1743" s="64"/>
      <c r="AF1743" s="64"/>
      <c r="AG1743" s="64"/>
      <c r="AH1743" s="64"/>
      <c r="AI1743" s="64"/>
      <c r="AJ1743" s="64"/>
      <c r="AK1743" s="64"/>
      <c r="AL1743" s="64"/>
      <c r="AM1743" s="169"/>
      <c r="AN1743" s="169"/>
      <c r="AO1743" s="169"/>
      <c r="AP1743" s="169"/>
      <c r="AQ1743" s="169"/>
      <c r="AR1743" s="169"/>
      <c r="AS1743" s="169"/>
      <c r="AT1743" s="169"/>
    </row>
    <row r="1744" spans="10:46">
      <c r="J1744" s="64"/>
      <c r="K1744" s="64"/>
      <c r="L1744" s="64"/>
      <c r="M1744" s="64"/>
      <c r="N1744" s="64"/>
      <c r="O1744" s="64"/>
      <c r="P1744" s="64"/>
      <c r="Q1744" s="64"/>
      <c r="R1744" s="64"/>
      <c r="S1744" s="64"/>
      <c r="T1744" s="64"/>
      <c r="U1744" s="64"/>
      <c r="V1744" s="64"/>
      <c r="W1744" s="64"/>
      <c r="X1744" s="64"/>
      <c r="Y1744" s="64"/>
      <c r="Z1744" s="64"/>
      <c r="AA1744" s="64"/>
      <c r="AB1744" s="64"/>
      <c r="AC1744" s="64"/>
      <c r="AD1744" s="64"/>
      <c r="AE1744" s="64"/>
      <c r="AF1744" s="64"/>
      <c r="AG1744" s="64"/>
      <c r="AH1744" s="64"/>
      <c r="AI1744" s="64"/>
      <c r="AJ1744" s="64"/>
      <c r="AK1744" s="64"/>
      <c r="AL1744" s="64"/>
      <c r="AM1744" s="169"/>
      <c r="AN1744" s="169"/>
      <c r="AO1744" s="169"/>
      <c r="AP1744" s="169"/>
      <c r="AQ1744" s="169"/>
      <c r="AR1744" s="169"/>
      <c r="AS1744" s="169"/>
      <c r="AT1744" s="169"/>
    </row>
    <row r="1745" spans="10:46">
      <c r="J1745" s="64"/>
      <c r="K1745" s="64"/>
      <c r="L1745" s="64"/>
      <c r="M1745" s="64"/>
      <c r="N1745" s="64"/>
      <c r="O1745" s="64"/>
      <c r="P1745" s="64"/>
      <c r="Q1745" s="64"/>
      <c r="R1745" s="64"/>
      <c r="S1745" s="64"/>
      <c r="T1745" s="64"/>
      <c r="U1745" s="64"/>
      <c r="V1745" s="64"/>
      <c r="W1745" s="64"/>
      <c r="X1745" s="64"/>
      <c r="Y1745" s="64"/>
      <c r="Z1745" s="64"/>
      <c r="AA1745" s="64"/>
      <c r="AB1745" s="64"/>
      <c r="AC1745" s="64"/>
      <c r="AD1745" s="64"/>
      <c r="AE1745" s="64"/>
      <c r="AF1745" s="64"/>
      <c r="AG1745" s="64"/>
      <c r="AH1745" s="64"/>
      <c r="AI1745" s="64"/>
      <c r="AJ1745" s="64"/>
      <c r="AK1745" s="64"/>
      <c r="AL1745" s="64"/>
      <c r="AM1745" s="169"/>
      <c r="AN1745" s="169"/>
      <c r="AO1745" s="169"/>
      <c r="AP1745" s="169"/>
      <c r="AQ1745" s="169"/>
      <c r="AR1745" s="169"/>
      <c r="AS1745" s="169"/>
      <c r="AT1745" s="169"/>
    </row>
    <row r="1746" spans="10:46">
      <c r="J1746" s="64"/>
      <c r="K1746" s="64"/>
      <c r="L1746" s="64"/>
      <c r="M1746" s="64"/>
      <c r="N1746" s="64"/>
      <c r="O1746" s="64"/>
      <c r="P1746" s="64"/>
      <c r="Q1746" s="64"/>
      <c r="R1746" s="64"/>
      <c r="S1746" s="64"/>
      <c r="T1746" s="64"/>
      <c r="U1746" s="64"/>
      <c r="V1746" s="64"/>
      <c r="W1746" s="64"/>
      <c r="X1746" s="64"/>
      <c r="Y1746" s="64"/>
      <c r="Z1746" s="64"/>
      <c r="AA1746" s="64"/>
      <c r="AB1746" s="64"/>
      <c r="AC1746" s="64"/>
      <c r="AD1746" s="64"/>
      <c r="AE1746" s="64"/>
      <c r="AF1746" s="64"/>
      <c r="AG1746" s="64"/>
      <c r="AH1746" s="64"/>
      <c r="AI1746" s="64"/>
      <c r="AJ1746" s="64"/>
      <c r="AK1746" s="64"/>
      <c r="AL1746" s="64"/>
      <c r="AM1746" s="169"/>
      <c r="AN1746" s="169"/>
      <c r="AO1746" s="169"/>
      <c r="AP1746" s="169"/>
      <c r="AQ1746" s="169"/>
      <c r="AR1746" s="169"/>
      <c r="AS1746" s="169"/>
      <c r="AT1746" s="169"/>
    </row>
    <row r="1747" spans="10:46">
      <c r="J1747" s="64"/>
      <c r="K1747" s="64"/>
      <c r="L1747" s="64"/>
      <c r="M1747" s="64"/>
      <c r="N1747" s="64"/>
      <c r="O1747" s="64"/>
      <c r="P1747" s="64"/>
      <c r="Q1747" s="64"/>
      <c r="R1747" s="64"/>
      <c r="S1747" s="64"/>
      <c r="T1747" s="64"/>
      <c r="U1747" s="64"/>
      <c r="V1747" s="64"/>
      <c r="W1747" s="64"/>
      <c r="X1747" s="64"/>
      <c r="Y1747" s="64"/>
      <c r="Z1747" s="64"/>
      <c r="AA1747" s="64"/>
      <c r="AB1747" s="64"/>
      <c r="AC1747" s="64"/>
      <c r="AD1747" s="64"/>
      <c r="AE1747" s="64"/>
      <c r="AF1747" s="64"/>
      <c r="AG1747" s="64"/>
      <c r="AH1747" s="64"/>
      <c r="AI1747" s="64"/>
      <c r="AJ1747" s="64"/>
      <c r="AK1747" s="64"/>
      <c r="AL1747" s="64"/>
      <c r="AM1747" s="169"/>
      <c r="AN1747" s="169"/>
      <c r="AO1747" s="169"/>
      <c r="AP1747" s="169"/>
      <c r="AQ1747" s="169"/>
      <c r="AR1747" s="169"/>
      <c r="AS1747" s="169"/>
      <c r="AT1747" s="169"/>
    </row>
    <row r="1748" spans="10:46">
      <c r="J1748" s="64"/>
      <c r="K1748" s="64"/>
      <c r="L1748" s="64"/>
      <c r="M1748" s="64"/>
      <c r="N1748" s="64"/>
      <c r="O1748" s="64"/>
      <c r="P1748" s="64"/>
      <c r="Q1748" s="64"/>
      <c r="R1748" s="64"/>
      <c r="S1748" s="64"/>
      <c r="T1748" s="64"/>
      <c r="U1748" s="64"/>
      <c r="V1748" s="64"/>
      <c r="W1748" s="64"/>
      <c r="X1748" s="64"/>
      <c r="Y1748" s="64"/>
      <c r="Z1748" s="64"/>
      <c r="AA1748" s="64"/>
      <c r="AB1748" s="64"/>
      <c r="AC1748" s="64"/>
      <c r="AD1748" s="64"/>
      <c r="AE1748" s="64"/>
      <c r="AF1748" s="64"/>
      <c r="AG1748" s="64"/>
      <c r="AH1748" s="64"/>
      <c r="AI1748" s="64"/>
      <c r="AJ1748" s="64"/>
      <c r="AK1748" s="64"/>
      <c r="AL1748" s="64"/>
      <c r="AM1748" s="169"/>
      <c r="AN1748" s="169"/>
      <c r="AO1748" s="169"/>
      <c r="AP1748" s="169"/>
      <c r="AQ1748" s="169"/>
      <c r="AR1748" s="169"/>
      <c r="AS1748" s="169"/>
      <c r="AT1748" s="169"/>
    </row>
    <row r="1749" spans="10:46">
      <c r="J1749" s="64"/>
      <c r="K1749" s="64"/>
      <c r="L1749" s="64"/>
      <c r="M1749" s="64"/>
      <c r="N1749" s="64"/>
      <c r="O1749" s="64"/>
      <c r="P1749" s="64"/>
      <c r="Q1749" s="64"/>
      <c r="R1749" s="64"/>
      <c r="S1749" s="64"/>
      <c r="T1749" s="64"/>
      <c r="U1749" s="64"/>
      <c r="V1749" s="64"/>
      <c r="W1749" s="64"/>
      <c r="X1749" s="64"/>
      <c r="Y1749" s="64"/>
      <c r="Z1749" s="64"/>
      <c r="AA1749" s="64"/>
      <c r="AB1749" s="64"/>
      <c r="AC1749" s="64"/>
      <c r="AD1749" s="64"/>
      <c r="AE1749" s="64"/>
      <c r="AF1749" s="64"/>
      <c r="AG1749" s="64"/>
      <c r="AH1749" s="64"/>
      <c r="AI1749" s="64"/>
      <c r="AJ1749" s="64"/>
      <c r="AK1749" s="64"/>
      <c r="AL1749" s="64"/>
      <c r="AM1749" s="169"/>
      <c r="AN1749" s="169"/>
      <c r="AO1749" s="169"/>
      <c r="AP1749" s="169"/>
      <c r="AQ1749" s="169"/>
      <c r="AR1749" s="169"/>
      <c r="AS1749" s="169"/>
      <c r="AT1749" s="169"/>
    </row>
    <row r="1750" spans="10:46">
      <c r="J1750" s="64"/>
      <c r="K1750" s="64"/>
      <c r="L1750" s="64"/>
      <c r="M1750" s="64"/>
      <c r="N1750" s="64"/>
      <c r="O1750" s="64"/>
      <c r="P1750" s="64"/>
      <c r="Q1750" s="64"/>
      <c r="R1750" s="64"/>
      <c r="S1750" s="64"/>
      <c r="T1750" s="64"/>
      <c r="U1750" s="64"/>
      <c r="V1750" s="64"/>
      <c r="W1750" s="64"/>
      <c r="X1750" s="64"/>
      <c r="Y1750" s="64"/>
      <c r="Z1750" s="64"/>
      <c r="AA1750" s="64"/>
      <c r="AB1750" s="64"/>
      <c r="AC1750" s="64"/>
      <c r="AD1750" s="64"/>
      <c r="AE1750" s="64"/>
      <c r="AF1750" s="64"/>
      <c r="AG1750" s="64"/>
      <c r="AH1750" s="64"/>
      <c r="AI1750" s="64"/>
      <c r="AJ1750" s="64"/>
      <c r="AK1750" s="64"/>
      <c r="AL1750" s="64"/>
      <c r="AM1750" s="169"/>
      <c r="AN1750" s="169"/>
      <c r="AO1750" s="169"/>
      <c r="AP1750" s="169"/>
      <c r="AQ1750" s="169"/>
      <c r="AR1750" s="169"/>
      <c r="AS1750" s="169"/>
      <c r="AT1750" s="169"/>
    </row>
    <row r="1751" spans="10:46">
      <c r="J1751" s="64"/>
      <c r="K1751" s="64"/>
      <c r="L1751" s="64"/>
      <c r="M1751" s="64"/>
      <c r="N1751" s="64"/>
      <c r="O1751" s="64"/>
      <c r="P1751" s="64"/>
      <c r="Q1751" s="64"/>
      <c r="R1751" s="64"/>
      <c r="S1751" s="64"/>
      <c r="T1751" s="64"/>
      <c r="U1751" s="64"/>
      <c r="V1751" s="64"/>
      <c r="W1751" s="64"/>
      <c r="X1751" s="64"/>
      <c r="Y1751" s="64"/>
      <c r="Z1751" s="64"/>
      <c r="AA1751" s="64"/>
      <c r="AB1751" s="64"/>
      <c r="AC1751" s="64"/>
      <c r="AD1751" s="64"/>
      <c r="AE1751" s="64"/>
      <c r="AF1751" s="64"/>
      <c r="AG1751" s="64"/>
      <c r="AH1751" s="64"/>
      <c r="AI1751" s="64"/>
      <c r="AJ1751" s="64"/>
      <c r="AK1751" s="64"/>
      <c r="AL1751" s="64"/>
      <c r="AM1751" s="169"/>
      <c r="AN1751" s="169"/>
      <c r="AO1751" s="169"/>
      <c r="AP1751" s="169"/>
      <c r="AQ1751" s="169"/>
      <c r="AR1751" s="169"/>
      <c r="AS1751" s="169"/>
      <c r="AT1751" s="169"/>
    </row>
    <row r="1752" spans="10:46">
      <c r="J1752" s="64"/>
      <c r="K1752" s="64"/>
      <c r="L1752" s="64"/>
      <c r="M1752" s="64"/>
      <c r="N1752" s="64"/>
      <c r="O1752" s="64"/>
      <c r="P1752" s="64"/>
      <c r="Q1752" s="64"/>
      <c r="R1752" s="64"/>
      <c r="S1752" s="64"/>
      <c r="T1752" s="64"/>
      <c r="U1752" s="64"/>
      <c r="V1752" s="64"/>
      <c r="W1752" s="64"/>
      <c r="X1752" s="64"/>
      <c r="Y1752" s="64"/>
      <c r="Z1752" s="64"/>
      <c r="AA1752" s="64"/>
      <c r="AB1752" s="64"/>
      <c r="AC1752" s="64"/>
      <c r="AD1752" s="64"/>
      <c r="AE1752" s="64"/>
      <c r="AF1752" s="64"/>
      <c r="AG1752" s="64"/>
      <c r="AH1752" s="64"/>
      <c r="AI1752" s="64"/>
      <c r="AJ1752" s="64"/>
      <c r="AK1752" s="64"/>
      <c r="AL1752" s="64"/>
      <c r="AM1752" s="169"/>
      <c r="AN1752" s="169"/>
      <c r="AO1752" s="169"/>
      <c r="AP1752" s="169"/>
      <c r="AQ1752" s="169"/>
      <c r="AR1752" s="169"/>
      <c r="AS1752" s="169"/>
      <c r="AT1752" s="169"/>
    </row>
    <row r="1753" spans="10:46">
      <c r="J1753" s="64"/>
      <c r="K1753" s="64"/>
      <c r="L1753" s="64"/>
      <c r="M1753" s="64"/>
      <c r="N1753" s="64"/>
      <c r="O1753" s="64"/>
      <c r="P1753" s="64"/>
      <c r="Q1753" s="64"/>
      <c r="R1753" s="64"/>
      <c r="S1753" s="64"/>
      <c r="T1753" s="64"/>
      <c r="U1753" s="64"/>
      <c r="V1753" s="64"/>
      <c r="W1753" s="64"/>
      <c r="X1753" s="64"/>
      <c r="Y1753" s="64"/>
      <c r="Z1753" s="64"/>
      <c r="AA1753" s="64"/>
      <c r="AB1753" s="64"/>
      <c r="AC1753" s="64"/>
      <c r="AD1753" s="64"/>
      <c r="AE1753" s="64"/>
      <c r="AF1753" s="64"/>
      <c r="AG1753" s="64"/>
      <c r="AH1753" s="64"/>
      <c r="AI1753" s="64"/>
      <c r="AJ1753" s="64"/>
      <c r="AK1753" s="64"/>
      <c r="AL1753" s="64"/>
      <c r="AM1753" s="169"/>
      <c r="AN1753" s="169"/>
      <c r="AO1753" s="169"/>
      <c r="AP1753" s="169"/>
      <c r="AQ1753" s="169"/>
      <c r="AR1753" s="169"/>
      <c r="AS1753" s="169"/>
      <c r="AT1753" s="169"/>
    </row>
    <row r="1754" spans="10:46">
      <c r="J1754" s="64"/>
      <c r="K1754" s="64"/>
      <c r="L1754" s="64"/>
      <c r="M1754" s="64"/>
      <c r="N1754" s="64"/>
      <c r="O1754" s="64"/>
      <c r="P1754" s="64"/>
      <c r="Q1754" s="64"/>
      <c r="R1754" s="64"/>
      <c r="S1754" s="64"/>
      <c r="T1754" s="64"/>
      <c r="U1754" s="64"/>
      <c r="V1754" s="64"/>
      <c r="W1754" s="64"/>
      <c r="X1754" s="64"/>
      <c r="Y1754" s="64"/>
      <c r="Z1754" s="64"/>
      <c r="AA1754" s="64"/>
      <c r="AB1754" s="64"/>
      <c r="AC1754" s="64"/>
      <c r="AD1754" s="64"/>
      <c r="AE1754" s="64"/>
      <c r="AF1754" s="64"/>
      <c r="AG1754" s="64"/>
      <c r="AH1754" s="64"/>
      <c r="AI1754" s="64"/>
      <c r="AJ1754" s="64"/>
      <c r="AK1754" s="64"/>
      <c r="AL1754" s="64"/>
      <c r="AM1754" s="169"/>
      <c r="AN1754" s="169"/>
      <c r="AO1754" s="169"/>
      <c r="AP1754" s="169"/>
      <c r="AQ1754" s="169"/>
      <c r="AR1754" s="169"/>
      <c r="AS1754" s="169"/>
      <c r="AT1754" s="169"/>
    </row>
    <row r="1755" spans="10:46">
      <c r="J1755" s="64"/>
      <c r="K1755" s="64"/>
      <c r="L1755" s="64"/>
      <c r="M1755" s="64"/>
      <c r="N1755" s="64"/>
      <c r="O1755" s="64"/>
      <c r="P1755" s="64"/>
      <c r="Q1755" s="64"/>
      <c r="R1755" s="64"/>
      <c r="S1755" s="64"/>
      <c r="T1755" s="64"/>
      <c r="U1755" s="64"/>
      <c r="V1755" s="64"/>
      <c r="W1755" s="64"/>
      <c r="X1755" s="64"/>
      <c r="Y1755" s="64"/>
      <c r="Z1755" s="64"/>
      <c r="AA1755" s="64"/>
      <c r="AB1755" s="64"/>
      <c r="AC1755" s="64"/>
      <c r="AD1755" s="64"/>
      <c r="AE1755" s="64"/>
      <c r="AF1755" s="64"/>
      <c r="AG1755" s="64"/>
      <c r="AH1755" s="64"/>
      <c r="AI1755" s="64"/>
      <c r="AJ1755" s="64"/>
      <c r="AK1755" s="64"/>
      <c r="AL1755" s="64"/>
      <c r="AM1755" s="169"/>
      <c r="AN1755" s="169"/>
      <c r="AO1755" s="169"/>
      <c r="AP1755" s="169"/>
      <c r="AQ1755" s="169"/>
      <c r="AR1755" s="169"/>
      <c r="AS1755" s="169"/>
      <c r="AT1755" s="169"/>
    </row>
    <row r="1756" spans="10:46">
      <c r="J1756" s="64"/>
      <c r="K1756" s="64"/>
      <c r="L1756" s="64"/>
      <c r="M1756" s="64"/>
      <c r="N1756" s="64"/>
      <c r="O1756" s="64"/>
      <c r="P1756" s="64"/>
      <c r="Q1756" s="64"/>
      <c r="R1756" s="64"/>
      <c r="S1756" s="64"/>
      <c r="T1756" s="64"/>
      <c r="U1756" s="64"/>
      <c r="V1756" s="64"/>
      <c r="W1756" s="64"/>
      <c r="X1756" s="64"/>
      <c r="Y1756" s="64"/>
      <c r="Z1756" s="64"/>
      <c r="AA1756" s="64"/>
      <c r="AB1756" s="64"/>
      <c r="AC1756" s="64"/>
      <c r="AD1756" s="64"/>
      <c r="AE1756" s="64"/>
      <c r="AF1756" s="64"/>
      <c r="AG1756" s="64"/>
      <c r="AH1756" s="64"/>
      <c r="AI1756" s="64"/>
      <c r="AJ1756" s="64"/>
      <c r="AK1756" s="64"/>
      <c r="AL1756" s="64"/>
      <c r="AM1756" s="169"/>
      <c r="AN1756" s="169"/>
      <c r="AO1756" s="169"/>
      <c r="AP1756" s="169"/>
      <c r="AQ1756" s="169"/>
      <c r="AR1756" s="169"/>
      <c r="AS1756" s="169"/>
      <c r="AT1756" s="169"/>
    </row>
    <row r="1757" spans="10:46">
      <c r="J1757" s="64"/>
      <c r="K1757" s="64"/>
      <c r="L1757" s="64"/>
      <c r="M1757" s="64"/>
      <c r="N1757" s="64"/>
      <c r="O1757" s="64"/>
      <c r="P1757" s="64"/>
      <c r="Q1757" s="64"/>
      <c r="R1757" s="64"/>
      <c r="S1757" s="64"/>
      <c r="T1757" s="64"/>
      <c r="U1757" s="64"/>
      <c r="V1757" s="64"/>
      <c r="W1757" s="64"/>
      <c r="X1757" s="64"/>
      <c r="Y1757" s="64"/>
      <c r="Z1757" s="64"/>
      <c r="AA1757" s="64"/>
      <c r="AB1757" s="64"/>
      <c r="AC1757" s="64"/>
      <c r="AD1757" s="64"/>
      <c r="AE1757" s="64"/>
      <c r="AF1757" s="64"/>
      <c r="AG1757" s="64"/>
      <c r="AH1757" s="64"/>
      <c r="AI1757" s="64"/>
      <c r="AJ1757" s="64"/>
      <c r="AK1757" s="64"/>
      <c r="AL1757" s="64"/>
      <c r="AM1757" s="169"/>
      <c r="AN1757" s="169"/>
      <c r="AO1757" s="169"/>
      <c r="AP1757" s="169"/>
      <c r="AQ1757" s="169"/>
      <c r="AR1757" s="169"/>
      <c r="AS1757" s="169"/>
      <c r="AT1757" s="169"/>
    </row>
    <row r="1758" spans="10:46">
      <c r="J1758" s="64"/>
      <c r="K1758" s="64"/>
      <c r="L1758" s="64"/>
      <c r="M1758" s="64"/>
      <c r="N1758" s="64"/>
      <c r="O1758" s="64"/>
      <c r="P1758" s="64"/>
      <c r="Q1758" s="64"/>
      <c r="R1758" s="64"/>
      <c r="S1758" s="64"/>
      <c r="T1758" s="64"/>
      <c r="U1758" s="64"/>
      <c r="V1758" s="64"/>
      <c r="W1758" s="64"/>
      <c r="X1758" s="64"/>
      <c r="Y1758" s="64"/>
      <c r="Z1758" s="64"/>
      <c r="AA1758" s="64"/>
      <c r="AB1758" s="64"/>
      <c r="AC1758" s="64"/>
      <c r="AD1758" s="64"/>
      <c r="AE1758" s="64"/>
      <c r="AF1758" s="64"/>
      <c r="AG1758" s="64"/>
      <c r="AH1758" s="64"/>
      <c r="AI1758" s="64"/>
      <c r="AJ1758" s="64"/>
      <c r="AK1758" s="64"/>
      <c r="AL1758" s="64"/>
      <c r="AM1758" s="169"/>
      <c r="AN1758" s="169"/>
      <c r="AO1758" s="169"/>
      <c r="AP1758" s="169"/>
      <c r="AQ1758" s="169"/>
      <c r="AR1758" s="169"/>
      <c r="AS1758" s="169"/>
      <c r="AT1758" s="169"/>
    </row>
    <row r="1759" spans="10:46">
      <c r="J1759" s="64"/>
      <c r="K1759" s="64"/>
      <c r="L1759" s="64"/>
      <c r="M1759" s="64"/>
      <c r="N1759" s="64"/>
      <c r="O1759" s="64"/>
      <c r="P1759" s="64"/>
      <c r="Q1759" s="64"/>
      <c r="R1759" s="64"/>
      <c r="S1759" s="64"/>
      <c r="T1759" s="64"/>
      <c r="U1759" s="64"/>
      <c r="V1759" s="64"/>
      <c r="W1759" s="64"/>
      <c r="X1759" s="64"/>
      <c r="Y1759" s="64"/>
      <c r="Z1759" s="64"/>
      <c r="AA1759" s="64"/>
      <c r="AB1759" s="64"/>
      <c r="AC1759" s="64"/>
      <c r="AD1759" s="64"/>
      <c r="AE1759" s="64"/>
      <c r="AF1759" s="64"/>
      <c r="AG1759" s="64"/>
      <c r="AH1759" s="64"/>
      <c r="AI1759" s="64"/>
      <c r="AJ1759" s="64"/>
      <c r="AK1759" s="64"/>
      <c r="AL1759" s="64"/>
      <c r="AM1759" s="169"/>
      <c r="AN1759" s="169"/>
      <c r="AO1759" s="169"/>
      <c r="AP1759" s="169"/>
      <c r="AQ1759" s="169"/>
      <c r="AR1759" s="169"/>
      <c r="AS1759" s="169"/>
      <c r="AT1759" s="169"/>
    </row>
    <row r="1760" spans="10:46">
      <c r="J1760" s="64"/>
      <c r="K1760" s="64"/>
      <c r="L1760" s="64"/>
      <c r="M1760" s="64"/>
      <c r="N1760" s="64"/>
      <c r="O1760" s="64"/>
      <c r="P1760" s="64"/>
      <c r="Q1760" s="64"/>
      <c r="R1760" s="64"/>
      <c r="S1760" s="64"/>
      <c r="T1760" s="64"/>
      <c r="U1760" s="64"/>
      <c r="V1760" s="64"/>
      <c r="W1760" s="64"/>
      <c r="X1760" s="64"/>
      <c r="Y1760" s="64"/>
      <c r="Z1760" s="64"/>
      <c r="AA1760" s="64"/>
      <c r="AB1760" s="64"/>
      <c r="AC1760" s="64"/>
      <c r="AD1760" s="64"/>
      <c r="AE1760" s="64"/>
      <c r="AF1760" s="64"/>
      <c r="AG1760" s="64"/>
      <c r="AH1760" s="64"/>
      <c r="AI1760" s="64"/>
      <c r="AJ1760" s="64"/>
      <c r="AK1760" s="64"/>
      <c r="AL1760" s="64"/>
      <c r="AM1760" s="169"/>
      <c r="AN1760" s="169"/>
      <c r="AO1760" s="169"/>
      <c r="AP1760" s="169"/>
      <c r="AQ1760" s="169"/>
      <c r="AR1760" s="169"/>
      <c r="AS1760" s="169"/>
      <c r="AT1760" s="169"/>
    </row>
    <row r="1761" spans="10:46">
      <c r="J1761" s="64"/>
      <c r="K1761" s="64"/>
      <c r="L1761" s="64"/>
      <c r="M1761" s="64"/>
      <c r="N1761" s="64"/>
      <c r="O1761" s="64"/>
      <c r="P1761" s="64"/>
      <c r="Q1761" s="64"/>
      <c r="R1761" s="64"/>
      <c r="S1761" s="64"/>
      <c r="T1761" s="64"/>
      <c r="U1761" s="64"/>
      <c r="V1761" s="64"/>
      <c r="W1761" s="64"/>
      <c r="X1761" s="64"/>
      <c r="Y1761" s="64"/>
      <c r="Z1761" s="64"/>
      <c r="AA1761" s="64"/>
      <c r="AB1761" s="64"/>
      <c r="AC1761" s="64"/>
      <c r="AD1761" s="64"/>
      <c r="AE1761" s="64"/>
      <c r="AF1761" s="64"/>
      <c r="AG1761" s="64"/>
      <c r="AH1761" s="64"/>
      <c r="AI1761" s="64"/>
      <c r="AJ1761" s="64"/>
      <c r="AK1761" s="64"/>
      <c r="AL1761" s="64"/>
      <c r="AM1761" s="169"/>
      <c r="AN1761" s="169"/>
      <c r="AO1761" s="169"/>
      <c r="AP1761" s="169"/>
      <c r="AQ1761" s="169"/>
      <c r="AR1761" s="169"/>
      <c r="AS1761" s="169"/>
      <c r="AT1761" s="169"/>
    </row>
    <row r="1762" spans="10:46">
      <c r="J1762" s="64"/>
      <c r="K1762" s="64"/>
      <c r="L1762" s="64"/>
      <c r="M1762" s="64"/>
      <c r="N1762" s="64"/>
      <c r="O1762" s="64"/>
      <c r="P1762" s="64"/>
      <c r="Q1762" s="64"/>
      <c r="R1762" s="64"/>
      <c r="S1762" s="64"/>
      <c r="T1762" s="64"/>
      <c r="U1762" s="64"/>
      <c r="V1762" s="64"/>
      <c r="W1762" s="64"/>
      <c r="X1762" s="64"/>
      <c r="Y1762" s="64"/>
      <c r="Z1762" s="64"/>
      <c r="AA1762" s="64"/>
      <c r="AB1762" s="64"/>
      <c r="AC1762" s="64"/>
      <c r="AD1762" s="64"/>
      <c r="AE1762" s="64"/>
      <c r="AF1762" s="64"/>
      <c r="AG1762" s="64"/>
      <c r="AH1762" s="64"/>
      <c r="AI1762" s="64"/>
      <c r="AJ1762" s="64"/>
      <c r="AK1762" s="64"/>
      <c r="AL1762" s="64"/>
      <c r="AM1762" s="169"/>
      <c r="AN1762" s="169"/>
      <c r="AO1762" s="169"/>
      <c r="AP1762" s="169"/>
      <c r="AQ1762" s="169"/>
      <c r="AR1762" s="169"/>
      <c r="AS1762" s="169"/>
      <c r="AT1762" s="169"/>
    </row>
    <row r="1763" spans="10:46">
      <c r="J1763" s="64"/>
      <c r="K1763" s="64"/>
      <c r="L1763" s="64"/>
      <c r="M1763" s="64"/>
      <c r="N1763" s="64"/>
      <c r="O1763" s="64"/>
      <c r="P1763" s="64"/>
      <c r="Q1763" s="64"/>
      <c r="R1763" s="64"/>
      <c r="S1763" s="64"/>
      <c r="T1763" s="64"/>
      <c r="U1763" s="64"/>
      <c r="V1763" s="64"/>
      <c r="W1763" s="64"/>
      <c r="X1763" s="64"/>
      <c r="Y1763" s="64"/>
      <c r="Z1763" s="64"/>
      <c r="AA1763" s="64"/>
      <c r="AB1763" s="64"/>
      <c r="AC1763" s="64"/>
      <c r="AD1763" s="64"/>
      <c r="AE1763" s="64"/>
      <c r="AF1763" s="64"/>
      <c r="AG1763" s="64"/>
      <c r="AH1763" s="64"/>
      <c r="AI1763" s="64"/>
      <c r="AJ1763" s="64"/>
      <c r="AK1763" s="64"/>
      <c r="AL1763" s="64"/>
      <c r="AM1763" s="169"/>
      <c r="AN1763" s="169"/>
      <c r="AO1763" s="169"/>
      <c r="AP1763" s="169"/>
      <c r="AQ1763" s="169"/>
      <c r="AR1763" s="169"/>
      <c r="AS1763" s="169"/>
      <c r="AT1763" s="169"/>
    </row>
    <row r="1764" spans="10:46">
      <c r="J1764" s="64"/>
      <c r="K1764" s="64"/>
      <c r="L1764" s="64"/>
      <c r="M1764" s="64"/>
      <c r="N1764" s="64"/>
      <c r="O1764" s="64"/>
      <c r="P1764" s="64"/>
      <c r="Q1764" s="64"/>
      <c r="R1764" s="64"/>
      <c r="S1764" s="64"/>
      <c r="T1764" s="64"/>
      <c r="U1764" s="64"/>
      <c r="V1764" s="64"/>
      <c r="W1764" s="64"/>
      <c r="X1764" s="64"/>
      <c r="Y1764" s="64"/>
      <c r="Z1764" s="64"/>
      <c r="AA1764" s="64"/>
      <c r="AB1764" s="64"/>
      <c r="AC1764" s="64"/>
      <c r="AD1764" s="64"/>
      <c r="AE1764" s="64"/>
      <c r="AF1764" s="64"/>
      <c r="AG1764" s="64"/>
      <c r="AH1764" s="64"/>
      <c r="AI1764" s="64"/>
      <c r="AJ1764" s="64"/>
      <c r="AK1764" s="64"/>
      <c r="AL1764" s="64"/>
      <c r="AM1764" s="169"/>
      <c r="AN1764" s="169"/>
      <c r="AO1764" s="169"/>
      <c r="AP1764" s="169"/>
      <c r="AQ1764" s="169"/>
      <c r="AR1764" s="169"/>
      <c r="AS1764" s="169"/>
      <c r="AT1764" s="169"/>
    </row>
    <row r="1765" spans="10:46">
      <c r="J1765" s="64"/>
      <c r="K1765" s="64"/>
      <c r="L1765" s="64"/>
      <c r="M1765" s="64"/>
      <c r="N1765" s="64"/>
      <c r="O1765" s="64"/>
      <c r="P1765" s="64"/>
      <c r="Q1765" s="64"/>
      <c r="R1765" s="64"/>
      <c r="S1765" s="64"/>
      <c r="T1765" s="64"/>
      <c r="U1765" s="64"/>
      <c r="V1765" s="64"/>
      <c r="W1765" s="64"/>
      <c r="X1765" s="64"/>
      <c r="Y1765" s="64"/>
      <c r="Z1765" s="64"/>
      <c r="AA1765" s="64"/>
      <c r="AB1765" s="64"/>
      <c r="AC1765" s="64"/>
      <c r="AD1765" s="64"/>
      <c r="AE1765" s="64"/>
      <c r="AF1765" s="64"/>
      <c r="AG1765" s="64"/>
      <c r="AH1765" s="64"/>
      <c r="AI1765" s="64"/>
      <c r="AJ1765" s="64"/>
      <c r="AK1765" s="64"/>
      <c r="AL1765" s="64"/>
      <c r="AM1765" s="169"/>
      <c r="AN1765" s="169"/>
      <c r="AO1765" s="169"/>
      <c r="AP1765" s="169"/>
      <c r="AQ1765" s="169"/>
      <c r="AR1765" s="169"/>
      <c r="AS1765" s="169"/>
      <c r="AT1765" s="169"/>
    </row>
    <row r="1766" spans="10:46">
      <c r="J1766" s="64"/>
      <c r="K1766" s="64"/>
      <c r="L1766" s="64"/>
      <c r="M1766" s="64"/>
      <c r="N1766" s="64"/>
      <c r="O1766" s="64"/>
      <c r="P1766" s="64"/>
      <c r="Q1766" s="64"/>
      <c r="R1766" s="64"/>
      <c r="S1766" s="64"/>
      <c r="T1766" s="64"/>
      <c r="U1766" s="64"/>
      <c r="V1766" s="64"/>
      <c r="W1766" s="64"/>
      <c r="X1766" s="64"/>
      <c r="Y1766" s="64"/>
      <c r="Z1766" s="64"/>
      <c r="AA1766" s="64"/>
      <c r="AB1766" s="64"/>
      <c r="AC1766" s="64"/>
      <c r="AD1766" s="64"/>
      <c r="AE1766" s="64"/>
      <c r="AF1766" s="64"/>
      <c r="AG1766" s="64"/>
      <c r="AH1766" s="64"/>
      <c r="AI1766" s="64"/>
      <c r="AJ1766" s="64"/>
      <c r="AK1766" s="64"/>
      <c r="AL1766" s="64"/>
      <c r="AM1766" s="169"/>
      <c r="AN1766" s="169"/>
      <c r="AO1766" s="169"/>
      <c r="AP1766" s="169"/>
      <c r="AQ1766" s="169"/>
      <c r="AR1766" s="169"/>
      <c r="AS1766" s="169"/>
      <c r="AT1766" s="169"/>
    </row>
    <row r="1767" spans="10:46">
      <c r="J1767" s="64"/>
      <c r="K1767" s="64"/>
      <c r="L1767" s="64"/>
      <c r="M1767" s="64"/>
      <c r="N1767" s="64"/>
      <c r="O1767" s="64"/>
      <c r="P1767" s="64"/>
      <c r="Q1767" s="64"/>
      <c r="R1767" s="64"/>
      <c r="S1767" s="64"/>
      <c r="T1767" s="64"/>
      <c r="U1767" s="64"/>
      <c r="V1767" s="64"/>
      <c r="W1767" s="64"/>
      <c r="X1767" s="64"/>
      <c r="Y1767" s="64"/>
      <c r="Z1767" s="64"/>
      <c r="AA1767" s="64"/>
      <c r="AB1767" s="64"/>
      <c r="AC1767" s="64"/>
      <c r="AD1767" s="64"/>
      <c r="AE1767" s="64"/>
      <c r="AF1767" s="64"/>
      <c r="AG1767" s="64"/>
      <c r="AH1767" s="64"/>
      <c r="AI1767" s="64"/>
      <c r="AJ1767" s="64"/>
      <c r="AK1767" s="64"/>
      <c r="AL1767" s="64"/>
      <c r="AM1767" s="169"/>
      <c r="AN1767" s="169"/>
      <c r="AO1767" s="169"/>
      <c r="AP1767" s="169"/>
      <c r="AQ1767" s="169"/>
      <c r="AR1767" s="169"/>
      <c r="AS1767" s="169"/>
      <c r="AT1767" s="169"/>
    </row>
    <row r="1768" spans="10:46">
      <c r="J1768" s="64"/>
      <c r="K1768" s="64"/>
      <c r="L1768" s="64"/>
      <c r="M1768" s="64"/>
      <c r="N1768" s="64"/>
      <c r="O1768" s="64"/>
      <c r="P1768" s="64"/>
      <c r="Q1768" s="64"/>
      <c r="R1768" s="64"/>
      <c r="S1768" s="64"/>
      <c r="T1768" s="64"/>
      <c r="U1768" s="64"/>
      <c r="V1768" s="64"/>
      <c r="W1768" s="64"/>
      <c r="X1768" s="64"/>
      <c r="Y1768" s="64"/>
      <c r="Z1768" s="64"/>
      <c r="AA1768" s="64"/>
      <c r="AB1768" s="64"/>
      <c r="AC1768" s="64"/>
      <c r="AD1768" s="64"/>
      <c r="AE1768" s="64"/>
      <c r="AF1768" s="64"/>
      <c r="AG1768" s="64"/>
      <c r="AH1768" s="64"/>
      <c r="AI1768" s="64"/>
      <c r="AJ1768" s="64"/>
      <c r="AK1768" s="64"/>
      <c r="AL1768" s="64"/>
      <c r="AM1768" s="169"/>
      <c r="AN1768" s="169"/>
      <c r="AO1768" s="169"/>
      <c r="AP1768" s="169"/>
      <c r="AQ1768" s="169"/>
      <c r="AR1768" s="169"/>
      <c r="AS1768" s="169"/>
      <c r="AT1768" s="169"/>
    </row>
    <row r="1769" spans="10:46">
      <c r="J1769" s="64"/>
      <c r="K1769" s="64"/>
      <c r="L1769" s="64"/>
      <c r="M1769" s="64"/>
      <c r="N1769" s="64"/>
      <c r="O1769" s="64"/>
      <c r="P1769" s="64"/>
      <c r="Q1769" s="64"/>
      <c r="R1769" s="64"/>
      <c r="S1769" s="64"/>
      <c r="T1769" s="64"/>
      <c r="U1769" s="64"/>
      <c r="V1769" s="64"/>
      <c r="W1769" s="64"/>
      <c r="X1769" s="64"/>
      <c r="Y1769" s="64"/>
      <c r="Z1769" s="64"/>
      <c r="AA1769" s="64"/>
      <c r="AB1769" s="64"/>
      <c r="AC1769" s="64"/>
      <c r="AD1769" s="64"/>
      <c r="AE1769" s="64"/>
      <c r="AF1769" s="64"/>
      <c r="AG1769" s="64"/>
      <c r="AH1769" s="64"/>
      <c r="AI1769" s="64"/>
      <c r="AJ1769" s="64"/>
      <c r="AK1769" s="64"/>
      <c r="AL1769" s="64"/>
      <c r="AM1769" s="169"/>
      <c r="AN1769" s="169"/>
      <c r="AO1769" s="169"/>
      <c r="AP1769" s="169"/>
      <c r="AQ1769" s="169"/>
      <c r="AR1769" s="169"/>
      <c r="AS1769" s="169"/>
      <c r="AT1769" s="169"/>
    </row>
    <row r="1770" spans="10:46">
      <c r="J1770" s="64"/>
      <c r="K1770" s="64"/>
      <c r="L1770" s="64"/>
      <c r="M1770" s="64"/>
      <c r="N1770" s="64"/>
      <c r="O1770" s="64"/>
      <c r="P1770" s="64"/>
      <c r="Q1770" s="64"/>
      <c r="R1770" s="64"/>
      <c r="S1770" s="64"/>
      <c r="T1770" s="64"/>
      <c r="U1770" s="64"/>
      <c r="V1770" s="64"/>
      <c r="W1770" s="64"/>
      <c r="X1770" s="64"/>
      <c r="Y1770" s="64"/>
      <c r="Z1770" s="64"/>
      <c r="AA1770" s="64"/>
      <c r="AB1770" s="64"/>
      <c r="AC1770" s="64"/>
      <c r="AD1770" s="64"/>
      <c r="AE1770" s="64"/>
      <c r="AF1770" s="64"/>
      <c r="AG1770" s="64"/>
      <c r="AH1770" s="64"/>
      <c r="AI1770" s="64"/>
      <c r="AJ1770" s="64"/>
      <c r="AK1770" s="64"/>
      <c r="AL1770" s="64"/>
      <c r="AM1770" s="169"/>
      <c r="AN1770" s="169"/>
      <c r="AO1770" s="169"/>
      <c r="AP1770" s="169"/>
      <c r="AQ1770" s="169"/>
      <c r="AR1770" s="169"/>
      <c r="AS1770" s="169"/>
      <c r="AT1770" s="169"/>
    </row>
    <row r="1771" spans="10:46">
      <c r="J1771" s="64"/>
      <c r="K1771" s="64"/>
      <c r="L1771" s="64"/>
      <c r="M1771" s="64"/>
      <c r="N1771" s="64"/>
      <c r="O1771" s="64"/>
      <c r="P1771" s="64"/>
      <c r="Q1771" s="64"/>
      <c r="R1771" s="64"/>
      <c r="S1771" s="64"/>
      <c r="T1771" s="64"/>
      <c r="U1771" s="64"/>
      <c r="V1771" s="64"/>
      <c r="W1771" s="64"/>
      <c r="X1771" s="64"/>
      <c r="Y1771" s="64"/>
      <c r="Z1771" s="64"/>
      <c r="AA1771" s="64"/>
      <c r="AB1771" s="64"/>
      <c r="AC1771" s="64"/>
      <c r="AD1771" s="64"/>
      <c r="AE1771" s="64"/>
      <c r="AF1771" s="64"/>
      <c r="AG1771" s="64"/>
      <c r="AH1771" s="64"/>
      <c r="AI1771" s="64"/>
      <c r="AJ1771" s="64"/>
      <c r="AK1771" s="64"/>
      <c r="AL1771" s="64"/>
      <c r="AM1771" s="169"/>
      <c r="AN1771" s="169"/>
      <c r="AO1771" s="169"/>
      <c r="AP1771" s="169"/>
      <c r="AQ1771" s="169"/>
      <c r="AR1771" s="169"/>
      <c r="AS1771" s="169"/>
      <c r="AT1771" s="169"/>
    </row>
    <row r="1772" spans="10:46">
      <c r="J1772" s="64"/>
      <c r="K1772" s="64"/>
      <c r="L1772" s="64"/>
      <c r="M1772" s="64"/>
      <c r="N1772" s="64"/>
      <c r="O1772" s="64"/>
      <c r="P1772" s="64"/>
      <c r="Q1772" s="64"/>
      <c r="R1772" s="64"/>
      <c r="S1772" s="64"/>
      <c r="T1772" s="64"/>
      <c r="U1772" s="64"/>
      <c r="V1772" s="64"/>
      <c r="W1772" s="64"/>
      <c r="X1772" s="64"/>
      <c r="Y1772" s="64"/>
      <c r="Z1772" s="64"/>
      <c r="AA1772" s="64"/>
      <c r="AB1772" s="64"/>
      <c r="AC1772" s="64"/>
      <c r="AD1772" s="64"/>
      <c r="AE1772" s="64"/>
      <c r="AF1772" s="64"/>
      <c r="AG1772" s="64"/>
      <c r="AH1772" s="64"/>
      <c r="AI1772" s="64"/>
      <c r="AJ1772" s="64"/>
      <c r="AK1772" s="64"/>
      <c r="AL1772" s="64"/>
      <c r="AM1772" s="169"/>
      <c r="AN1772" s="169"/>
      <c r="AO1772" s="169"/>
      <c r="AP1772" s="169"/>
      <c r="AQ1772" s="169"/>
      <c r="AR1772" s="169"/>
      <c r="AS1772" s="169"/>
      <c r="AT1772" s="169"/>
    </row>
    <row r="1773" spans="10:46">
      <c r="J1773" s="64"/>
      <c r="K1773" s="64"/>
      <c r="L1773" s="64"/>
      <c r="M1773" s="64"/>
      <c r="N1773" s="64"/>
      <c r="O1773" s="64"/>
      <c r="P1773" s="64"/>
      <c r="Q1773" s="64"/>
      <c r="R1773" s="64"/>
      <c r="S1773" s="64"/>
      <c r="T1773" s="64"/>
      <c r="U1773" s="64"/>
      <c r="V1773" s="64"/>
      <c r="W1773" s="64"/>
      <c r="X1773" s="64"/>
      <c r="Y1773" s="64"/>
      <c r="Z1773" s="64"/>
      <c r="AA1773" s="64"/>
      <c r="AB1773" s="64"/>
      <c r="AC1773" s="64"/>
      <c r="AD1773" s="64"/>
      <c r="AE1773" s="64"/>
      <c r="AF1773" s="64"/>
      <c r="AG1773" s="64"/>
      <c r="AH1773" s="64"/>
      <c r="AI1773" s="64"/>
      <c r="AJ1773" s="64"/>
      <c r="AK1773" s="64"/>
      <c r="AL1773" s="64"/>
      <c r="AM1773" s="169"/>
      <c r="AN1773" s="169"/>
      <c r="AO1773" s="169"/>
      <c r="AP1773" s="169"/>
      <c r="AQ1773" s="169"/>
      <c r="AR1773" s="169"/>
      <c r="AS1773" s="169"/>
      <c r="AT1773" s="169"/>
    </row>
    <row r="1774" spans="10:46">
      <c r="J1774" s="64"/>
      <c r="K1774" s="64"/>
      <c r="L1774" s="64"/>
      <c r="M1774" s="64"/>
      <c r="N1774" s="64"/>
      <c r="O1774" s="64"/>
      <c r="P1774" s="64"/>
      <c r="Q1774" s="64"/>
      <c r="R1774" s="64"/>
      <c r="S1774" s="64"/>
      <c r="T1774" s="64"/>
      <c r="U1774" s="64"/>
      <c r="V1774" s="64"/>
      <c r="W1774" s="64"/>
      <c r="X1774" s="64"/>
      <c r="Y1774" s="64"/>
      <c r="Z1774" s="64"/>
      <c r="AA1774" s="64"/>
      <c r="AB1774" s="64"/>
      <c r="AC1774" s="64"/>
      <c r="AD1774" s="64"/>
      <c r="AE1774" s="64"/>
      <c r="AF1774" s="64"/>
      <c r="AG1774" s="64"/>
      <c r="AH1774" s="64"/>
      <c r="AI1774" s="64"/>
      <c r="AJ1774" s="64"/>
      <c r="AK1774" s="64"/>
      <c r="AL1774" s="64"/>
      <c r="AM1774" s="169"/>
      <c r="AN1774" s="169"/>
      <c r="AO1774" s="169"/>
      <c r="AP1774" s="169"/>
      <c r="AQ1774" s="169"/>
      <c r="AR1774" s="169"/>
      <c r="AS1774" s="169"/>
      <c r="AT1774" s="169"/>
    </row>
    <row r="1775" spans="10:46">
      <c r="J1775" s="64"/>
      <c r="K1775" s="64"/>
      <c r="L1775" s="64"/>
      <c r="M1775" s="64"/>
      <c r="N1775" s="64"/>
      <c r="O1775" s="64"/>
      <c r="P1775" s="64"/>
      <c r="Q1775" s="64"/>
      <c r="R1775" s="64"/>
      <c r="S1775" s="64"/>
      <c r="T1775" s="64"/>
      <c r="U1775" s="64"/>
      <c r="V1775" s="64"/>
      <c r="W1775" s="64"/>
      <c r="X1775" s="64"/>
      <c r="Y1775" s="64"/>
      <c r="Z1775" s="64"/>
      <c r="AA1775" s="64"/>
      <c r="AB1775" s="64"/>
      <c r="AC1775" s="64"/>
      <c r="AD1775" s="64"/>
      <c r="AE1775" s="64"/>
      <c r="AF1775" s="64"/>
      <c r="AG1775" s="64"/>
      <c r="AH1775" s="64"/>
      <c r="AI1775" s="64"/>
      <c r="AJ1775" s="64"/>
      <c r="AK1775" s="64"/>
      <c r="AL1775" s="64"/>
      <c r="AM1775" s="169"/>
      <c r="AN1775" s="169"/>
      <c r="AO1775" s="169"/>
      <c r="AP1775" s="169"/>
      <c r="AQ1775" s="169"/>
      <c r="AR1775" s="169"/>
      <c r="AS1775" s="169"/>
      <c r="AT1775" s="169"/>
    </row>
    <row r="1776" spans="10:46">
      <c r="J1776" s="64"/>
      <c r="K1776" s="64"/>
      <c r="L1776" s="64"/>
      <c r="M1776" s="64"/>
      <c r="N1776" s="64"/>
      <c r="O1776" s="64"/>
      <c r="P1776" s="64"/>
      <c r="Q1776" s="64"/>
      <c r="R1776" s="64"/>
      <c r="S1776" s="64"/>
      <c r="T1776" s="64"/>
      <c r="U1776" s="64"/>
      <c r="V1776" s="64"/>
      <c r="W1776" s="64"/>
      <c r="X1776" s="64"/>
      <c r="Y1776" s="64"/>
      <c r="Z1776" s="64"/>
      <c r="AA1776" s="64"/>
      <c r="AB1776" s="64"/>
      <c r="AC1776" s="64"/>
      <c r="AD1776" s="64"/>
      <c r="AE1776" s="64"/>
      <c r="AF1776" s="64"/>
      <c r="AG1776" s="64"/>
      <c r="AH1776" s="64"/>
      <c r="AI1776" s="64"/>
      <c r="AJ1776" s="64"/>
      <c r="AK1776" s="64"/>
      <c r="AL1776" s="64"/>
      <c r="AM1776" s="169"/>
      <c r="AN1776" s="169"/>
      <c r="AO1776" s="169"/>
      <c r="AP1776" s="169"/>
      <c r="AQ1776" s="169"/>
      <c r="AR1776" s="169"/>
      <c r="AS1776" s="169"/>
      <c r="AT1776" s="169"/>
    </row>
    <row r="1777" spans="10:46">
      <c r="J1777" s="64"/>
      <c r="K1777" s="64"/>
      <c r="L1777" s="64"/>
      <c r="M1777" s="64"/>
      <c r="N1777" s="64"/>
      <c r="O1777" s="64"/>
      <c r="P1777" s="64"/>
      <c r="Q1777" s="64"/>
      <c r="R1777" s="64"/>
      <c r="S1777" s="64"/>
      <c r="T1777" s="64"/>
      <c r="U1777" s="64"/>
      <c r="V1777" s="64"/>
      <c r="W1777" s="64"/>
      <c r="X1777" s="64"/>
      <c r="Y1777" s="64"/>
      <c r="Z1777" s="64"/>
      <c r="AA1777" s="64"/>
      <c r="AB1777" s="64"/>
      <c r="AC1777" s="64"/>
      <c r="AD1777" s="64"/>
      <c r="AE1777" s="64"/>
      <c r="AF1777" s="64"/>
      <c r="AG1777" s="64"/>
      <c r="AH1777" s="64"/>
      <c r="AI1777" s="64"/>
      <c r="AJ1777" s="64"/>
      <c r="AK1777" s="64"/>
      <c r="AL1777" s="64"/>
      <c r="AM1777" s="169"/>
      <c r="AN1777" s="169"/>
      <c r="AO1777" s="169"/>
      <c r="AP1777" s="169"/>
      <c r="AQ1777" s="169"/>
      <c r="AR1777" s="169"/>
      <c r="AS1777" s="169"/>
      <c r="AT1777" s="169"/>
    </row>
    <row r="1778" spans="10:46">
      <c r="J1778" s="64"/>
      <c r="K1778" s="64"/>
      <c r="L1778" s="64"/>
      <c r="M1778" s="64"/>
      <c r="N1778" s="64"/>
      <c r="O1778" s="64"/>
      <c r="P1778" s="64"/>
      <c r="Q1778" s="64"/>
      <c r="R1778" s="64"/>
      <c r="S1778" s="64"/>
      <c r="T1778" s="64"/>
      <c r="U1778" s="64"/>
      <c r="V1778" s="64"/>
      <c r="W1778" s="64"/>
      <c r="X1778" s="64"/>
      <c r="Y1778" s="64"/>
      <c r="Z1778" s="64"/>
      <c r="AA1778" s="64"/>
      <c r="AB1778" s="64"/>
      <c r="AC1778" s="64"/>
      <c r="AD1778" s="64"/>
      <c r="AE1778" s="64"/>
      <c r="AF1778" s="64"/>
      <c r="AG1778" s="64"/>
      <c r="AH1778" s="64"/>
      <c r="AI1778" s="64"/>
      <c r="AJ1778" s="64"/>
      <c r="AK1778" s="64"/>
      <c r="AL1778" s="64"/>
      <c r="AM1778" s="169"/>
      <c r="AN1778" s="169"/>
      <c r="AO1778" s="169"/>
      <c r="AP1778" s="169"/>
      <c r="AQ1778" s="169"/>
      <c r="AR1778" s="169"/>
      <c r="AS1778" s="169"/>
      <c r="AT1778" s="169"/>
    </row>
    <row r="1779" spans="10:46">
      <c r="J1779" s="64"/>
      <c r="K1779" s="64"/>
      <c r="L1779" s="64"/>
      <c r="M1779" s="64"/>
      <c r="N1779" s="64"/>
      <c r="O1779" s="64"/>
      <c r="P1779" s="64"/>
      <c r="Q1779" s="64"/>
      <c r="R1779" s="64"/>
      <c r="S1779" s="64"/>
      <c r="T1779" s="64"/>
      <c r="U1779" s="64"/>
      <c r="V1779" s="64"/>
      <c r="W1779" s="64"/>
      <c r="X1779" s="64"/>
      <c r="Y1779" s="64"/>
      <c r="Z1779" s="64"/>
      <c r="AA1779" s="64"/>
      <c r="AB1779" s="64"/>
      <c r="AC1779" s="64"/>
      <c r="AD1779" s="64"/>
      <c r="AE1779" s="64"/>
      <c r="AF1779" s="64"/>
      <c r="AG1779" s="64"/>
      <c r="AH1779" s="64"/>
      <c r="AI1779" s="64"/>
      <c r="AJ1779" s="64"/>
      <c r="AK1779" s="64"/>
      <c r="AL1779" s="64"/>
      <c r="AM1779" s="169"/>
      <c r="AN1779" s="169"/>
      <c r="AO1779" s="169"/>
      <c r="AP1779" s="169"/>
      <c r="AQ1779" s="169"/>
      <c r="AR1779" s="169"/>
      <c r="AS1779" s="169"/>
      <c r="AT1779" s="169"/>
    </row>
    <row r="1780" spans="10:46">
      <c r="J1780" s="64"/>
      <c r="K1780" s="64"/>
      <c r="L1780" s="64"/>
      <c r="M1780" s="64"/>
      <c r="N1780" s="64"/>
      <c r="O1780" s="64"/>
      <c r="P1780" s="64"/>
      <c r="Q1780" s="64"/>
      <c r="R1780" s="64"/>
      <c r="S1780" s="64"/>
      <c r="T1780" s="64"/>
      <c r="U1780" s="64"/>
      <c r="V1780" s="64"/>
      <c r="W1780" s="64"/>
      <c r="X1780" s="64"/>
      <c r="Y1780" s="64"/>
      <c r="Z1780" s="64"/>
      <c r="AA1780" s="64"/>
      <c r="AB1780" s="64"/>
      <c r="AC1780" s="64"/>
      <c r="AD1780" s="64"/>
      <c r="AE1780" s="64"/>
      <c r="AF1780" s="64"/>
      <c r="AG1780" s="64"/>
      <c r="AH1780" s="64"/>
      <c r="AI1780" s="64"/>
      <c r="AJ1780" s="64"/>
      <c r="AK1780" s="64"/>
      <c r="AL1780" s="64"/>
      <c r="AM1780" s="169"/>
      <c r="AN1780" s="169"/>
      <c r="AO1780" s="169"/>
      <c r="AP1780" s="169"/>
      <c r="AQ1780" s="169"/>
      <c r="AR1780" s="169"/>
      <c r="AS1780" s="169"/>
      <c r="AT1780" s="169"/>
    </row>
    <row r="1781" spans="10:46">
      <c r="J1781" s="64"/>
      <c r="K1781" s="64"/>
      <c r="L1781" s="64"/>
      <c r="M1781" s="64"/>
      <c r="N1781" s="64"/>
      <c r="O1781" s="64"/>
      <c r="P1781" s="64"/>
      <c r="Q1781" s="64"/>
      <c r="R1781" s="64"/>
      <c r="S1781" s="64"/>
      <c r="T1781" s="64"/>
      <c r="U1781" s="64"/>
      <c r="V1781" s="64"/>
      <c r="W1781" s="64"/>
      <c r="X1781" s="64"/>
      <c r="Y1781" s="64"/>
      <c r="Z1781" s="64"/>
      <c r="AA1781" s="64"/>
      <c r="AB1781" s="64"/>
      <c r="AC1781" s="64"/>
      <c r="AD1781" s="64"/>
      <c r="AE1781" s="64"/>
      <c r="AF1781" s="64"/>
      <c r="AG1781" s="64"/>
      <c r="AH1781" s="64"/>
      <c r="AI1781" s="64"/>
      <c r="AJ1781" s="64"/>
      <c r="AK1781" s="64"/>
      <c r="AL1781" s="64"/>
      <c r="AM1781" s="169"/>
      <c r="AN1781" s="169"/>
      <c r="AO1781" s="169"/>
      <c r="AP1781" s="169"/>
      <c r="AQ1781" s="169"/>
      <c r="AR1781" s="169"/>
      <c r="AS1781" s="169"/>
      <c r="AT1781" s="169"/>
    </row>
    <row r="1782" spans="10:46">
      <c r="J1782" s="64"/>
      <c r="K1782" s="64"/>
      <c r="L1782" s="64"/>
      <c r="M1782" s="64"/>
      <c r="N1782" s="64"/>
      <c r="O1782" s="64"/>
      <c r="P1782" s="64"/>
      <c r="Q1782" s="64"/>
      <c r="R1782" s="64"/>
      <c r="S1782" s="64"/>
      <c r="T1782" s="64"/>
      <c r="U1782" s="64"/>
      <c r="V1782" s="64"/>
      <c r="W1782" s="64"/>
      <c r="X1782" s="64"/>
      <c r="Y1782" s="64"/>
      <c r="Z1782" s="64"/>
      <c r="AA1782" s="64"/>
      <c r="AB1782" s="64"/>
      <c r="AC1782" s="64"/>
      <c r="AD1782" s="64"/>
      <c r="AE1782" s="64"/>
      <c r="AF1782" s="64"/>
      <c r="AG1782" s="64"/>
      <c r="AH1782" s="64"/>
      <c r="AI1782" s="64"/>
      <c r="AJ1782" s="64"/>
      <c r="AK1782" s="64"/>
      <c r="AL1782" s="64"/>
      <c r="AM1782" s="169"/>
      <c r="AN1782" s="169"/>
      <c r="AO1782" s="169"/>
      <c r="AP1782" s="169"/>
      <c r="AQ1782" s="169"/>
      <c r="AR1782" s="169"/>
      <c r="AS1782" s="169"/>
      <c r="AT1782" s="169"/>
    </row>
    <row r="1783" spans="10:46">
      <c r="J1783" s="64"/>
      <c r="K1783" s="64"/>
      <c r="L1783" s="64"/>
      <c r="M1783" s="64"/>
      <c r="N1783" s="64"/>
      <c r="O1783" s="64"/>
      <c r="P1783" s="64"/>
      <c r="Q1783" s="64"/>
      <c r="R1783" s="64"/>
      <c r="S1783" s="64"/>
      <c r="T1783" s="64"/>
      <c r="U1783" s="64"/>
      <c r="V1783" s="64"/>
      <c r="W1783" s="64"/>
      <c r="X1783" s="64"/>
      <c r="Y1783" s="64"/>
      <c r="Z1783" s="64"/>
      <c r="AA1783" s="64"/>
      <c r="AB1783" s="64"/>
      <c r="AC1783" s="64"/>
      <c r="AD1783" s="64"/>
      <c r="AE1783" s="64"/>
      <c r="AF1783" s="64"/>
      <c r="AG1783" s="64"/>
      <c r="AH1783" s="64"/>
      <c r="AI1783" s="64"/>
      <c r="AJ1783" s="64"/>
      <c r="AK1783" s="64"/>
      <c r="AL1783" s="64"/>
      <c r="AM1783" s="169"/>
      <c r="AN1783" s="169"/>
      <c r="AO1783" s="169"/>
      <c r="AP1783" s="169"/>
      <c r="AQ1783" s="169"/>
      <c r="AR1783" s="169"/>
      <c r="AS1783" s="169"/>
      <c r="AT1783" s="169"/>
    </row>
    <row r="1784" spans="10:46">
      <c r="J1784" s="64"/>
      <c r="K1784" s="64"/>
      <c r="L1784" s="64"/>
      <c r="M1784" s="64"/>
      <c r="N1784" s="64"/>
      <c r="O1784" s="64"/>
      <c r="P1784" s="64"/>
      <c r="Q1784" s="64"/>
      <c r="R1784" s="64"/>
      <c r="S1784" s="64"/>
      <c r="T1784" s="64"/>
      <c r="U1784" s="64"/>
      <c r="V1784" s="64"/>
      <c r="W1784" s="64"/>
      <c r="X1784" s="64"/>
      <c r="Y1784" s="64"/>
      <c r="Z1784" s="64"/>
      <c r="AA1784" s="64"/>
      <c r="AB1784" s="64"/>
      <c r="AC1784" s="64"/>
      <c r="AD1784" s="64"/>
      <c r="AE1784" s="64"/>
      <c r="AF1784" s="64"/>
      <c r="AG1784" s="64"/>
      <c r="AH1784" s="64"/>
      <c r="AI1784" s="64"/>
      <c r="AJ1784" s="64"/>
      <c r="AK1784" s="64"/>
      <c r="AL1784" s="64"/>
      <c r="AM1784" s="169"/>
      <c r="AN1784" s="169"/>
      <c r="AO1784" s="169"/>
      <c r="AP1784" s="169"/>
      <c r="AQ1784" s="169"/>
      <c r="AR1784" s="169"/>
      <c r="AS1784" s="169"/>
      <c r="AT1784" s="169"/>
    </row>
    <row r="1785" spans="10:46">
      <c r="J1785" s="64"/>
      <c r="K1785" s="64"/>
      <c r="L1785" s="64"/>
      <c r="M1785" s="64"/>
      <c r="N1785" s="64"/>
      <c r="O1785" s="64"/>
      <c r="P1785" s="64"/>
      <c r="Q1785" s="64"/>
      <c r="R1785" s="64"/>
      <c r="S1785" s="64"/>
      <c r="T1785" s="64"/>
      <c r="U1785" s="64"/>
      <c r="V1785" s="64"/>
      <c r="W1785" s="64"/>
      <c r="X1785" s="64"/>
      <c r="Y1785" s="64"/>
      <c r="Z1785" s="64"/>
      <c r="AA1785" s="64"/>
      <c r="AB1785" s="64"/>
      <c r="AC1785" s="64"/>
      <c r="AD1785" s="64"/>
      <c r="AE1785" s="64"/>
      <c r="AF1785" s="64"/>
      <c r="AG1785" s="64"/>
      <c r="AH1785" s="64"/>
      <c r="AI1785" s="64"/>
      <c r="AJ1785" s="64"/>
      <c r="AK1785" s="64"/>
      <c r="AL1785" s="64"/>
      <c r="AM1785" s="169"/>
      <c r="AN1785" s="169"/>
      <c r="AO1785" s="169"/>
      <c r="AP1785" s="169"/>
      <c r="AQ1785" s="169"/>
      <c r="AR1785" s="169"/>
      <c r="AS1785" s="169"/>
      <c r="AT1785" s="169"/>
    </row>
    <row r="1786" spans="10:46">
      <c r="J1786" s="64"/>
      <c r="K1786" s="64"/>
      <c r="L1786" s="64"/>
      <c r="M1786" s="64"/>
      <c r="N1786" s="64"/>
      <c r="O1786" s="64"/>
      <c r="P1786" s="64"/>
      <c r="Q1786" s="64"/>
      <c r="R1786" s="64"/>
      <c r="S1786" s="64"/>
      <c r="T1786" s="64"/>
      <c r="U1786" s="64"/>
      <c r="V1786" s="64"/>
      <c r="W1786" s="64"/>
      <c r="X1786" s="64"/>
      <c r="Y1786" s="64"/>
      <c r="Z1786" s="64"/>
      <c r="AA1786" s="64"/>
      <c r="AB1786" s="64"/>
      <c r="AC1786" s="64"/>
      <c r="AD1786" s="64"/>
      <c r="AE1786" s="64"/>
      <c r="AF1786" s="64"/>
      <c r="AG1786" s="64"/>
      <c r="AH1786" s="64"/>
      <c r="AI1786" s="64"/>
      <c r="AJ1786" s="64"/>
      <c r="AK1786" s="64"/>
      <c r="AL1786" s="64"/>
      <c r="AM1786" s="169"/>
      <c r="AN1786" s="169"/>
      <c r="AO1786" s="169"/>
      <c r="AP1786" s="169"/>
      <c r="AQ1786" s="169"/>
      <c r="AR1786" s="169"/>
      <c r="AS1786" s="169"/>
      <c r="AT1786" s="169"/>
    </row>
    <row r="1787" spans="10:46">
      <c r="J1787" s="64"/>
      <c r="K1787" s="64"/>
      <c r="L1787" s="64"/>
      <c r="M1787" s="64"/>
      <c r="N1787" s="64"/>
      <c r="O1787" s="64"/>
      <c r="P1787" s="64"/>
      <c r="Q1787" s="64"/>
      <c r="R1787" s="64"/>
      <c r="S1787" s="64"/>
      <c r="T1787" s="64"/>
      <c r="U1787" s="64"/>
      <c r="V1787" s="64"/>
      <c r="W1787" s="64"/>
      <c r="X1787" s="64"/>
      <c r="Y1787" s="64"/>
      <c r="Z1787" s="64"/>
      <c r="AA1787" s="64"/>
      <c r="AB1787" s="64"/>
      <c r="AC1787" s="64"/>
      <c r="AD1787" s="64"/>
      <c r="AE1787" s="64"/>
      <c r="AF1787" s="64"/>
      <c r="AG1787" s="64"/>
      <c r="AH1787" s="64"/>
      <c r="AI1787" s="64"/>
      <c r="AJ1787" s="64"/>
      <c r="AK1787" s="64"/>
      <c r="AL1787" s="64"/>
      <c r="AM1787" s="169"/>
      <c r="AN1787" s="169"/>
      <c r="AO1787" s="169"/>
      <c r="AP1787" s="169"/>
      <c r="AQ1787" s="169"/>
      <c r="AR1787" s="169"/>
      <c r="AS1787" s="169"/>
      <c r="AT1787" s="169"/>
    </row>
    <row r="1788" spans="10:46">
      <c r="J1788" s="64"/>
      <c r="K1788" s="64"/>
      <c r="L1788" s="64"/>
      <c r="M1788" s="64"/>
      <c r="N1788" s="64"/>
      <c r="O1788" s="64"/>
      <c r="P1788" s="64"/>
      <c r="Q1788" s="64"/>
      <c r="R1788" s="64"/>
      <c r="S1788" s="64"/>
      <c r="T1788" s="64"/>
      <c r="U1788" s="64"/>
      <c r="V1788" s="64"/>
      <c r="W1788" s="64"/>
      <c r="X1788" s="64"/>
      <c r="Y1788" s="64"/>
      <c r="Z1788" s="64"/>
      <c r="AA1788" s="64"/>
      <c r="AB1788" s="64"/>
      <c r="AC1788" s="64"/>
      <c r="AD1788" s="64"/>
      <c r="AE1788" s="64"/>
      <c r="AF1788" s="64"/>
      <c r="AG1788" s="64"/>
      <c r="AH1788" s="64"/>
      <c r="AI1788" s="64"/>
      <c r="AJ1788" s="64"/>
      <c r="AK1788" s="64"/>
      <c r="AL1788" s="64"/>
      <c r="AM1788" s="169"/>
      <c r="AN1788" s="169"/>
      <c r="AO1788" s="169"/>
      <c r="AP1788" s="169"/>
      <c r="AQ1788" s="169"/>
      <c r="AR1788" s="169"/>
      <c r="AS1788" s="169"/>
      <c r="AT1788" s="169"/>
    </row>
    <row r="1789" spans="10:46">
      <c r="J1789" s="64"/>
      <c r="K1789" s="64"/>
      <c r="L1789" s="64"/>
      <c r="M1789" s="64"/>
      <c r="N1789" s="64"/>
      <c r="O1789" s="64"/>
      <c r="P1789" s="64"/>
      <c r="Q1789" s="64"/>
      <c r="R1789" s="64"/>
      <c r="S1789" s="64"/>
      <c r="T1789" s="64"/>
      <c r="U1789" s="64"/>
      <c r="V1789" s="64"/>
      <c r="W1789" s="64"/>
      <c r="X1789" s="64"/>
      <c r="Y1789" s="64"/>
      <c r="Z1789" s="64"/>
      <c r="AA1789" s="64"/>
      <c r="AB1789" s="64"/>
      <c r="AC1789" s="64"/>
      <c r="AD1789" s="64"/>
      <c r="AE1789" s="64"/>
      <c r="AF1789" s="64"/>
      <c r="AG1789" s="64"/>
      <c r="AH1789" s="64"/>
      <c r="AI1789" s="64"/>
      <c r="AJ1789" s="64"/>
      <c r="AK1789" s="64"/>
      <c r="AL1789" s="64"/>
      <c r="AM1789" s="169"/>
      <c r="AN1789" s="169"/>
      <c r="AO1789" s="169"/>
      <c r="AP1789" s="169"/>
      <c r="AQ1789" s="169"/>
      <c r="AR1789" s="169"/>
      <c r="AS1789" s="169"/>
      <c r="AT1789" s="169"/>
    </row>
    <row r="1790" spans="10:46">
      <c r="J1790" s="64"/>
      <c r="K1790" s="64"/>
      <c r="L1790" s="64"/>
      <c r="M1790" s="64"/>
      <c r="N1790" s="64"/>
      <c r="O1790" s="64"/>
      <c r="P1790" s="64"/>
      <c r="Q1790" s="64"/>
      <c r="R1790" s="64"/>
      <c r="S1790" s="64"/>
      <c r="T1790" s="64"/>
      <c r="U1790" s="64"/>
      <c r="V1790" s="64"/>
      <c r="W1790" s="64"/>
      <c r="X1790" s="64"/>
      <c r="Y1790" s="64"/>
      <c r="Z1790" s="64"/>
      <c r="AA1790" s="64"/>
      <c r="AB1790" s="64"/>
      <c r="AC1790" s="64"/>
      <c r="AD1790" s="64"/>
      <c r="AE1790" s="64"/>
      <c r="AF1790" s="64"/>
      <c r="AG1790" s="64"/>
      <c r="AH1790" s="64"/>
      <c r="AI1790" s="64"/>
      <c r="AJ1790" s="64"/>
      <c r="AK1790" s="64"/>
      <c r="AL1790" s="64"/>
      <c r="AM1790" s="169"/>
      <c r="AN1790" s="169"/>
      <c r="AO1790" s="169"/>
      <c r="AP1790" s="169"/>
      <c r="AQ1790" s="169"/>
      <c r="AR1790" s="169"/>
      <c r="AS1790" s="169"/>
      <c r="AT1790" s="169"/>
    </row>
    <row r="1791" spans="10:46">
      <c r="J1791" s="64"/>
      <c r="K1791" s="64"/>
      <c r="L1791" s="64"/>
      <c r="M1791" s="64"/>
      <c r="N1791" s="64"/>
      <c r="O1791" s="64"/>
      <c r="P1791" s="64"/>
      <c r="Q1791" s="64"/>
      <c r="R1791" s="64"/>
      <c r="S1791" s="64"/>
      <c r="T1791" s="64"/>
      <c r="U1791" s="64"/>
      <c r="V1791" s="64"/>
      <c r="W1791" s="64"/>
      <c r="X1791" s="64"/>
      <c r="Y1791" s="64"/>
      <c r="Z1791" s="64"/>
      <c r="AA1791" s="64"/>
      <c r="AB1791" s="64"/>
      <c r="AC1791" s="64"/>
      <c r="AD1791" s="64"/>
      <c r="AE1791" s="64"/>
      <c r="AF1791" s="64"/>
      <c r="AG1791" s="64"/>
      <c r="AH1791" s="64"/>
      <c r="AI1791" s="64"/>
      <c r="AJ1791" s="64"/>
      <c r="AK1791" s="64"/>
      <c r="AL1791" s="64"/>
      <c r="AM1791" s="169"/>
      <c r="AN1791" s="169"/>
      <c r="AO1791" s="169"/>
      <c r="AP1791" s="169"/>
      <c r="AQ1791" s="169"/>
      <c r="AR1791" s="169"/>
      <c r="AS1791" s="169"/>
      <c r="AT1791" s="169"/>
    </row>
    <row r="1792" spans="10:46">
      <c r="J1792" s="64"/>
      <c r="K1792" s="64"/>
      <c r="L1792" s="64"/>
      <c r="M1792" s="64"/>
      <c r="N1792" s="64"/>
      <c r="O1792" s="64"/>
      <c r="P1792" s="64"/>
      <c r="Q1792" s="64"/>
      <c r="R1792" s="64"/>
      <c r="S1792" s="64"/>
      <c r="T1792" s="64"/>
      <c r="U1792" s="64"/>
      <c r="V1792" s="64"/>
      <c r="W1792" s="64"/>
      <c r="X1792" s="64"/>
      <c r="Y1792" s="64"/>
      <c r="Z1792" s="64"/>
      <c r="AA1792" s="64"/>
      <c r="AB1792" s="64"/>
      <c r="AC1792" s="64"/>
      <c r="AD1792" s="64"/>
      <c r="AE1792" s="64"/>
      <c r="AF1792" s="64"/>
      <c r="AG1792" s="64"/>
      <c r="AH1792" s="64"/>
      <c r="AI1792" s="64"/>
      <c r="AJ1792" s="64"/>
      <c r="AK1792" s="64"/>
      <c r="AL1792" s="64"/>
      <c r="AM1792" s="169"/>
      <c r="AN1792" s="169"/>
      <c r="AO1792" s="169"/>
      <c r="AP1792" s="169"/>
      <c r="AQ1792" s="169"/>
      <c r="AR1792" s="169"/>
      <c r="AS1792" s="169"/>
      <c r="AT1792" s="169"/>
    </row>
    <row r="1793" spans="10:46">
      <c r="J1793" s="64"/>
      <c r="K1793" s="64"/>
      <c r="L1793" s="64"/>
      <c r="M1793" s="64"/>
      <c r="N1793" s="64"/>
      <c r="O1793" s="64"/>
      <c r="P1793" s="64"/>
      <c r="Q1793" s="64"/>
      <c r="R1793" s="64"/>
      <c r="S1793" s="64"/>
      <c r="T1793" s="64"/>
      <c r="U1793" s="64"/>
      <c r="V1793" s="64"/>
      <c r="W1793" s="64"/>
      <c r="X1793" s="64"/>
      <c r="Y1793" s="64"/>
      <c r="Z1793" s="64"/>
      <c r="AA1793" s="64"/>
      <c r="AB1793" s="64"/>
      <c r="AC1793" s="64"/>
      <c r="AD1793" s="64"/>
      <c r="AE1793" s="64"/>
      <c r="AF1793" s="64"/>
      <c r="AG1793" s="64"/>
      <c r="AH1793" s="64"/>
      <c r="AI1793" s="64"/>
      <c r="AJ1793" s="64"/>
      <c r="AK1793" s="64"/>
      <c r="AL1793" s="64"/>
      <c r="AM1793" s="169"/>
      <c r="AN1793" s="169"/>
      <c r="AO1793" s="169"/>
      <c r="AP1793" s="169"/>
      <c r="AQ1793" s="169"/>
      <c r="AR1793" s="169"/>
      <c r="AS1793" s="169"/>
      <c r="AT1793" s="169"/>
    </row>
    <row r="1794" spans="10:46">
      <c r="J1794" s="64"/>
      <c r="K1794" s="64"/>
      <c r="L1794" s="64"/>
      <c r="M1794" s="64"/>
      <c r="N1794" s="64"/>
      <c r="O1794" s="64"/>
      <c r="P1794" s="64"/>
      <c r="Q1794" s="64"/>
      <c r="R1794" s="64"/>
      <c r="S1794" s="64"/>
      <c r="T1794" s="64"/>
      <c r="U1794" s="64"/>
      <c r="V1794" s="64"/>
      <c r="W1794" s="64"/>
      <c r="X1794" s="64"/>
      <c r="Y1794" s="64"/>
      <c r="Z1794" s="64"/>
      <c r="AA1794" s="64"/>
      <c r="AB1794" s="64"/>
      <c r="AC1794" s="64"/>
      <c r="AD1794" s="64"/>
      <c r="AE1794" s="64"/>
      <c r="AF1794" s="64"/>
      <c r="AG1794" s="64"/>
      <c r="AH1794" s="64"/>
      <c r="AI1794" s="64"/>
      <c r="AJ1794" s="64"/>
      <c r="AK1794" s="64"/>
      <c r="AL1794" s="64"/>
      <c r="AM1794" s="169"/>
      <c r="AN1794" s="169"/>
      <c r="AO1794" s="169"/>
      <c r="AP1794" s="169"/>
      <c r="AQ1794" s="169"/>
      <c r="AR1794" s="169"/>
      <c r="AS1794" s="169"/>
      <c r="AT1794" s="169"/>
    </row>
    <row r="1795" spans="10:46">
      <c r="J1795" s="64"/>
      <c r="K1795" s="64"/>
      <c r="L1795" s="64"/>
      <c r="M1795" s="64"/>
      <c r="N1795" s="64"/>
      <c r="O1795" s="64"/>
      <c r="P1795" s="64"/>
      <c r="Q1795" s="64"/>
      <c r="R1795" s="64"/>
      <c r="S1795" s="64"/>
      <c r="T1795" s="64"/>
      <c r="U1795" s="64"/>
      <c r="V1795" s="64"/>
      <c r="W1795" s="64"/>
      <c r="X1795" s="64"/>
      <c r="Y1795" s="64"/>
      <c r="Z1795" s="64"/>
      <c r="AA1795" s="64"/>
      <c r="AB1795" s="64"/>
      <c r="AC1795" s="64"/>
      <c r="AD1795" s="64"/>
      <c r="AE1795" s="64"/>
      <c r="AF1795" s="64"/>
      <c r="AG1795" s="64"/>
      <c r="AH1795" s="64"/>
      <c r="AI1795" s="64"/>
      <c r="AJ1795" s="64"/>
      <c r="AK1795" s="64"/>
      <c r="AL1795" s="64"/>
      <c r="AM1795" s="169"/>
      <c r="AN1795" s="169"/>
      <c r="AO1795" s="169"/>
      <c r="AP1795" s="169"/>
      <c r="AQ1795" s="169"/>
      <c r="AR1795" s="169"/>
      <c r="AS1795" s="169"/>
      <c r="AT1795" s="169"/>
    </row>
    <row r="1796" spans="10:46">
      <c r="J1796" s="64"/>
      <c r="K1796" s="64"/>
      <c r="L1796" s="64"/>
      <c r="M1796" s="64"/>
      <c r="N1796" s="64"/>
      <c r="O1796" s="64"/>
      <c r="P1796" s="64"/>
      <c r="Q1796" s="64"/>
      <c r="R1796" s="64"/>
      <c r="S1796" s="64"/>
      <c r="T1796" s="64"/>
      <c r="U1796" s="64"/>
      <c r="V1796" s="64"/>
      <c r="W1796" s="64"/>
      <c r="X1796" s="64"/>
      <c r="Y1796" s="64"/>
      <c r="Z1796" s="64"/>
      <c r="AA1796" s="64"/>
      <c r="AB1796" s="64"/>
      <c r="AC1796" s="64"/>
      <c r="AD1796" s="64"/>
      <c r="AE1796" s="64"/>
      <c r="AF1796" s="64"/>
      <c r="AG1796" s="64"/>
      <c r="AH1796" s="64"/>
      <c r="AI1796" s="64"/>
      <c r="AJ1796" s="64"/>
      <c r="AK1796" s="64"/>
      <c r="AL1796" s="64"/>
      <c r="AM1796" s="169"/>
      <c r="AN1796" s="169"/>
      <c r="AO1796" s="169"/>
      <c r="AP1796" s="169"/>
      <c r="AQ1796" s="169"/>
      <c r="AR1796" s="169"/>
      <c r="AS1796" s="169"/>
      <c r="AT1796" s="169"/>
    </row>
    <row r="1797" spans="10:46">
      <c r="J1797" s="64"/>
      <c r="K1797" s="64"/>
      <c r="L1797" s="64"/>
      <c r="M1797" s="64"/>
      <c r="N1797" s="64"/>
      <c r="O1797" s="64"/>
      <c r="P1797" s="64"/>
      <c r="Q1797" s="64"/>
      <c r="R1797" s="64"/>
      <c r="S1797" s="64"/>
      <c r="T1797" s="64"/>
      <c r="U1797" s="64"/>
      <c r="V1797" s="64"/>
      <c r="W1797" s="64"/>
      <c r="X1797" s="64"/>
      <c r="Y1797" s="64"/>
      <c r="Z1797" s="64"/>
      <c r="AA1797" s="64"/>
      <c r="AB1797" s="64"/>
      <c r="AC1797" s="64"/>
      <c r="AD1797" s="64"/>
      <c r="AE1797" s="64"/>
      <c r="AF1797" s="64"/>
      <c r="AG1797" s="64"/>
      <c r="AH1797" s="64"/>
      <c r="AI1797" s="64"/>
      <c r="AJ1797" s="64"/>
      <c r="AK1797" s="64"/>
      <c r="AL1797" s="64"/>
      <c r="AM1797" s="169"/>
      <c r="AN1797" s="169"/>
      <c r="AO1797" s="169"/>
      <c r="AP1797" s="169"/>
      <c r="AQ1797" s="169"/>
      <c r="AR1797" s="169"/>
      <c r="AS1797" s="169"/>
      <c r="AT1797" s="169"/>
    </row>
    <row r="1798" spans="10:46">
      <c r="J1798" s="64"/>
      <c r="K1798" s="64"/>
      <c r="L1798" s="64"/>
      <c r="M1798" s="64"/>
      <c r="N1798" s="64"/>
      <c r="O1798" s="64"/>
      <c r="P1798" s="64"/>
      <c r="Q1798" s="64"/>
      <c r="R1798" s="64"/>
      <c r="S1798" s="64"/>
      <c r="T1798" s="64"/>
      <c r="U1798" s="64"/>
      <c r="V1798" s="64"/>
      <c r="W1798" s="64"/>
      <c r="X1798" s="64"/>
      <c r="Y1798" s="64"/>
      <c r="Z1798" s="64"/>
      <c r="AA1798" s="64"/>
      <c r="AB1798" s="64"/>
      <c r="AC1798" s="64"/>
      <c r="AD1798" s="64"/>
      <c r="AE1798" s="64"/>
      <c r="AF1798" s="64"/>
      <c r="AG1798" s="64"/>
      <c r="AH1798" s="64"/>
      <c r="AI1798" s="64"/>
      <c r="AJ1798" s="64"/>
      <c r="AK1798" s="64"/>
      <c r="AL1798" s="64"/>
      <c r="AM1798" s="169"/>
      <c r="AN1798" s="169"/>
      <c r="AO1798" s="169"/>
      <c r="AP1798" s="169"/>
      <c r="AQ1798" s="169"/>
      <c r="AR1798" s="169"/>
      <c r="AS1798" s="169"/>
      <c r="AT1798" s="169"/>
    </row>
    <row r="1799" spans="10:46">
      <c r="J1799" s="64"/>
      <c r="K1799" s="64"/>
      <c r="L1799" s="64"/>
      <c r="M1799" s="64"/>
      <c r="N1799" s="64"/>
      <c r="O1799" s="64"/>
      <c r="P1799" s="64"/>
      <c r="Q1799" s="64"/>
      <c r="R1799" s="64"/>
      <c r="S1799" s="64"/>
      <c r="T1799" s="64"/>
      <c r="U1799" s="64"/>
      <c r="V1799" s="64"/>
      <c r="W1799" s="64"/>
      <c r="X1799" s="64"/>
      <c r="Y1799" s="64"/>
      <c r="Z1799" s="64"/>
      <c r="AA1799" s="64"/>
      <c r="AB1799" s="64"/>
      <c r="AC1799" s="64"/>
      <c r="AD1799" s="64"/>
      <c r="AE1799" s="64"/>
      <c r="AF1799" s="64"/>
      <c r="AG1799" s="64"/>
      <c r="AH1799" s="64"/>
      <c r="AI1799" s="64"/>
      <c r="AJ1799" s="64"/>
      <c r="AK1799" s="64"/>
      <c r="AL1799" s="64"/>
      <c r="AM1799" s="169"/>
      <c r="AN1799" s="169"/>
      <c r="AO1799" s="169"/>
      <c r="AP1799" s="169"/>
      <c r="AQ1799" s="169"/>
      <c r="AR1799" s="169"/>
      <c r="AS1799" s="169"/>
      <c r="AT1799" s="169"/>
    </row>
    <row r="1800" spans="10:46">
      <c r="J1800" s="64"/>
      <c r="K1800" s="64"/>
      <c r="L1800" s="64"/>
      <c r="M1800" s="64"/>
      <c r="N1800" s="64"/>
      <c r="O1800" s="64"/>
      <c r="P1800" s="64"/>
      <c r="Q1800" s="64"/>
      <c r="R1800" s="64"/>
      <c r="S1800" s="64"/>
      <c r="T1800" s="64"/>
      <c r="U1800" s="64"/>
      <c r="V1800" s="64"/>
      <c r="W1800" s="64"/>
      <c r="X1800" s="64"/>
      <c r="Y1800" s="64"/>
      <c r="Z1800" s="64"/>
      <c r="AA1800" s="64"/>
      <c r="AB1800" s="64"/>
      <c r="AC1800" s="64"/>
      <c r="AD1800" s="64"/>
      <c r="AE1800" s="64"/>
      <c r="AF1800" s="64"/>
      <c r="AG1800" s="64"/>
      <c r="AH1800" s="64"/>
      <c r="AI1800" s="64"/>
      <c r="AJ1800" s="64"/>
      <c r="AK1800" s="64"/>
      <c r="AL1800" s="64"/>
      <c r="AM1800" s="169"/>
      <c r="AN1800" s="169"/>
      <c r="AO1800" s="169"/>
      <c r="AP1800" s="169"/>
      <c r="AQ1800" s="169"/>
      <c r="AR1800" s="169"/>
      <c r="AS1800" s="169"/>
      <c r="AT1800" s="169"/>
    </row>
    <row r="1801" spans="10:46">
      <c r="J1801" s="64"/>
      <c r="K1801" s="64"/>
      <c r="L1801" s="64"/>
      <c r="M1801" s="64"/>
      <c r="N1801" s="64"/>
      <c r="O1801" s="64"/>
      <c r="P1801" s="64"/>
      <c r="Q1801" s="64"/>
      <c r="R1801" s="64"/>
      <c r="S1801" s="64"/>
      <c r="T1801" s="64"/>
      <c r="U1801" s="64"/>
      <c r="V1801" s="64"/>
      <c r="W1801" s="64"/>
      <c r="X1801" s="64"/>
      <c r="Y1801" s="64"/>
      <c r="Z1801" s="64"/>
      <c r="AA1801" s="64"/>
      <c r="AB1801" s="64"/>
      <c r="AC1801" s="64"/>
      <c r="AD1801" s="64"/>
      <c r="AE1801" s="64"/>
      <c r="AF1801" s="64"/>
      <c r="AG1801" s="64"/>
      <c r="AH1801" s="64"/>
      <c r="AI1801" s="64"/>
      <c r="AJ1801" s="64"/>
      <c r="AK1801" s="64"/>
      <c r="AL1801" s="64"/>
      <c r="AM1801" s="169"/>
      <c r="AN1801" s="169"/>
      <c r="AO1801" s="169"/>
      <c r="AP1801" s="169"/>
      <c r="AQ1801" s="169"/>
      <c r="AR1801" s="169"/>
      <c r="AS1801" s="169"/>
      <c r="AT1801" s="169"/>
    </row>
    <row r="1802" spans="10:46">
      <c r="J1802" s="64"/>
      <c r="K1802" s="64"/>
      <c r="L1802" s="64"/>
      <c r="M1802" s="64"/>
      <c r="N1802" s="64"/>
      <c r="O1802" s="64"/>
      <c r="P1802" s="64"/>
      <c r="Q1802" s="64"/>
      <c r="R1802" s="64"/>
      <c r="S1802" s="64"/>
      <c r="T1802" s="64"/>
      <c r="U1802" s="64"/>
      <c r="V1802" s="64"/>
      <c r="W1802" s="64"/>
      <c r="X1802" s="64"/>
      <c r="Y1802" s="64"/>
      <c r="Z1802" s="64"/>
      <c r="AA1802" s="64"/>
      <c r="AB1802" s="64"/>
      <c r="AC1802" s="64"/>
      <c r="AD1802" s="64"/>
      <c r="AE1802" s="64"/>
      <c r="AF1802" s="64"/>
      <c r="AG1802" s="64"/>
      <c r="AH1802" s="64"/>
      <c r="AI1802" s="64"/>
      <c r="AJ1802" s="64"/>
      <c r="AK1802" s="64"/>
      <c r="AL1802" s="64"/>
      <c r="AM1802" s="169"/>
      <c r="AN1802" s="169"/>
      <c r="AO1802" s="169"/>
      <c r="AP1802" s="169"/>
      <c r="AQ1802" s="169"/>
      <c r="AR1802" s="169"/>
      <c r="AS1802" s="169"/>
      <c r="AT1802" s="169"/>
    </row>
    <row r="1803" spans="10:46">
      <c r="J1803" s="64"/>
      <c r="K1803" s="64"/>
      <c r="L1803" s="64"/>
      <c r="M1803" s="64"/>
      <c r="N1803" s="64"/>
      <c r="O1803" s="64"/>
      <c r="P1803" s="64"/>
      <c r="Q1803" s="64"/>
      <c r="R1803" s="64"/>
      <c r="S1803" s="64"/>
      <c r="T1803" s="64"/>
      <c r="U1803" s="64"/>
      <c r="V1803" s="64"/>
      <c r="W1803" s="64"/>
      <c r="X1803" s="64"/>
      <c r="Y1803" s="64"/>
      <c r="Z1803" s="64"/>
      <c r="AA1803" s="64"/>
      <c r="AB1803" s="64"/>
      <c r="AC1803" s="64"/>
      <c r="AD1803" s="64"/>
      <c r="AE1803" s="64"/>
      <c r="AF1803" s="64"/>
      <c r="AG1803" s="64"/>
      <c r="AH1803" s="64"/>
      <c r="AI1803" s="64"/>
      <c r="AJ1803" s="64"/>
      <c r="AK1803" s="64"/>
      <c r="AL1803" s="64"/>
      <c r="AM1803" s="169"/>
      <c r="AN1803" s="169"/>
      <c r="AO1803" s="169"/>
      <c r="AP1803" s="169"/>
      <c r="AQ1803" s="169"/>
      <c r="AR1803" s="169"/>
      <c r="AS1803" s="169"/>
      <c r="AT1803" s="169"/>
    </row>
    <row r="1804" spans="10:46">
      <c r="J1804" s="64"/>
      <c r="K1804" s="64"/>
      <c r="L1804" s="64"/>
      <c r="M1804" s="64"/>
      <c r="N1804" s="64"/>
      <c r="O1804" s="64"/>
      <c r="P1804" s="64"/>
      <c r="Q1804" s="64"/>
      <c r="R1804" s="64"/>
      <c r="S1804" s="64"/>
      <c r="T1804" s="64"/>
      <c r="U1804" s="64"/>
      <c r="V1804" s="64"/>
      <c r="W1804" s="64"/>
      <c r="X1804" s="64"/>
      <c r="Y1804" s="64"/>
      <c r="Z1804" s="64"/>
      <c r="AA1804" s="64"/>
      <c r="AB1804" s="64"/>
      <c r="AC1804" s="64"/>
      <c r="AD1804" s="64"/>
      <c r="AE1804" s="64"/>
      <c r="AF1804" s="64"/>
      <c r="AG1804" s="64"/>
      <c r="AH1804" s="64"/>
      <c r="AI1804" s="64"/>
      <c r="AJ1804" s="64"/>
      <c r="AK1804" s="64"/>
      <c r="AL1804" s="64"/>
      <c r="AM1804" s="169"/>
      <c r="AN1804" s="169"/>
      <c r="AO1804" s="169"/>
      <c r="AP1804" s="169"/>
      <c r="AQ1804" s="169"/>
      <c r="AR1804" s="169"/>
      <c r="AS1804" s="169"/>
      <c r="AT1804" s="169"/>
    </row>
    <row r="1805" spans="10:46">
      <c r="J1805" s="64"/>
      <c r="K1805" s="64"/>
      <c r="L1805" s="64"/>
      <c r="M1805" s="64"/>
      <c r="N1805" s="64"/>
      <c r="O1805" s="64"/>
      <c r="P1805" s="64"/>
      <c r="Q1805" s="64"/>
      <c r="R1805" s="64"/>
      <c r="S1805" s="64"/>
      <c r="T1805" s="64"/>
      <c r="U1805" s="64"/>
      <c r="V1805" s="64"/>
      <c r="W1805" s="64"/>
      <c r="X1805" s="64"/>
      <c r="Y1805" s="64"/>
      <c r="Z1805" s="64"/>
      <c r="AA1805" s="64"/>
      <c r="AB1805" s="64"/>
      <c r="AC1805" s="64"/>
      <c r="AD1805" s="64"/>
      <c r="AE1805" s="64"/>
      <c r="AF1805" s="64"/>
      <c r="AG1805" s="64"/>
      <c r="AH1805" s="64"/>
      <c r="AI1805" s="64"/>
      <c r="AJ1805" s="64"/>
      <c r="AK1805" s="64"/>
      <c r="AL1805" s="64"/>
      <c r="AM1805" s="169"/>
      <c r="AN1805" s="169"/>
      <c r="AO1805" s="169"/>
      <c r="AP1805" s="169"/>
      <c r="AQ1805" s="169"/>
      <c r="AR1805" s="169"/>
      <c r="AS1805" s="169"/>
      <c r="AT1805" s="169"/>
    </row>
    <row r="1806" spans="10:46">
      <c r="J1806" s="64"/>
      <c r="K1806" s="64"/>
      <c r="L1806" s="64"/>
      <c r="M1806" s="64"/>
      <c r="N1806" s="64"/>
      <c r="O1806" s="64"/>
      <c r="P1806" s="64"/>
      <c r="Q1806" s="64"/>
      <c r="R1806" s="64"/>
      <c r="S1806" s="64"/>
      <c r="T1806" s="64"/>
      <c r="U1806" s="64"/>
      <c r="V1806" s="64"/>
      <c r="W1806" s="64"/>
      <c r="X1806" s="64"/>
      <c r="Y1806" s="64"/>
      <c r="Z1806" s="64"/>
      <c r="AA1806" s="64"/>
      <c r="AB1806" s="64"/>
      <c r="AC1806" s="64"/>
      <c r="AD1806" s="64"/>
      <c r="AE1806" s="64"/>
      <c r="AF1806" s="64"/>
      <c r="AG1806" s="64"/>
      <c r="AH1806" s="64"/>
      <c r="AI1806" s="64"/>
      <c r="AJ1806" s="64"/>
      <c r="AK1806" s="64"/>
      <c r="AL1806" s="64"/>
      <c r="AM1806" s="169"/>
      <c r="AN1806" s="169"/>
      <c r="AO1806" s="169"/>
      <c r="AP1806" s="169"/>
      <c r="AQ1806" s="169"/>
      <c r="AR1806" s="169"/>
      <c r="AS1806" s="169"/>
      <c r="AT1806" s="169"/>
    </row>
    <row r="1807" spans="10:46">
      <c r="J1807" s="64"/>
      <c r="K1807" s="64"/>
      <c r="L1807" s="64"/>
      <c r="M1807" s="64"/>
      <c r="N1807" s="64"/>
      <c r="O1807" s="64"/>
      <c r="P1807" s="64"/>
      <c r="Q1807" s="64"/>
      <c r="R1807" s="64"/>
      <c r="S1807" s="64"/>
      <c r="T1807" s="64"/>
      <c r="U1807" s="64"/>
      <c r="V1807" s="64"/>
      <c r="W1807" s="64"/>
      <c r="X1807" s="64"/>
      <c r="Y1807" s="64"/>
      <c r="Z1807" s="64"/>
      <c r="AA1807" s="64"/>
      <c r="AB1807" s="64"/>
      <c r="AC1807" s="64"/>
      <c r="AD1807" s="64"/>
      <c r="AE1807" s="64"/>
      <c r="AF1807" s="64"/>
      <c r="AG1807" s="64"/>
      <c r="AH1807" s="64"/>
      <c r="AI1807" s="64"/>
      <c r="AJ1807" s="64"/>
      <c r="AK1807" s="64"/>
      <c r="AL1807" s="64"/>
      <c r="AM1807" s="169"/>
      <c r="AN1807" s="169"/>
      <c r="AO1807" s="169"/>
      <c r="AP1807" s="169"/>
      <c r="AQ1807" s="169"/>
      <c r="AR1807" s="169"/>
      <c r="AS1807" s="169"/>
      <c r="AT1807" s="169"/>
    </row>
    <row r="1808" spans="10:46">
      <c r="J1808" s="64"/>
      <c r="K1808" s="64"/>
      <c r="L1808" s="64"/>
      <c r="M1808" s="64"/>
      <c r="N1808" s="64"/>
      <c r="O1808" s="64"/>
      <c r="P1808" s="64"/>
      <c r="Q1808" s="64"/>
      <c r="R1808" s="64"/>
      <c r="S1808" s="64"/>
      <c r="T1808" s="64"/>
      <c r="U1808" s="64"/>
      <c r="V1808" s="64"/>
      <c r="W1808" s="64"/>
      <c r="X1808" s="64"/>
      <c r="Y1808" s="64"/>
      <c r="Z1808" s="64"/>
      <c r="AA1808" s="64"/>
      <c r="AB1808" s="64"/>
      <c r="AC1808" s="64"/>
      <c r="AD1808" s="64"/>
      <c r="AE1808" s="64"/>
      <c r="AF1808" s="64"/>
      <c r="AG1808" s="64"/>
      <c r="AH1808" s="64"/>
      <c r="AI1808" s="64"/>
      <c r="AJ1808" s="64"/>
      <c r="AK1808" s="64"/>
      <c r="AL1808" s="64"/>
      <c r="AM1808" s="169"/>
      <c r="AN1808" s="169"/>
      <c r="AO1808" s="169"/>
      <c r="AP1808" s="169"/>
      <c r="AQ1808" s="169"/>
      <c r="AR1808" s="169"/>
      <c r="AS1808" s="169"/>
      <c r="AT1808" s="169"/>
    </row>
    <row r="1809" spans="10:46">
      <c r="J1809" s="64"/>
      <c r="K1809" s="64"/>
      <c r="L1809" s="64"/>
      <c r="M1809" s="64"/>
      <c r="N1809" s="64"/>
      <c r="O1809" s="64"/>
      <c r="P1809" s="64"/>
      <c r="Q1809" s="64"/>
      <c r="R1809" s="64"/>
      <c r="S1809" s="64"/>
      <c r="T1809" s="64"/>
      <c r="U1809" s="64"/>
      <c r="V1809" s="64"/>
      <c r="W1809" s="64"/>
      <c r="X1809" s="64"/>
      <c r="Y1809" s="64"/>
      <c r="Z1809" s="64"/>
      <c r="AA1809" s="64"/>
      <c r="AB1809" s="64"/>
      <c r="AC1809" s="64"/>
      <c r="AD1809" s="64"/>
      <c r="AE1809" s="64"/>
      <c r="AF1809" s="64"/>
      <c r="AG1809" s="64"/>
      <c r="AH1809" s="64"/>
      <c r="AI1809" s="64"/>
      <c r="AJ1809" s="64"/>
      <c r="AK1809" s="64"/>
      <c r="AL1809" s="64"/>
      <c r="AM1809" s="169"/>
      <c r="AN1809" s="169"/>
      <c r="AO1809" s="169"/>
      <c r="AP1809" s="169"/>
      <c r="AQ1809" s="169"/>
      <c r="AR1809" s="169"/>
      <c r="AS1809" s="169"/>
      <c r="AT1809" s="169"/>
    </row>
    <row r="1810" spans="10:46">
      <c r="J1810" s="64"/>
      <c r="K1810" s="64"/>
      <c r="L1810" s="64"/>
      <c r="M1810" s="64"/>
      <c r="N1810" s="64"/>
      <c r="O1810" s="64"/>
      <c r="P1810" s="64"/>
      <c r="Q1810" s="64"/>
      <c r="R1810" s="64"/>
      <c r="S1810" s="64"/>
      <c r="T1810" s="64"/>
      <c r="U1810" s="64"/>
      <c r="V1810" s="64"/>
      <c r="W1810" s="64"/>
      <c r="X1810" s="64"/>
      <c r="Y1810" s="64"/>
      <c r="Z1810" s="64"/>
      <c r="AA1810" s="64"/>
      <c r="AB1810" s="64"/>
      <c r="AC1810" s="64"/>
      <c r="AD1810" s="64"/>
      <c r="AE1810" s="64"/>
      <c r="AF1810" s="64"/>
      <c r="AG1810" s="64"/>
      <c r="AH1810" s="64"/>
      <c r="AI1810" s="64"/>
      <c r="AJ1810" s="64"/>
      <c r="AK1810" s="64"/>
      <c r="AL1810" s="64"/>
      <c r="AM1810" s="169"/>
      <c r="AN1810" s="169"/>
      <c r="AO1810" s="169"/>
      <c r="AP1810" s="169"/>
      <c r="AQ1810" s="169"/>
      <c r="AR1810" s="169"/>
      <c r="AS1810" s="169"/>
      <c r="AT1810" s="169"/>
    </row>
    <row r="1811" spans="10:46">
      <c r="J1811" s="64"/>
      <c r="K1811" s="64"/>
      <c r="L1811" s="64"/>
      <c r="M1811" s="64"/>
      <c r="N1811" s="64"/>
      <c r="O1811" s="64"/>
      <c r="P1811" s="64"/>
      <c r="Q1811" s="64"/>
      <c r="R1811" s="64"/>
      <c r="S1811" s="64"/>
      <c r="T1811" s="64"/>
      <c r="U1811" s="64"/>
      <c r="V1811" s="64"/>
      <c r="W1811" s="64"/>
      <c r="X1811" s="64"/>
      <c r="Y1811" s="64"/>
      <c r="Z1811" s="64"/>
      <c r="AA1811" s="64"/>
      <c r="AB1811" s="64"/>
      <c r="AC1811" s="64"/>
      <c r="AD1811" s="64"/>
      <c r="AE1811" s="64"/>
      <c r="AF1811" s="64"/>
      <c r="AG1811" s="64"/>
      <c r="AH1811" s="64"/>
      <c r="AI1811" s="64"/>
      <c r="AJ1811" s="64"/>
      <c r="AK1811" s="64"/>
      <c r="AL1811" s="64"/>
      <c r="AM1811" s="169"/>
      <c r="AN1811" s="169"/>
      <c r="AO1811" s="169"/>
      <c r="AP1811" s="169"/>
      <c r="AQ1811" s="169"/>
      <c r="AR1811" s="169"/>
      <c r="AS1811" s="169"/>
      <c r="AT1811" s="169"/>
    </row>
    <row r="1812" spans="10:46">
      <c r="J1812" s="64"/>
      <c r="K1812" s="64"/>
      <c r="L1812" s="64"/>
      <c r="M1812" s="64"/>
      <c r="N1812" s="64"/>
      <c r="O1812" s="64"/>
      <c r="P1812" s="64"/>
      <c r="Q1812" s="64"/>
      <c r="R1812" s="64"/>
      <c r="S1812" s="64"/>
      <c r="T1812" s="64"/>
      <c r="U1812" s="64"/>
      <c r="V1812" s="64"/>
      <c r="W1812" s="64"/>
      <c r="X1812" s="64"/>
      <c r="Y1812" s="64"/>
      <c r="Z1812" s="64"/>
      <c r="AA1812" s="64"/>
      <c r="AB1812" s="64"/>
      <c r="AC1812" s="64"/>
      <c r="AD1812" s="64"/>
      <c r="AE1812" s="64"/>
      <c r="AF1812" s="64"/>
      <c r="AG1812" s="64"/>
      <c r="AH1812" s="64"/>
      <c r="AI1812" s="64"/>
      <c r="AJ1812" s="64"/>
      <c r="AK1812" s="64"/>
      <c r="AL1812" s="64"/>
      <c r="AM1812" s="169"/>
      <c r="AN1812" s="169"/>
      <c r="AO1812" s="169"/>
      <c r="AP1812" s="169"/>
      <c r="AQ1812" s="169"/>
      <c r="AR1812" s="169"/>
      <c r="AS1812" s="169"/>
      <c r="AT1812" s="169"/>
    </row>
    <row r="1813" spans="10:46">
      <c r="J1813" s="64"/>
      <c r="K1813" s="64"/>
      <c r="L1813" s="64"/>
      <c r="M1813" s="64"/>
      <c r="N1813" s="64"/>
      <c r="O1813" s="64"/>
      <c r="P1813" s="64"/>
      <c r="Q1813" s="64"/>
      <c r="R1813" s="64"/>
      <c r="S1813" s="64"/>
      <c r="T1813" s="64"/>
      <c r="U1813" s="64"/>
      <c r="V1813" s="64"/>
      <c r="W1813" s="64"/>
      <c r="X1813" s="64"/>
      <c r="Y1813" s="64"/>
      <c r="Z1813" s="64"/>
      <c r="AA1813" s="64"/>
      <c r="AB1813" s="64"/>
      <c r="AC1813" s="64"/>
      <c r="AD1813" s="64"/>
      <c r="AE1813" s="64"/>
      <c r="AF1813" s="64"/>
      <c r="AG1813" s="64"/>
      <c r="AH1813" s="64"/>
      <c r="AI1813" s="64"/>
      <c r="AJ1813" s="64"/>
      <c r="AK1813" s="64"/>
      <c r="AL1813" s="64"/>
      <c r="AM1813" s="169"/>
      <c r="AN1813" s="169"/>
      <c r="AO1813" s="169"/>
      <c r="AP1813" s="169"/>
      <c r="AQ1813" s="169"/>
      <c r="AR1813" s="169"/>
      <c r="AS1813" s="169"/>
      <c r="AT1813" s="169"/>
    </row>
    <row r="1814" spans="10:46">
      <c r="J1814" s="64"/>
      <c r="K1814" s="64"/>
      <c r="L1814" s="64"/>
      <c r="M1814" s="64"/>
      <c r="N1814" s="64"/>
      <c r="O1814" s="64"/>
      <c r="P1814" s="64"/>
      <c r="Q1814" s="64"/>
      <c r="R1814" s="64"/>
      <c r="S1814" s="64"/>
      <c r="T1814" s="64"/>
      <c r="U1814" s="64"/>
      <c r="V1814" s="64"/>
      <c r="W1814" s="64"/>
      <c r="X1814" s="64"/>
      <c r="Y1814" s="64"/>
      <c r="Z1814" s="64"/>
      <c r="AA1814" s="64"/>
      <c r="AB1814" s="64"/>
      <c r="AC1814" s="64"/>
      <c r="AD1814" s="64"/>
      <c r="AE1814" s="64"/>
      <c r="AF1814" s="64"/>
      <c r="AG1814" s="64"/>
      <c r="AH1814" s="64"/>
      <c r="AI1814" s="64"/>
      <c r="AJ1814" s="64"/>
      <c r="AK1814" s="64"/>
      <c r="AL1814" s="64"/>
      <c r="AM1814" s="169"/>
      <c r="AN1814" s="169"/>
      <c r="AO1814" s="169"/>
      <c r="AP1814" s="169"/>
      <c r="AQ1814" s="169"/>
      <c r="AR1814" s="169"/>
      <c r="AS1814" s="169"/>
      <c r="AT1814" s="169"/>
    </row>
    <row r="1815" spans="10:46">
      <c r="J1815" s="64"/>
      <c r="K1815" s="64"/>
      <c r="L1815" s="64"/>
      <c r="M1815" s="64"/>
      <c r="N1815" s="64"/>
      <c r="O1815" s="64"/>
      <c r="P1815" s="64"/>
      <c r="Q1815" s="64"/>
      <c r="R1815" s="64"/>
      <c r="S1815" s="64"/>
      <c r="T1815" s="64"/>
      <c r="U1815" s="64"/>
      <c r="V1815" s="64"/>
      <c r="W1815" s="64"/>
      <c r="X1815" s="64"/>
      <c r="Y1815" s="64"/>
      <c r="Z1815" s="64"/>
      <c r="AA1815" s="64"/>
      <c r="AB1815" s="64"/>
      <c r="AC1815" s="64"/>
      <c r="AD1815" s="64"/>
      <c r="AE1815" s="64"/>
      <c r="AF1815" s="64"/>
      <c r="AG1815" s="64"/>
      <c r="AH1815" s="64"/>
      <c r="AI1815" s="64"/>
      <c r="AJ1815" s="64"/>
      <c r="AK1815" s="64"/>
      <c r="AL1815" s="64"/>
      <c r="AM1815" s="169"/>
      <c r="AN1815" s="169"/>
      <c r="AO1815" s="169"/>
      <c r="AP1815" s="169"/>
      <c r="AQ1815" s="169"/>
      <c r="AR1815" s="169"/>
      <c r="AS1815" s="169"/>
      <c r="AT1815" s="169"/>
    </row>
    <row r="1816" spans="10:46">
      <c r="J1816" s="64"/>
      <c r="K1816" s="64"/>
      <c r="L1816" s="64"/>
      <c r="M1816" s="64"/>
      <c r="N1816" s="64"/>
      <c r="O1816" s="64"/>
      <c r="P1816" s="64"/>
      <c r="Q1816" s="64"/>
      <c r="R1816" s="64"/>
      <c r="S1816" s="64"/>
      <c r="T1816" s="64"/>
      <c r="U1816" s="64"/>
      <c r="V1816" s="64"/>
      <c r="W1816" s="64"/>
      <c r="X1816" s="64"/>
      <c r="Y1816" s="64"/>
      <c r="Z1816" s="64"/>
      <c r="AA1816" s="64"/>
      <c r="AB1816" s="64"/>
      <c r="AC1816" s="64"/>
      <c r="AD1816" s="64"/>
      <c r="AE1816" s="64"/>
      <c r="AF1816" s="64"/>
      <c r="AG1816" s="64"/>
      <c r="AH1816" s="64"/>
      <c r="AI1816" s="64"/>
      <c r="AJ1816" s="64"/>
      <c r="AK1816" s="64"/>
      <c r="AL1816" s="64"/>
      <c r="AM1816" s="169"/>
      <c r="AN1816" s="169"/>
      <c r="AO1816" s="169"/>
      <c r="AP1816" s="169"/>
      <c r="AQ1816" s="169"/>
      <c r="AR1816" s="169"/>
      <c r="AS1816" s="169"/>
      <c r="AT1816" s="169"/>
    </row>
    <row r="1817" spans="10:46">
      <c r="J1817" s="64"/>
      <c r="K1817" s="64"/>
      <c r="L1817" s="64"/>
      <c r="M1817" s="64"/>
      <c r="N1817" s="64"/>
      <c r="O1817" s="64"/>
      <c r="P1817" s="64"/>
      <c r="Q1817" s="64"/>
      <c r="R1817" s="64"/>
      <c r="S1817" s="64"/>
      <c r="T1817" s="64"/>
      <c r="U1817" s="64"/>
      <c r="V1817" s="64"/>
      <c r="W1817" s="64"/>
      <c r="X1817" s="64"/>
      <c r="Y1817" s="64"/>
      <c r="Z1817" s="64"/>
      <c r="AA1817" s="64"/>
      <c r="AB1817" s="64"/>
      <c r="AC1817" s="64"/>
      <c r="AD1817" s="64"/>
      <c r="AE1817" s="64"/>
      <c r="AF1817" s="64"/>
      <c r="AG1817" s="64"/>
      <c r="AH1817" s="64"/>
      <c r="AI1817" s="64"/>
      <c r="AJ1817" s="64"/>
      <c r="AK1817" s="64"/>
      <c r="AL1817" s="64"/>
      <c r="AM1817" s="169"/>
      <c r="AN1817" s="169"/>
      <c r="AO1817" s="169"/>
      <c r="AP1817" s="169"/>
      <c r="AQ1817" s="169"/>
      <c r="AR1817" s="169"/>
      <c r="AS1817" s="169"/>
      <c r="AT1817" s="169"/>
    </row>
    <row r="1818" spans="10:46">
      <c r="J1818" s="64"/>
      <c r="K1818" s="64"/>
      <c r="L1818" s="64"/>
      <c r="M1818" s="64"/>
      <c r="N1818" s="64"/>
      <c r="O1818" s="64"/>
      <c r="P1818" s="64"/>
      <c r="Q1818" s="64"/>
      <c r="R1818" s="64"/>
      <c r="S1818" s="64"/>
      <c r="T1818" s="64"/>
      <c r="U1818" s="64"/>
      <c r="V1818" s="64"/>
      <c r="W1818" s="64"/>
      <c r="X1818" s="64"/>
      <c r="Y1818" s="64"/>
      <c r="Z1818" s="64"/>
      <c r="AA1818" s="64"/>
      <c r="AB1818" s="64"/>
      <c r="AC1818" s="64"/>
      <c r="AD1818" s="64"/>
      <c r="AE1818" s="64"/>
      <c r="AF1818" s="64"/>
      <c r="AG1818" s="64"/>
      <c r="AH1818" s="64"/>
      <c r="AI1818" s="64"/>
      <c r="AJ1818" s="64"/>
      <c r="AK1818" s="64"/>
      <c r="AL1818" s="64"/>
      <c r="AM1818" s="169"/>
      <c r="AN1818" s="169"/>
      <c r="AO1818" s="169"/>
      <c r="AP1818" s="169"/>
      <c r="AQ1818" s="169"/>
      <c r="AR1818" s="169"/>
      <c r="AS1818" s="169"/>
      <c r="AT1818" s="169"/>
    </row>
    <row r="1819" spans="10:46">
      <c r="J1819" s="64"/>
      <c r="K1819" s="64"/>
      <c r="L1819" s="64"/>
      <c r="M1819" s="64"/>
      <c r="N1819" s="64"/>
      <c r="O1819" s="64"/>
      <c r="P1819" s="64"/>
      <c r="Q1819" s="64"/>
      <c r="R1819" s="64"/>
      <c r="S1819" s="64"/>
      <c r="T1819" s="64"/>
      <c r="U1819" s="64"/>
      <c r="V1819" s="64"/>
      <c r="W1819" s="64"/>
      <c r="X1819" s="64"/>
      <c r="Y1819" s="64"/>
      <c r="Z1819" s="64"/>
      <c r="AA1819" s="64"/>
      <c r="AB1819" s="64"/>
      <c r="AC1819" s="64"/>
      <c r="AD1819" s="64"/>
      <c r="AE1819" s="64"/>
      <c r="AF1819" s="64"/>
      <c r="AG1819" s="64"/>
      <c r="AH1819" s="64"/>
      <c r="AI1819" s="64"/>
      <c r="AJ1819" s="64"/>
      <c r="AK1819" s="64"/>
      <c r="AL1819" s="64"/>
      <c r="AM1819" s="169"/>
      <c r="AN1819" s="169"/>
      <c r="AO1819" s="169"/>
      <c r="AP1819" s="169"/>
      <c r="AQ1819" s="169"/>
      <c r="AR1819" s="169"/>
      <c r="AS1819" s="169"/>
      <c r="AT1819" s="169"/>
    </row>
    <row r="1820" spans="10:46">
      <c r="J1820" s="64"/>
      <c r="K1820" s="64"/>
      <c r="L1820" s="64"/>
      <c r="M1820" s="64"/>
      <c r="N1820" s="64"/>
      <c r="O1820" s="64"/>
      <c r="P1820" s="64"/>
      <c r="Q1820" s="64"/>
      <c r="R1820" s="64"/>
      <c r="S1820" s="64"/>
      <c r="T1820" s="64"/>
      <c r="U1820" s="64"/>
      <c r="V1820" s="64"/>
      <c r="W1820" s="64"/>
      <c r="X1820" s="64"/>
      <c r="Y1820" s="64"/>
      <c r="Z1820" s="64"/>
      <c r="AA1820" s="64"/>
      <c r="AB1820" s="64"/>
      <c r="AC1820" s="64"/>
      <c r="AD1820" s="64"/>
      <c r="AE1820" s="64"/>
      <c r="AF1820" s="64"/>
      <c r="AG1820" s="64"/>
      <c r="AH1820" s="64"/>
      <c r="AI1820" s="64"/>
      <c r="AJ1820" s="64"/>
      <c r="AK1820" s="64"/>
      <c r="AL1820" s="64"/>
      <c r="AM1820" s="169"/>
      <c r="AN1820" s="169"/>
      <c r="AO1820" s="169"/>
      <c r="AP1820" s="169"/>
      <c r="AQ1820" s="169"/>
      <c r="AR1820" s="169"/>
      <c r="AS1820" s="169"/>
      <c r="AT1820" s="169"/>
    </row>
    <row r="1821" spans="10:46">
      <c r="J1821" s="64"/>
      <c r="K1821" s="64"/>
      <c r="L1821" s="64"/>
      <c r="M1821" s="64"/>
      <c r="N1821" s="64"/>
      <c r="O1821" s="64"/>
      <c r="P1821" s="64"/>
      <c r="Q1821" s="64"/>
      <c r="R1821" s="64"/>
      <c r="S1821" s="64"/>
      <c r="T1821" s="64"/>
      <c r="U1821" s="64"/>
      <c r="V1821" s="64"/>
      <c r="W1821" s="64"/>
      <c r="X1821" s="64"/>
      <c r="Y1821" s="64"/>
      <c r="Z1821" s="64"/>
      <c r="AA1821" s="64"/>
      <c r="AB1821" s="64"/>
      <c r="AC1821" s="64"/>
      <c r="AD1821" s="64"/>
      <c r="AE1821" s="64"/>
      <c r="AF1821" s="64"/>
      <c r="AG1821" s="64"/>
      <c r="AH1821" s="64"/>
      <c r="AI1821" s="64"/>
      <c r="AJ1821" s="64"/>
      <c r="AK1821" s="64"/>
      <c r="AL1821" s="64"/>
      <c r="AM1821" s="169"/>
      <c r="AN1821" s="169"/>
      <c r="AO1821" s="169"/>
      <c r="AP1821" s="169"/>
      <c r="AQ1821" s="169"/>
      <c r="AR1821" s="169"/>
      <c r="AS1821" s="169"/>
      <c r="AT1821" s="169"/>
    </row>
    <row r="1822" spans="10:46">
      <c r="J1822" s="64"/>
      <c r="K1822" s="64"/>
      <c r="L1822" s="64"/>
      <c r="M1822" s="64"/>
      <c r="N1822" s="64"/>
      <c r="O1822" s="64"/>
      <c r="P1822" s="64"/>
      <c r="Q1822" s="64"/>
      <c r="R1822" s="64"/>
      <c r="S1822" s="64"/>
      <c r="T1822" s="64"/>
      <c r="U1822" s="64"/>
      <c r="V1822" s="64"/>
      <c r="W1822" s="64"/>
      <c r="X1822" s="64"/>
      <c r="Y1822" s="64"/>
      <c r="Z1822" s="64"/>
      <c r="AA1822" s="64"/>
      <c r="AB1822" s="64"/>
      <c r="AC1822" s="64"/>
      <c r="AD1822" s="64"/>
      <c r="AE1822" s="64"/>
      <c r="AF1822" s="64"/>
      <c r="AG1822" s="64"/>
      <c r="AH1822" s="64"/>
      <c r="AI1822" s="64"/>
      <c r="AJ1822" s="64"/>
      <c r="AK1822" s="64"/>
      <c r="AL1822" s="64"/>
      <c r="AM1822" s="169"/>
      <c r="AN1822" s="169"/>
      <c r="AO1822" s="169"/>
      <c r="AP1822" s="169"/>
      <c r="AQ1822" s="169"/>
      <c r="AR1822" s="169"/>
      <c r="AS1822" s="169"/>
      <c r="AT1822" s="169"/>
    </row>
    <row r="1823" spans="10:46">
      <c r="J1823" s="64"/>
      <c r="K1823" s="64"/>
      <c r="L1823" s="64"/>
      <c r="M1823" s="64"/>
      <c r="N1823" s="64"/>
      <c r="O1823" s="64"/>
      <c r="P1823" s="64"/>
      <c r="Q1823" s="64"/>
      <c r="R1823" s="64"/>
      <c r="S1823" s="64"/>
      <c r="T1823" s="64"/>
      <c r="U1823" s="64"/>
      <c r="V1823" s="64"/>
      <c r="W1823" s="64"/>
      <c r="X1823" s="64"/>
      <c r="Y1823" s="64"/>
      <c r="Z1823" s="64"/>
      <c r="AA1823" s="64"/>
      <c r="AB1823" s="64"/>
      <c r="AC1823" s="64"/>
      <c r="AD1823" s="64"/>
      <c r="AE1823" s="64"/>
      <c r="AF1823" s="64"/>
      <c r="AG1823" s="64"/>
      <c r="AH1823" s="64"/>
      <c r="AI1823" s="64"/>
      <c r="AJ1823" s="64"/>
      <c r="AK1823" s="64"/>
      <c r="AL1823" s="64"/>
      <c r="AM1823" s="169"/>
      <c r="AN1823" s="169"/>
      <c r="AO1823" s="169"/>
      <c r="AP1823" s="169"/>
      <c r="AQ1823" s="169"/>
      <c r="AR1823" s="169"/>
      <c r="AS1823" s="169"/>
      <c r="AT1823" s="169"/>
    </row>
    <row r="1824" spans="10:46">
      <c r="J1824" s="64"/>
      <c r="K1824" s="64"/>
      <c r="L1824" s="64"/>
      <c r="M1824" s="64"/>
      <c r="N1824" s="64"/>
      <c r="O1824" s="64"/>
      <c r="P1824" s="64"/>
      <c r="Q1824" s="64"/>
      <c r="R1824" s="64"/>
      <c r="S1824" s="64"/>
      <c r="T1824" s="64"/>
      <c r="U1824" s="64"/>
      <c r="V1824" s="64"/>
      <c r="W1824" s="64"/>
      <c r="X1824" s="64"/>
      <c r="Y1824" s="64"/>
      <c r="Z1824" s="64"/>
      <c r="AA1824" s="64"/>
      <c r="AB1824" s="64"/>
      <c r="AC1824" s="64"/>
      <c r="AD1824" s="64"/>
      <c r="AE1824" s="64"/>
      <c r="AF1824" s="64"/>
      <c r="AG1824" s="64"/>
      <c r="AH1824" s="64"/>
      <c r="AI1824" s="64"/>
      <c r="AJ1824" s="64"/>
      <c r="AK1824" s="64"/>
      <c r="AL1824" s="64"/>
      <c r="AM1824" s="169"/>
      <c r="AN1824" s="169"/>
      <c r="AO1824" s="169"/>
      <c r="AP1824" s="169"/>
      <c r="AQ1824" s="169"/>
      <c r="AR1824" s="169"/>
      <c r="AS1824" s="169"/>
      <c r="AT1824" s="169"/>
    </row>
    <row r="1825" spans="10:46">
      <c r="J1825" s="64"/>
      <c r="K1825" s="64"/>
      <c r="L1825" s="64"/>
      <c r="M1825" s="64"/>
      <c r="N1825" s="64"/>
      <c r="O1825" s="64"/>
      <c r="P1825" s="64"/>
      <c r="Q1825" s="64"/>
      <c r="R1825" s="64"/>
      <c r="S1825" s="64"/>
      <c r="T1825" s="64"/>
      <c r="U1825" s="64"/>
      <c r="V1825" s="64"/>
      <c r="W1825" s="64"/>
      <c r="X1825" s="64"/>
      <c r="Y1825" s="64"/>
      <c r="Z1825" s="64"/>
      <c r="AA1825" s="64"/>
      <c r="AB1825" s="64"/>
      <c r="AC1825" s="64"/>
      <c r="AD1825" s="64"/>
      <c r="AE1825" s="64"/>
      <c r="AF1825" s="64"/>
      <c r="AG1825" s="64"/>
      <c r="AH1825" s="64"/>
      <c r="AI1825" s="64"/>
      <c r="AJ1825" s="64"/>
      <c r="AK1825" s="64"/>
      <c r="AL1825" s="64"/>
      <c r="AM1825" s="169"/>
      <c r="AN1825" s="169"/>
      <c r="AO1825" s="169"/>
      <c r="AP1825" s="169"/>
      <c r="AQ1825" s="169"/>
      <c r="AR1825" s="169"/>
      <c r="AS1825" s="169"/>
      <c r="AT1825" s="169"/>
    </row>
    <row r="1826" spans="10:46">
      <c r="J1826" s="64"/>
      <c r="K1826" s="64"/>
      <c r="L1826" s="64"/>
      <c r="M1826" s="64"/>
      <c r="N1826" s="64"/>
      <c r="O1826" s="64"/>
      <c r="P1826" s="64"/>
      <c r="Q1826" s="64"/>
      <c r="R1826" s="64"/>
      <c r="S1826" s="64"/>
      <c r="T1826" s="64"/>
      <c r="U1826" s="64"/>
      <c r="V1826" s="64"/>
      <c r="W1826" s="64"/>
      <c r="X1826" s="64"/>
      <c r="Y1826" s="64"/>
      <c r="Z1826" s="64"/>
      <c r="AA1826" s="64"/>
      <c r="AB1826" s="64"/>
      <c r="AC1826" s="64"/>
      <c r="AD1826" s="64"/>
      <c r="AE1826" s="64"/>
      <c r="AF1826" s="64"/>
      <c r="AG1826" s="64"/>
      <c r="AH1826" s="64"/>
      <c r="AI1826" s="64"/>
      <c r="AJ1826" s="64"/>
      <c r="AK1826" s="64"/>
      <c r="AL1826" s="64"/>
      <c r="AM1826" s="169"/>
      <c r="AN1826" s="169"/>
      <c r="AO1826" s="169"/>
      <c r="AP1826" s="169"/>
      <c r="AQ1826" s="169"/>
      <c r="AR1826" s="169"/>
      <c r="AS1826" s="169"/>
      <c r="AT1826" s="169"/>
    </row>
    <row r="1827" spans="10:46">
      <c r="J1827" s="64"/>
      <c r="K1827" s="64"/>
      <c r="L1827" s="64"/>
      <c r="M1827" s="64"/>
      <c r="N1827" s="64"/>
      <c r="O1827" s="64"/>
      <c r="P1827" s="64"/>
      <c r="Q1827" s="64"/>
      <c r="R1827" s="64"/>
      <c r="S1827" s="64"/>
      <c r="T1827" s="64"/>
      <c r="U1827" s="64"/>
      <c r="V1827" s="64"/>
      <c r="W1827" s="64"/>
      <c r="X1827" s="64"/>
      <c r="Y1827" s="64"/>
      <c r="Z1827" s="64"/>
      <c r="AA1827" s="64"/>
      <c r="AB1827" s="64"/>
      <c r="AC1827" s="64"/>
      <c r="AD1827" s="64"/>
      <c r="AE1827" s="64"/>
      <c r="AF1827" s="64"/>
      <c r="AG1827" s="64"/>
      <c r="AH1827" s="64"/>
      <c r="AI1827" s="64"/>
      <c r="AJ1827" s="64"/>
      <c r="AK1827" s="64"/>
      <c r="AL1827" s="64"/>
      <c r="AM1827" s="169"/>
      <c r="AN1827" s="169"/>
      <c r="AO1827" s="169"/>
      <c r="AP1827" s="169"/>
      <c r="AQ1827" s="169"/>
      <c r="AR1827" s="169"/>
      <c r="AS1827" s="169"/>
      <c r="AT1827" s="169"/>
    </row>
    <row r="1828" spans="10:46">
      <c r="J1828" s="64"/>
      <c r="K1828" s="64"/>
      <c r="L1828" s="64"/>
      <c r="M1828" s="64"/>
      <c r="N1828" s="64"/>
      <c r="O1828" s="64"/>
      <c r="P1828" s="64"/>
      <c r="Q1828" s="64"/>
      <c r="R1828" s="64"/>
      <c r="S1828" s="64"/>
      <c r="T1828" s="64"/>
      <c r="U1828" s="64"/>
      <c r="V1828" s="64"/>
      <c r="W1828" s="64"/>
      <c r="X1828" s="64"/>
      <c r="Y1828" s="64"/>
      <c r="Z1828" s="64"/>
      <c r="AA1828" s="64"/>
      <c r="AB1828" s="64"/>
      <c r="AC1828" s="64"/>
      <c r="AD1828" s="64"/>
      <c r="AE1828" s="64"/>
      <c r="AF1828" s="64"/>
      <c r="AG1828" s="64"/>
      <c r="AH1828" s="64"/>
      <c r="AI1828" s="64"/>
      <c r="AJ1828" s="64"/>
      <c r="AK1828" s="64"/>
      <c r="AL1828" s="64"/>
      <c r="AM1828" s="169"/>
      <c r="AN1828" s="169"/>
      <c r="AO1828" s="169"/>
      <c r="AP1828" s="169"/>
      <c r="AQ1828" s="169"/>
      <c r="AR1828" s="169"/>
      <c r="AS1828" s="169"/>
      <c r="AT1828" s="169"/>
    </row>
    <row r="1829" spans="10:46">
      <c r="J1829" s="64"/>
      <c r="K1829" s="64"/>
      <c r="L1829" s="64"/>
      <c r="M1829" s="64"/>
      <c r="N1829" s="64"/>
      <c r="O1829" s="64"/>
      <c r="P1829" s="64"/>
      <c r="Q1829" s="64"/>
      <c r="R1829" s="64"/>
      <c r="S1829" s="64"/>
      <c r="T1829" s="64"/>
      <c r="U1829" s="64"/>
      <c r="V1829" s="64"/>
      <c r="W1829" s="64"/>
      <c r="X1829" s="64"/>
      <c r="Y1829" s="64"/>
      <c r="Z1829" s="64"/>
      <c r="AA1829" s="64"/>
      <c r="AB1829" s="64"/>
      <c r="AC1829" s="64"/>
      <c r="AD1829" s="64"/>
      <c r="AE1829" s="64"/>
      <c r="AF1829" s="64"/>
      <c r="AG1829" s="64"/>
      <c r="AH1829" s="64"/>
      <c r="AI1829" s="64"/>
      <c r="AJ1829" s="64"/>
      <c r="AK1829" s="64"/>
      <c r="AL1829" s="64"/>
      <c r="AM1829" s="169"/>
      <c r="AN1829" s="169"/>
      <c r="AO1829" s="169"/>
      <c r="AP1829" s="169"/>
      <c r="AQ1829" s="169"/>
      <c r="AR1829" s="169"/>
      <c r="AS1829" s="169"/>
      <c r="AT1829" s="169"/>
    </row>
    <row r="1830" spans="10:46">
      <c r="J1830" s="64"/>
      <c r="K1830" s="64"/>
      <c r="L1830" s="64"/>
      <c r="M1830" s="64"/>
      <c r="N1830" s="64"/>
      <c r="O1830" s="64"/>
      <c r="P1830" s="64"/>
      <c r="Q1830" s="64"/>
      <c r="R1830" s="64"/>
      <c r="S1830" s="64"/>
      <c r="T1830" s="64"/>
      <c r="U1830" s="64"/>
      <c r="V1830" s="64"/>
      <c r="W1830" s="64"/>
      <c r="X1830" s="64"/>
      <c r="Y1830" s="64"/>
      <c r="Z1830" s="64"/>
      <c r="AA1830" s="64"/>
      <c r="AB1830" s="64"/>
      <c r="AC1830" s="64"/>
      <c r="AD1830" s="64"/>
      <c r="AE1830" s="64"/>
      <c r="AF1830" s="64"/>
      <c r="AG1830" s="64"/>
      <c r="AH1830" s="64"/>
      <c r="AI1830" s="64"/>
      <c r="AJ1830" s="64"/>
      <c r="AK1830" s="64"/>
      <c r="AL1830" s="64"/>
      <c r="AM1830" s="169"/>
      <c r="AN1830" s="169"/>
      <c r="AO1830" s="169"/>
      <c r="AP1830" s="169"/>
      <c r="AQ1830" s="169"/>
      <c r="AR1830" s="169"/>
      <c r="AS1830" s="169"/>
      <c r="AT1830" s="169"/>
    </row>
    <row r="1831" spans="10:46">
      <c r="J1831" s="64"/>
      <c r="K1831" s="64"/>
      <c r="L1831" s="64"/>
      <c r="M1831" s="64"/>
      <c r="N1831" s="64"/>
      <c r="O1831" s="64"/>
      <c r="P1831" s="64"/>
      <c r="Q1831" s="64"/>
      <c r="R1831" s="64"/>
      <c r="S1831" s="64"/>
      <c r="T1831" s="64"/>
      <c r="U1831" s="64"/>
      <c r="V1831" s="64"/>
      <c r="W1831" s="64"/>
      <c r="X1831" s="64"/>
      <c r="Y1831" s="64"/>
      <c r="Z1831" s="64"/>
      <c r="AA1831" s="64"/>
      <c r="AB1831" s="64"/>
      <c r="AC1831" s="64"/>
      <c r="AD1831" s="64"/>
      <c r="AE1831" s="64"/>
      <c r="AF1831" s="64"/>
      <c r="AG1831" s="64"/>
      <c r="AH1831" s="64"/>
      <c r="AI1831" s="64"/>
      <c r="AJ1831" s="64"/>
      <c r="AK1831" s="64"/>
      <c r="AL1831" s="64"/>
      <c r="AM1831" s="169"/>
      <c r="AN1831" s="169"/>
      <c r="AO1831" s="169"/>
      <c r="AP1831" s="169"/>
      <c r="AQ1831" s="169"/>
      <c r="AR1831" s="169"/>
      <c r="AS1831" s="169"/>
      <c r="AT1831" s="169"/>
    </row>
    <row r="1832" spans="10:46">
      <c r="J1832" s="64"/>
      <c r="K1832" s="64"/>
      <c r="L1832" s="64"/>
      <c r="M1832" s="64"/>
      <c r="N1832" s="64"/>
      <c r="O1832" s="64"/>
      <c r="P1832" s="64"/>
      <c r="Q1832" s="64"/>
      <c r="R1832" s="64"/>
      <c r="S1832" s="64"/>
      <c r="T1832" s="64"/>
      <c r="U1832" s="64"/>
      <c r="V1832" s="64"/>
      <c r="W1832" s="64"/>
      <c r="X1832" s="64"/>
      <c r="Y1832" s="64"/>
      <c r="Z1832" s="64"/>
      <c r="AA1832" s="64"/>
      <c r="AB1832" s="64"/>
      <c r="AC1832" s="64"/>
      <c r="AD1832" s="64"/>
      <c r="AE1832" s="64"/>
      <c r="AF1832" s="64"/>
      <c r="AG1832" s="64"/>
      <c r="AH1832" s="64"/>
      <c r="AI1832" s="64"/>
      <c r="AJ1832" s="64"/>
      <c r="AK1832" s="64"/>
      <c r="AL1832" s="64"/>
      <c r="AM1832" s="169"/>
      <c r="AN1832" s="169"/>
      <c r="AO1832" s="169"/>
      <c r="AP1832" s="169"/>
      <c r="AQ1832" s="169"/>
      <c r="AR1832" s="169"/>
      <c r="AS1832" s="169"/>
      <c r="AT1832" s="169"/>
    </row>
    <row r="1833" spans="10:46">
      <c r="J1833" s="64"/>
      <c r="K1833" s="64"/>
      <c r="L1833" s="64"/>
      <c r="M1833" s="64"/>
      <c r="N1833" s="64"/>
      <c r="O1833" s="64"/>
      <c r="P1833" s="64"/>
      <c r="Q1833" s="64"/>
      <c r="R1833" s="64"/>
      <c r="S1833" s="64"/>
      <c r="T1833" s="64"/>
      <c r="U1833" s="64"/>
      <c r="V1833" s="64"/>
      <c r="W1833" s="64"/>
      <c r="X1833" s="64"/>
      <c r="Y1833" s="64"/>
      <c r="Z1833" s="64"/>
      <c r="AA1833" s="64"/>
      <c r="AB1833" s="64"/>
      <c r="AC1833" s="64"/>
      <c r="AD1833" s="64"/>
      <c r="AE1833" s="64"/>
      <c r="AF1833" s="64"/>
      <c r="AG1833" s="64"/>
      <c r="AH1833" s="64"/>
      <c r="AI1833" s="64"/>
      <c r="AJ1833" s="64"/>
      <c r="AK1833" s="64"/>
      <c r="AL1833" s="64"/>
      <c r="AM1833" s="169"/>
      <c r="AN1833" s="169"/>
      <c r="AO1833" s="169"/>
      <c r="AP1833" s="169"/>
      <c r="AQ1833" s="169"/>
      <c r="AR1833" s="169"/>
      <c r="AS1833" s="169"/>
      <c r="AT1833" s="169"/>
    </row>
    <row r="1834" spans="10:46">
      <c r="J1834" s="64"/>
      <c r="K1834" s="64"/>
      <c r="L1834" s="64"/>
      <c r="M1834" s="64"/>
      <c r="N1834" s="64"/>
      <c r="O1834" s="64"/>
      <c r="P1834" s="64"/>
      <c r="Q1834" s="64"/>
      <c r="R1834" s="64"/>
      <c r="S1834" s="64"/>
      <c r="T1834" s="64"/>
      <c r="U1834" s="64"/>
      <c r="V1834" s="64"/>
      <c r="W1834" s="64"/>
      <c r="X1834" s="64"/>
      <c r="Y1834" s="64"/>
      <c r="Z1834" s="64"/>
      <c r="AA1834" s="64"/>
      <c r="AB1834" s="64"/>
      <c r="AC1834" s="64"/>
      <c r="AD1834" s="64"/>
      <c r="AE1834" s="64"/>
      <c r="AF1834" s="64"/>
      <c r="AG1834" s="64"/>
      <c r="AH1834" s="64"/>
      <c r="AI1834" s="64"/>
      <c r="AJ1834" s="64"/>
      <c r="AK1834" s="64"/>
      <c r="AL1834" s="64"/>
      <c r="AM1834" s="169"/>
      <c r="AN1834" s="169"/>
      <c r="AO1834" s="169"/>
      <c r="AP1834" s="169"/>
      <c r="AQ1834" s="169"/>
      <c r="AR1834" s="169"/>
      <c r="AS1834" s="169"/>
      <c r="AT1834" s="169"/>
    </row>
    <row r="1835" spans="10:46">
      <c r="J1835" s="64"/>
      <c r="K1835" s="64"/>
      <c r="L1835" s="64"/>
      <c r="M1835" s="64"/>
      <c r="N1835" s="64"/>
      <c r="O1835" s="64"/>
      <c r="P1835" s="64"/>
      <c r="Q1835" s="64"/>
      <c r="R1835" s="64"/>
      <c r="S1835" s="64"/>
      <c r="T1835" s="64"/>
      <c r="U1835" s="64"/>
      <c r="V1835" s="64"/>
      <c r="W1835" s="64"/>
      <c r="X1835" s="64"/>
      <c r="Y1835" s="64"/>
      <c r="Z1835" s="64"/>
      <c r="AA1835" s="64"/>
      <c r="AB1835" s="64"/>
      <c r="AC1835" s="64"/>
      <c r="AD1835" s="64"/>
      <c r="AE1835" s="64"/>
      <c r="AF1835" s="64"/>
      <c r="AG1835" s="64"/>
      <c r="AH1835" s="64"/>
      <c r="AI1835" s="64"/>
      <c r="AJ1835" s="64"/>
      <c r="AK1835" s="64"/>
      <c r="AL1835" s="64"/>
      <c r="AM1835" s="169"/>
      <c r="AN1835" s="169"/>
      <c r="AO1835" s="169"/>
      <c r="AP1835" s="169"/>
      <c r="AQ1835" s="169"/>
      <c r="AR1835" s="169"/>
      <c r="AS1835" s="169"/>
      <c r="AT1835" s="169"/>
    </row>
    <row r="1836" spans="10:46">
      <c r="J1836" s="64"/>
      <c r="K1836" s="64"/>
      <c r="L1836" s="64"/>
      <c r="M1836" s="64"/>
      <c r="N1836" s="64"/>
      <c r="O1836" s="64"/>
      <c r="P1836" s="64"/>
      <c r="Q1836" s="64"/>
      <c r="R1836" s="64"/>
      <c r="S1836" s="64"/>
      <c r="T1836" s="64"/>
      <c r="U1836" s="64"/>
      <c r="V1836" s="64"/>
      <c r="W1836" s="64"/>
      <c r="X1836" s="64"/>
      <c r="Y1836" s="64"/>
      <c r="Z1836" s="64"/>
      <c r="AA1836" s="64"/>
      <c r="AB1836" s="64"/>
      <c r="AC1836" s="64"/>
      <c r="AD1836" s="64"/>
      <c r="AE1836" s="64"/>
      <c r="AF1836" s="64"/>
      <c r="AG1836" s="64"/>
      <c r="AH1836" s="64"/>
      <c r="AI1836" s="64"/>
      <c r="AJ1836" s="64"/>
      <c r="AK1836" s="64"/>
      <c r="AL1836" s="64"/>
      <c r="AM1836" s="169"/>
      <c r="AN1836" s="169"/>
      <c r="AO1836" s="169"/>
      <c r="AP1836" s="169"/>
      <c r="AQ1836" s="169"/>
      <c r="AR1836" s="169"/>
      <c r="AS1836" s="169"/>
      <c r="AT1836" s="169"/>
    </row>
    <row r="1837" spans="10:46">
      <c r="J1837" s="64"/>
      <c r="K1837" s="64"/>
      <c r="L1837" s="64"/>
      <c r="M1837" s="64"/>
      <c r="N1837" s="64"/>
      <c r="O1837" s="64"/>
      <c r="P1837" s="64"/>
      <c r="Q1837" s="64"/>
      <c r="R1837" s="64"/>
      <c r="S1837" s="64"/>
      <c r="T1837" s="64"/>
      <c r="U1837" s="64"/>
      <c r="V1837" s="64"/>
      <c r="W1837" s="64"/>
      <c r="X1837" s="64"/>
      <c r="Y1837" s="64"/>
      <c r="Z1837" s="64"/>
      <c r="AA1837" s="64"/>
      <c r="AB1837" s="64"/>
      <c r="AC1837" s="64"/>
      <c r="AD1837" s="64"/>
      <c r="AE1837" s="64"/>
      <c r="AF1837" s="64"/>
      <c r="AG1837" s="64"/>
      <c r="AH1837" s="64"/>
      <c r="AI1837" s="64"/>
      <c r="AJ1837" s="64"/>
      <c r="AK1837" s="64"/>
      <c r="AL1837" s="64"/>
      <c r="AM1837" s="169"/>
      <c r="AN1837" s="169"/>
      <c r="AO1837" s="169"/>
      <c r="AP1837" s="169"/>
      <c r="AQ1837" s="169"/>
      <c r="AR1837" s="169"/>
      <c r="AS1837" s="169"/>
      <c r="AT1837" s="169"/>
    </row>
    <row r="1838" spans="10:46">
      <c r="J1838" s="64"/>
      <c r="K1838" s="64"/>
      <c r="L1838" s="64"/>
      <c r="M1838" s="64"/>
      <c r="N1838" s="64"/>
      <c r="O1838" s="64"/>
      <c r="P1838" s="64"/>
      <c r="Q1838" s="64"/>
      <c r="R1838" s="64"/>
      <c r="S1838" s="64"/>
      <c r="T1838" s="64"/>
      <c r="U1838" s="64"/>
      <c r="V1838" s="64"/>
      <c r="W1838" s="64"/>
      <c r="X1838" s="64"/>
      <c r="Y1838" s="64"/>
      <c r="Z1838" s="64"/>
      <c r="AA1838" s="64"/>
      <c r="AB1838" s="64"/>
      <c r="AC1838" s="64"/>
      <c r="AD1838" s="64"/>
      <c r="AE1838" s="64"/>
      <c r="AF1838" s="64"/>
      <c r="AG1838" s="64"/>
      <c r="AH1838" s="64"/>
      <c r="AI1838" s="64"/>
      <c r="AJ1838" s="64"/>
      <c r="AK1838" s="64"/>
      <c r="AL1838" s="64"/>
      <c r="AM1838" s="169"/>
      <c r="AN1838" s="169"/>
      <c r="AO1838" s="169"/>
      <c r="AP1838" s="169"/>
      <c r="AQ1838" s="169"/>
      <c r="AR1838" s="169"/>
      <c r="AS1838" s="169"/>
      <c r="AT1838" s="169"/>
    </row>
    <row r="1839" spans="10:46">
      <c r="J1839" s="64"/>
      <c r="K1839" s="64"/>
      <c r="L1839" s="64"/>
      <c r="M1839" s="64"/>
      <c r="N1839" s="64"/>
      <c r="O1839" s="64"/>
      <c r="P1839" s="64"/>
      <c r="Q1839" s="64"/>
      <c r="R1839" s="64"/>
      <c r="S1839" s="64"/>
      <c r="T1839" s="64"/>
      <c r="U1839" s="64"/>
      <c r="V1839" s="64"/>
      <c r="W1839" s="64"/>
      <c r="X1839" s="64"/>
      <c r="Y1839" s="64"/>
      <c r="Z1839" s="64"/>
      <c r="AA1839" s="64"/>
      <c r="AB1839" s="64"/>
      <c r="AC1839" s="64"/>
      <c r="AD1839" s="64"/>
      <c r="AE1839" s="64"/>
      <c r="AF1839" s="64"/>
      <c r="AG1839" s="64"/>
      <c r="AH1839" s="64"/>
      <c r="AI1839" s="64"/>
      <c r="AJ1839" s="64"/>
      <c r="AK1839" s="64"/>
      <c r="AL1839" s="64"/>
      <c r="AM1839" s="169"/>
      <c r="AN1839" s="169"/>
      <c r="AO1839" s="169"/>
      <c r="AP1839" s="169"/>
      <c r="AQ1839" s="169"/>
      <c r="AR1839" s="169"/>
      <c r="AS1839" s="169"/>
      <c r="AT1839" s="169"/>
    </row>
    <row r="1840" spans="10:46">
      <c r="J1840" s="64"/>
      <c r="K1840" s="64"/>
      <c r="L1840" s="64"/>
      <c r="M1840" s="64"/>
      <c r="N1840" s="64"/>
      <c r="O1840" s="64"/>
      <c r="P1840" s="64"/>
      <c r="Q1840" s="64"/>
      <c r="R1840" s="64"/>
      <c r="S1840" s="64"/>
      <c r="T1840" s="64"/>
      <c r="U1840" s="64"/>
      <c r="V1840" s="64"/>
      <c r="W1840" s="64"/>
      <c r="X1840" s="64"/>
      <c r="Y1840" s="64"/>
      <c r="Z1840" s="64"/>
      <c r="AA1840" s="64"/>
      <c r="AB1840" s="64"/>
      <c r="AC1840" s="64"/>
      <c r="AD1840" s="64"/>
      <c r="AE1840" s="64"/>
      <c r="AF1840" s="64"/>
      <c r="AG1840" s="64"/>
      <c r="AH1840" s="64"/>
      <c r="AI1840" s="64"/>
      <c r="AJ1840" s="64"/>
      <c r="AK1840" s="64"/>
      <c r="AL1840" s="64"/>
      <c r="AM1840" s="169"/>
      <c r="AN1840" s="169"/>
      <c r="AO1840" s="169"/>
      <c r="AP1840" s="169"/>
      <c r="AQ1840" s="169"/>
      <c r="AR1840" s="169"/>
      <c r="AS1840" s="169"/>
      <c r="AT1840" s="169"/>
    </row>
    <row r="1841" spans="10:46">
      <c r="J1841" s="64"/>
      <c r="K1841" s="64"/>
      <c r="L1841" s="64"/>
      <c r="M1841" s="64"/>
      <c r="N1841" s="64"/>
      <c r="O1841" s="64"/>
      <c r="P1841" s="64"/>
      <c r="Q1841" s="64"/>
      <c r="R1841" s="64"/>
      <c r="S1841" s="64"/>
      <c r="T1841" s="64"/>
      <c r="U1841" s="64"/>
      <c r="V1841" s="64"/>
      <c r="W1841" s="64"/>
      <c r="X1841" s="64"/>
      <c r="Y1841" s="64"/>
      <c r="Z1841" s="64"/>
      <c r="AA1841" s="64"/>
      <c r="AB1841" s="64"/>
      <c r="AC1841" s="64"/>
      <c r="AD1841" s="64"/>
      <c r="AE1841" s="64"/>
      <c r="AF1841" s="64"/>
      <c r="AG1841" s="64"/>
      <c r="AH1841" s="64"/>
      <c r="AI1841" s="64"/>
      <c r="AJ1841" s="64"/>
      <c r="AK1841" s="64"/>
      <c r="AL1841" s="64"/>
      <c r="AM1841" s="169"/>
      <c r="AN1841" s="169"/>
      <c r="AO1841" s="169"/>
      <c r="AP1841" s="169"/>
      <c r="AQ1841" s="169"/>
      <c r="AR1841" s="169"/>
      <c r="AS1841" s="169"/>
      <c r="AT1841" s="169"/>
    </row>
    <row r="1842" spans="10:46">
      <c r="J1842" s="64"/>
      <c r="K1842" s="64"/>
      <c r="L1842" s="64"/>
      <c r="M1842" s="64"/>
      <c r="N1842" s="64"/>
      <c r="O1842" s="64"/>
      <c r="P1842" s="64"/>
      <c r="Q1842" s="64"/>
      <c r="R1842" s="64"/>
      <c r="S1842" s="64"/>
      <c r="T1842" s="64"/>
      <c r="U1842" s="64"/>
      <c r="V1842" s="64"/>
      <c r="W1842" s="64"/>
      <c r="X1842" s="64"/>
      <c r="Y1842" s="64"/>
      <c r="Z1842" s="64"/>
      <c r="AA1842" s="64"/>
      <c r="AB1842" s="64"/>
      <c r="AC1842" s="64"/>
      <c r="AD1842" s="64"/>
      <c r="AE1842" s="64"/>
      <c r="AF1842" s="64"/>
      <c r="AG1842" s="64"/>
      <c r="AH1842" s="64"/>
      <c r="AI1842" s="64"/>
      <c r="AJ1842" s="64"/>
      <c r="AK1842" s="64"/>
      <c r="AL1842" s="64"/>
      <c r="AM1842" s="169"/>
      <c r="AN1842" s="169"/>
      <c r="AO1842" s="169"/>
      <c r="AP1842" s="169"/>
      <c r="AQ1842" s="169"/>
      <c r="AR1842" s="169"/>
      <c r="AS1842" s="169"/>
      <c r="AT1842" s="169"/>
    </row>
    <row r="1843" spans="10:46">
      <c r="J1843" s="64"/>
      <c r="K1843" s="64"/>
      <c r="L1843" s="64"/>
      <c r="M1843" s="64"/>
      <c r="N1843" s="64"/>
      <c r="O1843" s="64"/>
      <c r="P1843" s="64"/>
      <c r="Q1843" s="64"/>
      <c r="R1843" s="64"/>
      <c r="S1843" s="64"/>
      <c r="T1843" s="64"/>
      <c r="U1843" s="64"/>
      <c r="V1843" s="64"/>
      <c r="W1843" s="64"/>
      <c r="X1843" s="64"/>
      <c r="Y1843" s="64"/>
      <c r="Z1843" s="64"/>
      <c r="AA1843" s="64"/>
      <c r="AB1843" s="64"/>
      <c r="AC1843" s="64"/>
      <c r="AD1843" s="64"/>
      <c r="AE1843" s="64"/>
      <c r="AF1843" s="64"/>
      <c r="AG1843" s="64"/>
      <c r="AH1843" s="64"/>
      <c r="AI1843" s="64"/>
      <c r="AJ1843" s="64"/>
      <c r="AK1843" s="64"/>
      <c r="AL1843" s="64"/>
      <c r="AM1843" s="169"/>
      <c r="AN1843" s="169"/>
      <c r="AO1843" s="169"/>
      <c r="AP1843" s="169"/>
      <c r="AQ1843" s="169"/>
      <c r="AR1843" s="169"/>
      <c r="AS1843" s="169"/>
      <c r="AT1843" s="169"/>
    </row>
    <row r="1844" spans="10:46">
      <c r="J1844" s="64"/>
      <c r="K1844" s="64"/>
      <c r="L1844" s="64"/>
      <c r="M1844" s="64"/>
      <c r="N1844" s="64"/>
      <c r="O1844" s="64"/>
      <c r="P1844" s="64"/>
      <c r="Q1844" s="64"/>
      <c r="R1844" s="64"/>
      <c r="S1844" s="64"/>
      <c r="T1844" s="64"/>
      <c r="U1844" s="64"/>
      <c r="V1844" s="64"/>
      <c r="W1844" s="64"/>
      <c r="X1844" s="64"/>
      <c r="Y1844" s="64"/>
      <c r="Z1844" s="64"/>
      <c r="AA1844" s="64"/>
      <c r="AB1844" s="64"/>
      <c r="AC1844" s="64"/>
      <c r="AD1844" s="64"/>
      <c r="AE1844" s="64"/>
      <c r="AF1844" s="64"/>
      <c r="AG1844" s="64"/>
      <c r="AH1844" s="64"/>
      <c r="AI1844" s="64"/>
      <c r="AJ1844" s="64"/>
      <c r="AK1844" s="64"/>
      <c r="AL1844" s="64"/>
      <c r="AM1844" s="169"/>
      <c r="AN1844" s="169"/>
      <c r="AO1844" s="169"/>
      <c r="AP1844" s="169"/>
      <c r="AQ1844" s="169"/>
      <c r="AR1844" s="169"/>
      <c r="AS1844" s="169"/>
      <c r="AT1844" s="169"/>
    </row>
    <row r="1845" spans="10:46">
      <c r="J1845" s="64"/>
      <c r="K1845" s="64"/>
      <c r="L1845" s="64"/>
      <c r="M1845" s="64"/>
      <c r="N1845" s="64"/>
      <c r="O1845" s="64"/>
      <c r="P1845" s="64"/>
      <c r="Q1845" s="64"/>
      <c r="R1845" s="64"/>
      <c r="S1845" s="64"/>
      <c r="T1845" s="64"/>
      <c r="U1845" s="64"/>
      <c r="V1845" s="64"/>
      <c r="W1845" s="64"/>
      <c r="X1845" s="64"/>
      <c r="Y1845" s="64"/>
      <c r="Z1845" s="64"/>
      <c r="AA1845" s="64"/>
      <c r="AB1845" s="64"/>
      <c r="AC1845" s="64"/>
      <c r="AD1845" s="64"/>
      <c r="AE1845" s="64"/>
      <c r="AF1845" s="64"/>
      <c r="AG1845" s="64"/>
      <c r="AH1845" s="64"/>
      <c r="AI1845" s="64"/>
      <c r="AJ1845" s="64"/>
      <c r="AK1845" s="64"/>
      <c r="AL1845" s="64"/>
      <c r="AM1845" s="169"/>
      <c r="AN1845" s="169"/>
      <c r="AO1845" s="169"/>
      <c r="AP1845" s="169"/>
      <c r="AQ1845" s="169"/>
      <c r="AR1845" s="169"/>
      <c r="AS1845" s="169"/>
      <c r="AT1845" s="169"/>
    </row>
    <row r="1846" spans="10:46">
      <c r="J1846" s="64"/>
      <c r="K1846" s="64"/>
      <c r="L1846" s="64"/>
      <c r="M1846" s="64"/>
      <c r="N1846" s="64"/>
      <c r="O1846" s="64"/>
      <c r="P1846" s="64"/>
      <c r="Q1846" s="64"/>
      <c r="R1846" s="64"/>
      <c r="S1846" s="64"/>
      <c r="T1846" s="64"/>
      <c r="U1846" s="64"/>
      <c r="V1846" s="64"/>
      <c r="W1846" s="64"/>
      <c r="X1846" s="64"/>
      <c r="Y1846" s="64"/>
      <c r="Z1846" s="64"/>
      <c r="AA1846" s="64"/>
      <c r="AB1846" s="64"/>
      <c r="AC1846" s="64"/>
      <c r="AD1846" s="64"/>
      <c r="AE1846" s="64"/>
      <c r="AF1846" s="64"/>
      <c r="AG1846" s="64"/>
      <c r="AH1846" s="64"/>
      <c r="AI1846" s="64"/>
      <c r="AJ1846" s="64"/>
      <c r="AK1846" s="64"/>
      <c r="AL1846" s="64"/>
      <c r="AM1846" s="169"/>
      <c r="AN1846" s="169"/>
      <c r="AO1846" s="169"/>
      <c r="AP1846" s="169"/>
      <c r="AQ1846" s="169"/>
      <c r="AR1846" s="169"/>
      <c r="AS1846" s="169"/>
      <c r="AT1846" s="169"/>
    </row>
    <row r="1847" spans="10:46">
      <c r="J1847" s="64"/>
      <c r="K1847" s="64"/>
      <c r="L1847" s="64"/>
      <c r="M1847" s="64"/>
      <c r="N1847" s="64"/>
      <c r="O1847" s="64"/>
      <c r="P1847" s="64"/>
      <c r="Q1847" s="64"/>
      <c r="R1847" s="64"/>
      <c r="S1847" s="64"/>
      <c r="T1847" s="64"/>
      <c r="U1847" s="64"/>
      <c r="V1847" s="64"/>
      <c r="W1847" s="64"/>
      <c r="X1847" s="64"/>
      <c r="Y1847" s="64"/>
      <c r="Z1847" s="64"/>
      <c r="AA1847" s="64"/>
      <c r="AB1847" s="64"/>
      <c r="AC1847" s="64"/>
      <c r="AD1847" s="64"/>
      <c r="AE1847" s="64"/>
      <c r="AF1847" s="64"/>
      <c r="AG1847" s="64"/>
      <c r="AH1847" s="64"/>
      <c r="AI1847" s="64"/>
      <c r="AJ1847" s="64"/>
      <c r="AK1847" s="64"/>
      <c r="AL1847" s="64"/>
      <c r="AM1847" s="169"/>
      <c r="AN1847" s="169"/>
      <c r="AO1847" s="169"/>
      <c r="AP1847" s="169"/>
      <c r="AQ1847" s="169"/>
      <c r="AR1847" s="169"/>
      <c r="AS1847" s="169"/>
      <c r="AT1847" s="169"/>
    </row>
    <row r="1848" spans="10:46">
      <c r="J1848" s="64"/>
      <c r="K1848" s="64"/>
      <c r="L1848" s="64"/>
      <c r="M1848" s="64"/>
      <c r="N1848" s="64"/>
      <c r="O1848" s="64"/>
      <c r="P1848" s="64"/>
      <c r="Q1848" s="64"/>
      <c r="R1848" s="64"/>
      <c r="S1848" s="64"/>
      <c r="T1848" s="64"/>
      <c r="U1848" s="64"/>
      <c r="V1848" s="64"/>
      <c r="W1848" s="64"/>
      <c r="X1848" s="64"/>
      <c r="Y1848" s="64"/>
      <c r="Z1848" s="64"/>
      <c r="AA1848" s="64"/>
      <c r="AB1848" s="64"/>
      <c r="AC1848" s="64"/>
      <c r="AD1848" s="64"/>
      <c r="AE1848" s="64"/>
      <c r="AF1848" s="64"/>
      <c r="AG1848" s="64"/>
      <c r="AH1848" s="64"/>
      <c r="AI1848" s="64"/>
      <c r="AJ1848" s="64"/>
      <c r="AK1848" s="64"/>
      <c r="AL1848" s="64"/>
      <c r="AM1848" s="169"/>
      <c r="AN1848" s="169"/>
      <c r="AO1848" s="169"/>
      <c r="AP1848" s="169"/>
      <c r="AQ1848" s="169"/>
      <c r="AR1848" s="169"/>
      <c r="AS1848" s="169"/>
      <c r="AT1848" s="169"/>
    </row>
    <row r="1849" spans="10:46">
      <c r="J1849" s="64"/>
      <c r="K1849" s="64"/>
      <c r="L1849" s="64"/>
      <c r="M1849" s="64"/>
      <c r="N1849" s="64"/>
      <c r="O1849" s="64"/>
      <c r="P1849" s="64"/>
      <c r="Q1849" s="64"/>
      <c r="R1849" s="64"/>
      <c r="S1849" s="64"/>
      <c r="T1849" s="64"/>
      <c r="U1849" s="64"/>
      <c r="V1849" s="64"/>
      <c r="W1849" s="64"/>
      <c r="X1849" s="64"/>
      <c r="Y1849" s="64"/>
      <c r="Z1849" s="64"/>
      <c r="AA1849" s="64"/>
      <c r="AB1849" s="64"/>
      <c r="AC1849" s="64"/>
      <c r="AD1849" s="64"/>
      <c r="AE1849" s="64"/>
      <c r="AF1849" s="64"/>
      <c r="AG1849" s="64"/>
      <c r="AH1849" s="64"/>
      <c r="AI1849" s="64"/>
      <c r="AJ1849" s="64"/>
      <c r="AK1849" s="64"/>
      <c r="AL1849" s="64"/>
      <c r="AM1849" s="169"/>
      <c r="AN1849" s="169"/>
      <c r="AO1849" s="169"/>
      <c r="AP1849" s="169"/>
      <c r="AQ1849" s="169"/>
      <c r="AR1849" s="169"/>
      <c r="AS1849" s="169"/>
      <c r="AT1849" s="169"/>
    </row>
    <row r="1850" spans="10:46">
      <c r="J1850" s="64"/>
      <c r="K1850" s="64"/>
      <c r="L1850" s="64"/>
      <c r="M1850" s="64"/>
      <c r="N1850" s="64"/>
      <c r="O1850" s="64"/>
      <c r="P1850" s="64"/>
      <c r="Q1850" s="64"/>
      <c r="R1850" s="64"/>
      <c r="S1850" s="64"/>
      <c r="T1850" s="64"/>
      <c r="U1850" s="64"/>
      <c r="V1850" s="64"/>
      <c r="W1850" s="64"/>
      <c r="X1850" s="64"/>
      <c r="Y1850" s="64"/>
      <c r="Z1850" s="64"/>
      <c r="AA1850" s="64"/>
      <c r="AB1850" s="64"/>
      <c r="AC1850" s="64"/>
      <c r="AD1850" s="64"/>
      <c r="AE1850" s="64"/>
      <c r="AF1850" s="64"/>
      <c r="AG1850" s="64"/>
      <c r="AH1850" s="64"/>
      <c r="AI1850" s="64"/>
      <c r="AJ1850" s="64"/>
      <c r="AK1850" s="64"/>
      <c r="AL1850" s="64"/>
      <c r="AM1850" s="169"/>
      <c r="AN1850" s="169"/>
      <c r="AO1850" s="169"/>
      <c r="AP1850" s="169"/>
      <c r="AQ1850" s="169"/>
      <c r="AR1850" s="169"/>
      <c r="AS1850" s="169"/>
      <c r="AT1850" s="169"/>
    </row>
    <row r="1851" spans="10:46">
      <c r="J1851" s="64"/>
      <c r="K1851" s="64"/>
      <c r="L1851" s="64"/>
      <c r="M1851" s="64"/>
      <c r="N1851" s="64"/>
      <c r="O1851" s="64"/>
      <c r="P1851" s="64"/>
      <c r="Q1851" s="64"/>
      <c r="R1851" s="64"/>
      <c r="S1851" s="64"/>
      <c r="T1851" s="64"/>
      <c r="U1851" s="64"/>
      <c r="V1851" s="64"/>
      <c r="W1851" s="64"/>
      <c r="X1851" s="64"/>
      <c r="Y1851" s="64"/>
      <c r="Z1851" s="64"/>
      <c r="AA1851" s="64"/>
      <c r="AB1851" s="64"/>
      <c r="AC1851" s="64"/>
      <c r="AD1851" s="64"/>
      <c r="AE1851" s="64"/>
      <c r="AF1851" s="64"/>
      <c r="AG1851" s="64"/>
      <c r="AH1851" s="64"/>
      <c r="AI1851" s="64"/>
      <c r="AJ1851" s="64"/>
      <c r="AK1851" s="64"/>
      <c r="AL1851" s="64"/>
      <c r="AM1851" s="169"/>
      <c r="AN1851" s="169"/>
      <c r="AO1851" s="169"/>
      <c r="AP1851" s="169"/>
      <c r="AQ1851" s="169"/>
      <c r="AR1851" s="169"/>
      <c r="AS1851" s="169"/>
      <c r="AT1851" s="169"/>
    </row>
    <row r="1852" spans="10:46">
      <c r="J1852" s="64"/>
      <c r="K1852" s="64"/>
      <c r="L1852" s="64"/>
      <c r="M1852" s="64"/>
      <c r="N1852" s="64"/>
      <c r="O1852" s="64"/>
      <c r="P1852" s="64"/>
      <c r="Q1852" s="64"/>
      <c r="R1852" s="64"/>
      <c r="S1852" s="64"/>
      <c r="T1852" s="64"/>
      <c r="U1852" s="64"/>
      <c r="V1852" s="64"/>
      <c r="W1852" s="64"/>
      <c r="X1852" s="64"/>
      <c r="Y1852" s="64"/>
      <c r="Z1852" s="64"/>
      <c r="AA1852" s="64"/>
      <c r="AB1852" s="64"/>
      <c r="AC1852" s="64"/>
      <c r="AD1852" s="64"/>
      <c r="AE1852" s="64"/>
      <c r="AF1852" s="64"/>
      <c r="AG1852" s="64"/>
      <c r="AH1852" s="64"/>
      <c r="AI1852" s="64"/>
      <c r="AJ1852" s="64"/>
      <c r="AK1852" s="64"/>
      <c r="AL1852" s="64"/>
      <c r="AM1852" s="169"/>
      <c r="AN1852" s="169"/>
      <c r="AO1852" s="169"/>
      <c r="AP1852" s="169"/>
      <c r="AQ1852" s="169"/>
      <c r="AR1852" s="169"/>
      <c r="AS1852" s="169"/>
      <c r="AT1852" s="169"/>
    </row>
    <row r="1853" spans="10:46">
      <c r="J1853" s="64"/>
      <c r="K1853" s="64"/>
      <c r="L1853" s="64"/>
      <c r="M1853" s="64"/>
      <c r="N1853" s="64"/>
      <c r="O1853" s="64"/>
      <c r="P1853" s="64"/>
      <c r="Q1853" s="64"/>
      <c r="R1853" s="64"/>
      <c r="S1853" s="64"/>
      <c r="T1853" s="64"/>
      <c r="U1853" s="64"/>
      <c r="V1853" s="64"/>
      <c r="W1853" s="64"/>
      <c r="X1853" s="64"/>
      <c r="Y1853" s="64"/>
      <c r="Z1853" s="64"/>
      <c r="AA1853" s="64"/>
      <c r="AB1853" s="64"/>
      <c r="AC1853" s="64"/>
      <c r="AD1853" s="64"/>
      <c r="AE1853" s="64"/>
      <c r="AF1853" s="64"/>
      <c r="AG1853" s="64"/>
      <c r="AH1853" s="64"/>
      <c r="AI1853" s="64"/>
      <c r="AJ1853" s="64"/>
      <c r="AK1853" s="64"/>
      <c r="AL1853" s="64"/>
      <c r="AM1853" s="169"/>
      <c r="AN1853" s="169"/>
      <c r="AO1853" s="169"/>
      <c r="AP1853" s="169"/>
      <c r="AQ1853" s="169"/>
      <c r="AR1853" s="169"/>
      <c r="AS1853" s="169"/>
      <c r="AT1853" s="169"/>
    </row>
    <row r="1854" spans="10:46">
      <c r="J1854" s="64"/>
      <c r="K1854" s="64"/>
      <c r="L1854" s="64"/>
      <c r="M1854" s="64"/>
      <c r="N1854" s="64"/>
      <c r="O1854" s="64"/>
      <c r="P1854" s="64"/>
      <c r="Q1854" s="64"/>
      <c r="R1854" s="64"/>
      <c r="S1854" s="64"/>
      <c r="T1854" s="64"/>
      <c r="U1854" s="64"/>
      <c r="V1854" s="64"/>
      <c r="W1854" s="64"/>
      <c r="X1854" s="64"/>
      <c r="Y1854" s="64"/>
      <c r="Z1854" s="64"/>
      <c r="AA1854" s="64"/>
      <c r="AB1854" s="64"/>
      <c r="AC1854" s="64"/>
      <c r="AD1854" s="64"/>
      <c r="AE1854" s="64"/>
      <c r="AF1854" s="64"/>
      <c r="AG1854" s="64"/>
      <c r="AH1854" s="64"/>
      <c r="AI1854" s="64"/>
      <c r="AJ1854" s="64"/>
      <c r="AK1854" s="64"/>
      <c r="AL1854" s="64"/>
      <c r="AM1854" s="169"/>
      <c r="AN1854" s="169"/>
      <c r="AO1854" s="169"/>
      <c r="AP1854" s="169"/>
      <c r="AQ1854" s="169"/>
      <c r="AR1854" s="169"/>
      <c r="AS1854" s="169"/>
      <c r="AT1854" s="169"/>
    </row>
    <row r="1855" spans="10:46">
      <c r="J1855" s="64"/>
      <c r="K1855" s="64"/>
      <c r="L1855" s="64"/>
      <c r="M1855" s="64"/>
      <c r="N1855" s="64"/>
      <c r="O1855" s="64"/>
      <c r="P1855" s="64"/>
      <c r="Q1855" s="64"/>
      <c r="R1855" s="64"/>
      <c r="S1855" s="64"/>
      <c r="T1855" s="64"/>
      <c r="U1855" s="64"/>
      <c r="V1855" s="64"/>
      <c r="W1855" s="64"/>
      <c r="X1855" s="64"/>
      <c r="Y1855" s="64"/>
      <c r="Z1855" s="64"/>
      <c r="AA1855" s="64"/>
      <c r="AB1855" s="64"/>
      <c r="AC1855" s="64"/>
      <c r="AD1855" s="64"/>
      <c r="AE1855" s="64"/>
      <c r="AF1855" s="64"/>
      <c r="AG1855" s="64"/>
      <c r="AH1855" s="64"/>
      <c r="AI1855" s="64"/>
      <c r="AJ1855" s="64"/>
      <c r="AK1855" s="64"/>
      <c r="AL1855" s="64"/>
      <c r="AM1855" s="169"/>
      <c r="AN1855" s="169"/>
      <c r="AO1855" s="169"/>
      <c r="AP1855" s="169"/>
      <c r="AQ1855" s="169"/>
      <c r="AR1855" s="169"/>
      <c r="AS1855" s="169"/>
      <c r="AT1855" s="169"/>
    </row>
    <row r="1856" spans="10:46">
      <c r="J1856" s="64"/>
      <c r="K1856" s="64"/>
      <c r="L1856" s="64"/>
      <c r="M1856" s="64"/>
      <c r="N1856" s="64"/>
      <c r="O1856" s="64"/>
      <c r="P1856" s="64"/>
      <c r="Q1856" s="64"/>
      <c r="R1856" s="64"/>
      <c r="S1856" s="64"/>
      <c r="T1856" s="64"/>
      <c r="U1856" s="64"/>
      <c r="V1856" s="64"/>
      <c r="W1856" s="64"/>
      <c r="X1856" s="64"/>
      <c r="Y1856" s="64"/>
      <c r="Z1856" s="64"/>
      <c r="AA1856" s="64"/>
      <c r="AB1856" s="64"/>
      <c r="AC1856" s="64"/>
      <c r="AD1856" s="64"/>
      <c r="AE1856" s="64"/>
      <c r="AF1856" s="64"/>
      <c r="AG1856" s="64"/>
      <c r="AH1856" s="64"/>
      <c r="AI1856" s="64"/>
      <c r="AJ1856" s="64"/>
      <c r="AK1856" s="64"/>
      <c r="AL1856" s="64"/>
      <c r="AM1856" s="169"/>
      <c r="AN1856" s="169"/>
      <c r="AO1856" s="169"/>
      <c r="AP1856" s="169"/>
      <c r="AQ1856" s="169"/>
      <c r="AR1856" s="169"/>
      <c r="AS1856" s="169"/>
      <c r="AT1856" s="169"/>
    </row>
    <row r="1857" spans="10:46">
      <c r="J1857" s="64"/>
      <c r="K1857" s="64"/>
      <c r="L1857" s="64"/>
      <c r="M1857" s="64"/>
      <c r="N1857" s="64"/>
      <c r="O1857" s="64"/>
      <c r="P1857" s="64"/>
      <c r="Q1857" s="64"/>
      <c r="R1857" s="64"/>
      <c r="S1857" s="64"/>
      <c r="T1857" s="64"/>
      <c r="U1857" s="64"/>
      <c r="V1857" s="64"/>
      <c r="W1857" s="64"/>
      <c r="X1857" s="64"/>
      <c r="Y1857" s="64"/>
      <c r="Z1857" s="64"/>
      <c r="AA1857" s="64"/>
      <c r="AB1857" s="64"/>
      <c r="AC1857" s="64"/>
      <c r="AD1857" s="64"/>
      <c r="AE1857" s="64"/>
      <c r="AF1857" s="64"/>
      <c r="AG1857" s="64"/>
      <c r="AH1857" s="64"/>
      <c r="AI1857" s="64"/>
      <c r="AJ1857" s="64"/>
      <c r="AK1857" s="64"/>
      <c r="AL1857" s="64"/>
      <c r="AM1857" s="169"/>
      <c r="AN1857" s="169"/>
      <c r="AO1857" s="169"/>
      <c r="AP1857" s="169"/>
      <c r="AQ1857" s="169"/>
      <c r="AR1857" s="169"/>
      <c r="AS1857" s="169"/>
      <c r="AT1857" s="169"/>
    </row>
    <row r="1858" spans="10:46">
      <c r="J1858" s="64"/>
      <c r="K1858" s="64"/>
      <c r="L1858" s="64"/>
      <c r="M1858" s="64"/>
      <c r="N1858" s="64"/>
      <c r="O1858" s="64"/>
      <c r="P1858" s="64"/>
      <c r="Q1858" s="64"/>
      <c r="R1858" s="64"/>
      <c r="S1858" s="64"/>
      <c r="T1858" s="64"/>
      <c r="U1858" s="64"/>
      <c r="V1858" s="64"/>
      <c r="W1858" s="64"/>
      <c r="X1858" s="64"/>
      <c r="Y1858" s="64"/>
      <c r="Z1858" s="64"/>
      <c r="AA1858" s="64"/>
      <c r="AB1858" s="64"/>
      <c r="AC1858" s="64"/>
      <c r="AD1858" s="64"/>
      <c r="AE1858" s="64"/>
      <c r="AF1858" s="64"/>
      <c r="AG1858" s="64"/>
      <c r="AH1858" s="64"/>
      <c r="AI1858" s="64"/>
      <c r="AJ1858" s="64"/>
      <c r="AK1858" s="64"/>
      <c r="AL1858" s="64"/>
      <c r="AM1858" s="169"/>
      <c r="AN1858" s="169"/>
      <c r="AO1858" s="169"/>
      <c r="AP1858" s="169"/>
      <c r="AQ1858" s="169"/>
      <c r="AR1858" s="169"/>
      <c r="AS1858" s="169"/>
      <c r="AT1858" s="169"/>
    </row>
    <row r="1859" spans="10:46">
      <c r="J1859" s="64"/>
      <c r="K1859" s="64"/>
      <c r="L1859" s="64"/>
      <c r="M1859" s="64"/>
      <c r="N1859" s="64"/>
      <c r="O1859" s="64"/>
      <c r="P1859" s="64"/>
      <c r="Q1859" s="64"/>
      <c r="R1859" s="64"/>
      <c r="S1859" s="64"/>
      <c r="T1859" s="64"/>
      <c r="U1859" s="64"/>
      <c r="V1859" s="64"/>
      <c r="W1859" s="64"/>
      <c r="X1859" s="64"/>
      <c r="Y1859" s="64"/>
      <c r="Z1859" s="64"/>
      <c r="AA1859" s="64"/>
      <c r="AB1859" s="64"/>
      <c r="AC1859" s="64"/>
      <c r="AD1859" s="64"/>
      <c r="AE1859" s="64"/>
      <c r="AF1859" s="64"/>
      <c r="AG1859" s="64"/>
      <c r="AH1859" s="64"/>
      <c r="AI1859" s="64"/>
      <c r="AJ1859" s="64"/>
      <c r="AK1859" s="64"/>
      <c r="AL1859" s="64"/>
      <c r="AM1859" s="169"/>
      <c r="AN1859" s="169"/>
      <c r="AO1859" s="169"/>
      <c r="AP1859" s="169"/>
      <c r="AQ1859" s="169"/>
      <c r="AR1859" s="169"/>
      <c r="AS1859" s="169"/>
      <c r="AT1859" s="169"/>
    </row>
    <row r="1860" spans="10:46">
      <c r="J1860" s="64"/>
      <c r="K1860" s="64"/>
      <c r="L1860" s="64"/>
      <c r="M1860" s="64"/>
      <c r="N1860" s="64"/>
      <c r="O1860" s="64"/>
      <c r="P1860" s="64"/>
      <c r="Q1860" s="64"/>
      <c r="R1860" s="64"/>
      <c r="S1860" s="64"/>
      <c r="T1860" s="64"/>
      <c r="U1860" s="64"/>
      <c r="V1860" s="64"/>
      <c r="W1860" s="64"/>
      <c r="X1860" s="64"/>
      <c r="Y1860" s="64"/>
      <c r="Z1860" s="64"/>
      <c r="AA1860" s="64"/>
      <c r="AB1860" s="64"/>
      <c r="AC1860" s="64"/>
      <c r="AD1860" s="64"/>
      <c r="AE1860" s="64"/>
      <c r="AF1860" s="64"/>
      <c r="AG1860" s="64"/>
      <c r="AH1860" s="64"/>
      <c r="AI1860" s="64"/>
      <c r="AJ1860" s="64"/>
      <c r="AK1860" s="64"/>
      <c r="AL1860" s="64"/>
      <c r="AM1860" s="169"/>
      <c r="AN1860" s="169"/>
      <c r="AO1860" s="169"/>
      <c r="AP1860" s="169"/>
      <c r="AQ1860" s="169"/>
      <c r="AR1860" s="169"/>
      <c r="AS1860" s="169"/>
      <c r="AT1860" s="169"/>
    </row>
    <row r="1861" spans="10:46">
      <c r="J1861" s="64"/>
      <c r="K1861" s="64"/>
      <c r="L1861" s="64"/>
      <c r="M1861" s="64"/>
      <c r="N1861" s="64"/>
      <c r="O1861" s="64"/>
      <c r="P1861" s="64"/>
      <c r="Q1861" s="64"/>
      <c r="R1861" s="64"/>
      <c r="S1861" s="64"/>
      <c r="T1861" s="64"/>
      <c r="U1861" s="64"/>
      <c r="V1861" s="64"/>
      <c r="W1861" s="64"/>
      <c r="X1861" s="64"/>
      <c r="Y1861" s="64"/>
      <c r="Z1861" s="64"/>
      <c r="AA1861" s="64"/>
      <c r="AB1861" s="64"/>
      <c r="AC1861" s="64"/>
      <c r="AD1861" s="64"/>
      <c r="AE1861" s="64"/>
      <c r="AF1861" s="64"/>
      <c r="AG1861" s="64"/>
      <c r="AH1861" s="64"/>
      <c r="AI1861" s="64"/>
      <c r="AJ1861" s="64"/>
      <c r="AK1861" s="64"/>
      <c r="AL1861" s="64"/>
      <c r="AM1861" s="169"/>
      <c r="AN1861" s="169"/>
      <c r="AO1861" s="169"/>
      <c r="AP1861" s="169"/>
      <c r="AQ1861" s="169"/>
      <c r="AR1861" s="169"/>
      <c r="AS1861" s="169"/>
      <c r="AT1861" s="169"/>
    </row>
    <row r="1862" spans="10:46">
      <c r="J1862" s="64"/>
      <c r="K1862" s="64"/>
      <c r="L1862" s="64"/>
      <c r="M1862" s="64"/>
      <c r="N1862" s="64"/>
      <c r="O1862" s="64"/>
      <c r="P1862" s="64"/>
      <c r="Q1862" s="64"/>
      <c r="R1862" s="64"/>
      <c r="S1862" s="64"/>
      <c r="T1862" s="64"/>
      <c r="U1862" s="64"/>
      <c r="V1862" s="64"/>
      <c r="W1862" s="64"/>
      <c r="X1862" s="64"/>
      <c r="Y1862" s="64"/>
      <c r="Z1862" s="64"/>
      <c r="AA1862" s="64"/>
      <c r="AB1862" s="64"/>
      <c r="AC1862" s="64"/>
      <c r="AD1862" s="64"/>
      <c r="AE1862" s="64"/>
      <c r="AF1862" s="64"/>
      <c r="AG1862" s="64"/>
      <c r="AH1862" s="64"/>
      <c r="AI1862" s="64"/>
      <c r="AJ1862" s="64"/>
      <c r="AK1862" s="64"/>
      <c r="AL1862" s="64"/>
      <c r="AM1862" s="169"/>
      <c r="AN1862" s="169"/>
      <c r="AO1862" s="169"/>
      <c r="AP1862" s="169"/>
      <c r="AQ1862" s="169"/>
      <c r="AR1862" s="169"/>
      <c r="AS1862" s="169"/>
      <c r="AT1862" s="169"/>
    </row>
    <row r="1863" spans="10:46">
      <c r="J1863" s="64"/>
      <c r="K1863" s="64"/>
      <c r="L1863" s="64"/>
      <c r="M1863" s="64"/>
      <c r="N1863" s="64"/>
      <c r="O1863" s="64"/>
      <c r="P1863" s="64"/>
      <c r="Q1863" s="64"/>
      <c r="R1863" s="64"/>
      <c r="S1863" s="64"/>
      <c r="T1863" s="64"/>
      <c r="U1863" s="64"/>
      <c r="V1863" s="64"/>
      <c r="W1863" s="64"/>
      <c r="X1863" s="64"/>
      <c r="Y1863" s="64"/>
      <c r="Z1863" s="64"/>
      <c r="AA1863" s="64"/>
      <c r="AB1863" s="64"/>
      <c r="AC1863" s="64"/>
      <c r="AD1863" s="64"/>
      <c r="AE1863" s="64"/>
      <c r="AF1863" s="64"/>
      <c r="AG1863" s="64"/>
      <c r="AH1863" s="64"/>
      <c r="AI1863" s="64"/>
      <c r="AJ1863" s="64"/>
      <c r="AK1863" s="64"/>
      <c r="AL1863" s="64"/>
      <c r="AM1863" s="169"/>
      <c r="AN1863" s="169"/>
      <c r="AO1863" s="169"/>
      <c r="AP1863" s="169"/>
      <c r="AQ1863" s="169"/>
      <c r="AR1863" s="169"/>
      <c r="AS1863" s="169"/>
      <c r="AT1863" s="169"/>
    </row>
    <row r="1864" spans="10:46">
      <c r="J1864" s="64"/>
      <c r="K1864" s="64"/>
      <c r="L1864" s="64"/>
      <c r="M1864" s="64"/>
      <c r="N1864" s="64"/>
      <c r="O1864" s="64"/>
      <c r="P1864" s="64"/>
      <c r="Q1864" s="64"/>
      <c r="R1864" s="64"/>
      <c r="S1864" s="64"/>
      <c r="T1864" s="64"/>
      <c r="U1864" s="64"/>
      <c r="V1864" s="64"/>
      <c r="W1864" s="64"/>
      <c r="X1864" s="64"/>
      <c r="Y1864" s="64"/>
      <c r="Z1864" s="64"/>
      <c r="AA1864" s="64"/>
      <c r="AB1864" s="64"/>
      <c r="AC1864" s="64"/>
      <c r="AD1864" s="64"/>
      <c r="AE1864" s="64"/>
      <c r="AF1864" s="64"/>
      <c r="AG1864" s="64"/>
      <c r="AH1864" s="64"/>
      <c r="AI1864" s="64"/>
      <c r="AJ1864" s="64"/>
      <c r="AK1864" s="64"/>
      <c r="AL1864" s="64"/>
      <c r="AM1864" s="169"/>
      <c r="AN1864" s="169"/>
      <c r="AO1864" s="169"/>
      <c r="AP1864" s="169"/>
      <c r="AQ1864" s="169"/>
      <c r="AR1864" s="169"/>
      <c r="AS1864" s="169"/>
      <c r="AT1864" s="169"/>
    </row>
    <row r="1865" spans="10:46">
      <c r="J1865" s="64"/>
      <c r="K1865" s="64"/>
      <c r="L1865" s="64"/>
      <c r="M1865" s="64"/>
      <c r="N1865" s="64"/>
      <c r="O1865" s="64"/>
      <c r="P1865" s="64"/>
      <c r="Q1865" s="64"/>
      <c r="R1865" s="64"/>
      <c r="S1865" s="64"/>
      <c r="T1865" s="64"/>
      <c r="U1865" s="64"/>
      <c r="V1865" s="64"/>
      <c r="W1865" s="64"/>
      <c r="X1865" s="64"/>
      <c r="Y1865" s="64"/>
      <c r="Z1865" s="64"/>
      <c r="AA1865" s="64"/>
      <c r="AB1865" s="64"/>
      <c r="AC1865" s="64"/>
      <c r="AD1865" s="64"/>
      <c r="AE1865" s="64"/>
      <c r="AF1865" s="64"/>
      <c r="AG1865" s="64"/>
      <c r="AH1865" s="64"/>
      <c r="AI1865" s="64"/>
      <c r="AJ1865" s="64"/>
      <c r="AK1865" s="64"/>
      <c r="AL1865" s="64"/>
      <c r="AM1865" s="169"/>
      <c r="AN1865" s="169"/>
      <c r="AO1865" s="169"/>
      <c r="AP1865" s="169"/>
      <c r="AQ1865" s="169"/>
      <c r="AR1865" s="169"/>
      <c r="AS1865" s="169"/>
      <c r="AT1865" s="169"/>
    </row>
    <row r="1866" spans="10:46">
      <c r="J1866" s="64"/>
      <c r="K1866" s="64"/>
      <c r="L1866" s="64"/>
      <c r="M1866" s="64"/>
      <c r="N1866" s="64"/>
      <c r="O1866" s="64"/>
      <c r="P1866" s="64"/>
      <c r="Q1866" s="64"/>
      <c r="R1866" s="64"/>
      <c r="S1866" s="64"/>
      <c r="T1866" s="64"/>
      <c r="U1866" s="64"/>
      <c r="V1866" s="64"/>
      <c r="W1866" s="64"/>
      <c r="X1866" s="64"/>
      <c r="Y1866" s="64"/>
      <c r="Z1866" s="64"/>
      <c r="AA1866" s="64"/>
      <c r="AB1866" s="64"/>
      <c r="AC1866" s="64"/>
      <c r="AD1866" s="64"/>
      <c r="AE1866" s="64"/>
      <c r="AF1866" s="64"/>
      <c r="AG1866" s="64"/>
      <c r="AH1866" s="64"/>
      <c r="AI1866" s="64"/>
      <c r="AJ1866" s="64"/>
      <c r="AK1866" s="64"/>
      <c r="AL1866" s="64"/>
      <c r="AM1866" s="169"/>
      <c r="AN1866" s="169"/>
      <c r="AO1866" s="169"/>
      <c r="AP1866" s="169"/>
      <c r="AQ1866" s="169"/>
      <c r="AR1866" s="169"/>
      <c r="AS1866" s="169"/>
      <c r="AT1866" s="169"/>
    </row>
    <row r="1867" spans="10:46">
      <c r="J1867" s="64"/>
      <c r="K1867" s="64"/>
      <c r="L1867" s="64"/>
      <c r="M1867" s="64"/>
      <c r="N1867" s="64"/>
      <c r="O1867" s="64"/>
      <c r="P1867" s="64"/>
      <c r="Q1867" s="64"/>
      <c r="R1867" s="64"/>
      <c r="S1867" s="64"/>
      <c r="T1867" s="64"/>
      <c r="U1867" s="64"/>
      <c r="V1867" s="64"/>
      <c r="W1867" s="64"/>
      <c r="X1867" s="64"/>
      <c r="Y1867" s="64"/>
      <c r="Z1867" s="64"/>
      <c r="AA1867" s="64"/>
      <c r="AB1867" s="64"/>
      <c r="AC1867" s="64"/>
      <c r="AD1867" s="64"/>
      <c r="AE1867" s="64"/>
      <c r="AF1867" s="64"/>
      <c r="AG1867" s="64"/>
      <c r="AH1867" s="64"/>
      <c r="AI1867" s="64"/>
      <c r="AJ1867" s="64"/>
      <c r="AK1867" s="64"/>
      <c r="AL1867" s="64"/>
      <c r="AM1867" s="169"/>
      <c r="AN1867" s="169"/>
      <c r="AO1867" s="169"/>
      <c r="AP1867" s="169"/>
      <c r="AQ1867" s="169"/>
      <c r="AR1867" s="169"/>
      <c r="AS1867" s="169"/>
      <c r="AT1867" s="169"/>
    </row>
    <row r="1868" spans="10:46">
      <c r="J1868" s="64"/>
      <c r="K1868" s="64"/>
      <c r="L1868" s="64"/>
      <c r="M1868" s="64"/>
      <c r="N1868" s="64"/>
      <c r="O1868" s="64"/>
      <c r="P1868" s="64"/>
      <c r="Q1868" s="64"/>
      <c r="R1868" s="64"/>
      <c r="S1868" s="64"/>
      <c r="T1868" s="64"/>
      <c r="U1868" s="64"/>
      <c r="V1868" s="64"/>
      <c r="W1868" s="64"/>
      <c r="X1868" s="64"/>
      <c r="Y1868" s="64"/>
      <c r="Z1868" s="64"/>
      <c r="AA1868" s="64"/>
      <c r="AB1868" s="64"/>
      <c r="AC1868" s="64"/>
      <c r="AD1868" s="64"/>
      <c r="AE1868" s="64"/>
      <c r="AF1868" s="64"/>
      <c r="AG1868" s="64"/>
      <c r="AH1868" s="64"/>
      <c r="AI1868" s="64"/>
      <c r="AJ1868" s="64"/>
      <c r="AK1868" s="64"/>
      <c r="AL1868" s="64"/>
      <c r="AM1868" s="169"/>
      <c r="AN1868" s="169"/>
      <c r="AO1868" s="169"/>
      <c r="AP1868" s="169"/>
      <c r="AQ1868" s="169"/>
      <c r="AR1868" s="169"/>
      <c r="AS1868" s="169"/>
      <c r="AT1868" s="169"/>
    </row>
    <row r="1869" spans="10:46">
      <c r="J1869" s="64"/>
      <c r="K1869" s="64"/>
      <c r="L1869" s="64"/>
      <c r="M1869" s="64"/>
      <c r="N1869" s="64"/>
      <c r="O1869" s="64"/>
      <c r="P1869" s="64"/>
      <c r="Q1869" s="64"/>
      <c r="R1869" s="64"/>
      <c r="S1869" s="64"/>
      <c r="T1869" s="64"/>
      <c r="U1869" s="64"/>
      <c r="V1869" s="64"/>
      <c r="W1869" s="64"/>
      <c r="X1869" s="64"/>
      <c r="Y1869" s="64"/>
      <c r="Z1869" s="64"/>
      <c r="AA1869" s="64"/>
      <c r="AB1869" s="64"/>
      <c r="AC1869" s="64"/>
      <c r="AD1869" s="64"/>
      <c r="AE1869" s="64"/>
      <c r="AF1869" s="64"/>
      <c r="AG1869" s="64"/>
      <c r="AH1869" s="64"/>
      <c r="AI1869" s="64"/>
      <c r="AJ1869" s="64"/>
      <c r="AK1869" s="64"/>
      <c r="AL1869" s="64"/>
      <c r="AM1869" s="169"/>
      <c r="AN1869" s="169"/>
      <c r="AO1869" s="169"/>
      <c r="AP1869" s="169"/>
      <c r="AQ1869" s="169"/>
      <c r="AR1869" s="169"/>
      <c r="AS1869" s="169"/>
      <c r="AT1869" s="169"/>
    </row>
    <row r="1870" spans="10:46">
      <c r="J1870" s="64"/>
      <c r="K1870" s="64"/>
      <c r="L1870" s="64"/>
      <c r="M1870" s="64"/>
      <c r="N1870" s="64"/>
      <c r="O1870" s="64"/>
      <c r="P1870" s="64"/>
      <c r="Q1870" s="64"/>
      <c r="R1870" s="64"/>
      <c r="S1870" s="64"/>
      <c r="T1870" s="64"/>
      <c r="U1870" s="64"/>
      <c r="V1870" s="64"/>
      <c r="W1870" s="64"/>
      <c r="X1870" s="64"/>
      <c r="Y1870" s="64"/>
      <c r="Z1870" s="64"/>
      <c r="AA1870" s="64"/>
      <c r="AB1870" s="64"/>
      <c r="AC1870" s="64"/>
      <c r="AD1870" s="64"/>
      <c r="AE1870" s="64"/>
      <c r="AF1870" s="64"/>
      <c r="AG1870" s="64"/>
      <c r="AH1870" s="64"/>
      <c r="AI1870" s="64"/>
      <c r="AJ1870" s="64"/>
      <c r="AK1870" s="64"/>
      <c r="AL1870" s="64"/>
      <c r="AM1870" s="169"/>
      <c r="AN1870" s="169"/>
      <c r="AO1870" s="169"/>
      <c r="AP1870" s="169"/>
      <c r="AQ1870" s="169"/>
      <c r="AR1870" s="169"/>
      <c r="AS1870" s="169"/>
      <c r="AT1870" s="169"/>
    </row>
    <row r="1871" spans="10:46">
      <c r="J1871" s="64"/>
      <c r="K1871" s="64"/>
      <c r="L1871" s="64"/>
      <c r="M1871" s="64"/>
      <c r="N1871" s="64"/>
      <c r="O1871" s="64"/>
      <c r="P1871" s="64"/>
      <c r="Q1871" s="64"/>
      <c r="R1871" s="64"/>
      <c r="S1871" s="64"/>
      <c r="T1871" s="64"/>
      <c r="U1871" s="64"/>
      <c r="V1871" s="64"/>
      <c r="W1871" s="64"/>
      <c r="X1871" s="64"/>
      <c r="Y1871" s="64"/>
      <c r="Z1871" s="64"/>
      <c r="AA1871" s="64"/>
      <c r="AB1871" s="64"/>
      <c r="AC1871" s="64"/>
      <c r="AD1871" s="64"/>
      <c r="AE1871" s="64"/>
      <c r="AF1871" s="64"/>
      <c r="AG1871" s="64"/>
      <c r="AH1871" s="64"/>
      <c r="AI1871" s="64"/>
      <c r="AJ1871" s="64"/>
      <c r="AK1871" s="64"/>
      <c r="AL1871" s="64"/>
      <c r="AM1871" s="169"/>
      <c r="AN1871" s="169"/>
      <c r="AO1871" s="169"/>
      <c r="AP1871" s="169"/>
      <c r="AQ1871" s="169"/>
      <c r="AR1871" s="169"/>
      <c r="AS1871" s="169"/>
      <c r="AT1871" s="169"/>
    </row>
    <row r="1872" spans="10:46">
      <c r="J1872" s="64"/>
      <c r="K1872" s="64"/>
      <c r="L1872" s="64"/>
      <c r="M1872" s="64"/>
      <c r="N1872" s="64"/>
      <c r="O1872" s="64"/>
      <c r="P1872" s="64"/>
      <c r="Q1872" s="64"/>
      <c r="R1872" s="64"/>
      <c r="S1872" s="64"/>
      <c r="T1872" s="64"/>
      <c r="U1872" s="64"/>
      <c r="V1872" s="64"/>
      <c r="W1872" s="64"/>
      <c r="X1872" s="64"/>
      <c r="Y1872" s="64"/>
      <c r="Z1872" s="64"/>
      <c r="AA1872" s="64"/>
      <c r="AB1872" s="64"/>
      <c r="AC1872" s="64"/>
      <c r="AD1872" s="64"/>
      <c r="AE1872" s="64"/>
      <c r="AF1872" s="64"/>
      <c r="AG1872" s="64"/>
      <c r="AH1872" s="64"/>
      <c r="AI1872" s="64"/>
      <c r="AJ1872" s="64"/>
      <c r="AK1872" s="64"/>
      <c r="AL1872" s="64"/>
      <c r="AM1872" s="169"/>
      <c r="AN1872" s="169"/>
      <c r="AO1872" s="169"/>
      <c r="AP1872" s="169"/>
      <c r="AQ1872" s="169"/>
      <c r="AR1872" s="169"/>
      <c r="AS1872" s="169"/>
      <c r="AT1872" s="169"/>
    </row>
    <row r="1873" spans="10:46">
      <c r="J1873" s="64"/>
      <c r="K1873" s="64"/>
      <c r="L1873" s="64"/>
      <c r="M1873" s="64"/>
      <c r="N1873" s="64"/>
      <c r="O1873" s="64"/>
      <c r="P1873" s="64"/>
      <c r="Q1873" s="64"/>
      <c r="R1873" s="64"/>
      <c r="S1873" s="64"/>
      <c r="T1873" s="64"/>
      <c r="U1873" s="64"/>
      <c r="V1873" s="64"/>
      <c r="W1873" s="64"/>
      <c r="X1873" s="64"/>
      <c r="Y1873" s="64"/>
      <c r="Z1873" s="64"/>
      <c r="AA1873" s="64"/>
      <c r="AB1873" s="64"/>
      <c r="AC1873" s="64"/>
      <c r="AD1873" s="64"/>
      <c r="AE1873" s="64"/>
      <c r="AF1873" s="64"/>
      <c r="AG1873" s="64"/>
      <c r="AH1873" s="64"/>
      <c r="AI1873" s="64"/>
      <c r="AJ1873" s="64"/>
      <c r="AK1873" s="64"/>
      <c r="AL1873" s="64"/>
      <c r="AM1873" s="169"/>
      <c r="AN1873" s="169"/>
      <c r="AO1873" s="169"/>
      <c r="AP1873" s="169"/>
      <c r="AQ1873" s="169"/>
      <c r="AR1873" s="169"/>
      <c r="AS1873" s="169"/>
      <c r="AT1873" s="169"/>
    </row>
    <row r="1874" spans="10:46">
      <c r="J1874" s="64"/>
      <c r="K1874" s="64"/>
      <c r="L1874" s="64"/>
      <c r="M1874" s="64"/>
      <c r="N1874" s="64"/>
      <c r="O1874" s="64"/>
      <c r="P1874" s="64"/>
      <c r="Q1874" s="64"/>
      <c r="R1874" s="64"/>
      <c r="S1874" s="64"/>
      <c r="T1874" s="64"/>
      <c r="U1874" s="64"/>
      <c r="V1874" s="64"/>
      <c r="W1874" s="64"/>
      <c r="X1874" s="64"/>
      <c r="Y1874" s="64"/>
      <c r="Z1874" s="64"/>
      <c r="AA1874" s="64"/>
      <c r="AB1874" s="64"/>
      <c r="AC1874" s="64"/>
      <c r="AD1874" s="64"/>
      <c r="AE1874" s="64"/>
      <c r="AF1874" s="64"/>
      <c r="AG1874" s="64"/>
      <c r="AH1874" s="64"/>
      <c r="AI1874" s="64"/>
      <c r="AJ1874" s="64"/>
      <c r="AK1874" s="64"/>
      <c r="AL1874" s="64"/>
      <c r="AM1874" s="169"/>
      <c r="AN1874" s="169"/>
      <c r="AO1874" s="169"/>
      <c r="AP1874" s="169"/>
      <c r="AQ1874" s="169"/>
      <c r="AR1874" s="169"/>
      <c r="AS1874" s="169"/>
      <c r="AT1874" s="169"/>
    </row>
    <row r="1875" spans="10:46">
      <c r="J1875" s="64"/>
      <c r="K1875" s="64"/>
      <c r="L1875" s="64"/>
      <c r="M1875" s="64"/>
      <c r="N1875" s="64"/>
      <c r="O1875" s="64"/>
      <c r="P1875" s="64"/>
      <c r="Q1875" s="64"/>
      <c r="R1875" s="64"/>
      <c r="S1875" s="64"/>
      <c r="T1875" s="64"/>
      <c r="U1875" s="64"/>
      <c r="V1875" s="64"/>
      <c r="W1875" s="64"/>
      <c r="X1875" s="64"/>
      <c r="Y1875" s="64"/>
      <c r="Z1875" s="64"/>
      <c r="AA1875" s="64"/>
      <c r="AB1875" s="64"/>
      <c r="AC1875" s="64"/>
      <c r="AD1875" s="64"/>
      <c r="AE1875" s="64"/>
      <c r="AF1875" s="64"/>
      <c r="AG1875" s="64"/>
      <c r="AH1875" s="64"/>
      <c r="AI1875" s="64"/>
      <c r="AJ1875" s="64"/>
      <c r="AK1875" s="64"/>
      <c r="AL1875" s="64"/>
      <c r="AM1875" s="169"/>
      <c r="AN1875" s="169"/>
      <c r="AO1875" s="169"/>
      <c r="AP1875" s="169"/>
      <c r="AQ1875" s="169"/>
      <c r="AR1875" s="169"/>
      <c r="AS1875" s="169"/>
      <c r="AT1875" s="169"/>
    </row>
    <row r="1876" spans="10:46">
      <c r="J1876" s="64"/>
      <c r="K1876" s="64"/>
      <c r="L1876" s="64"/>
      <c r="M1876" s="64"/>
      <c r="N1876" s="64"/>
      <c r="O1876" s="64"/>
      <c r="P1876" s="64"/>
      <c r="Q1876" s="64"/>
      <c r="R1876" s="64"/>
      <c r="S1876" s="64"/>
      <c r="T1876" s="64"/>
      <c r="U1876" s="64"/>
      <c r="V1876" s="64"/>
      <c r="W1876" s="64"/>
      <c r="X1876" s="64"/>
      <c r="Y1876" s="64"/>
      <c r="Z1876" s="64"/>
      <c r="AA1876" s="64"/>
      <c r="AB1876" s="64"/>
      <c r="AC1876" s="64"/>
      <c r="AD1876" s="64"/>
      <c r="AE1876" s="64"/>
      <c r="AF1876" s="64"/>
      <c r="AG1876" s="64"/>
      <c r="AH1876" s="64"/>
      <c r="AI1876" s="64"/>
      <c r="AJ1876" s="64"/>
      <c r="AK1876" s="64"/>
      <c r="AL1876" s="64"/>
      <c r="AM1876" s="169"/>
      <c r="AN1876" s="169"/>
      <c r="AO1876" s="169"/>
      <c r="AP1876" s="169"/>
      <c r="AQ1876" s="169"/>
      <c r="AR1876" s="169"/>
      <c r="AS1876" s="169"/>
      <c r="AT1876" s="169"/>
    </row>
    <row r="1877" spans="10:46">
      <c r="J1877" s="64"/>
      <c r="K1877" s="64"/>
      <c r="L1877" s="64"/>
      <c r="M1877" s="64"/>
      <c r="N1877" s="64"/>
      <c r="O1877" s="64"/>
      <c r="P1877" s="64"/>
      <c r="Q1877" s="64"/>
      <c r="R1877" s="64"/>
      <c r="S1877" s="64"/>
      <c r="T1877" s="64"/>
      <c r="U1877" s="64"/>
      <c r="V1877" s="64"/>
      <c r="W1877" s="64"/>
      <c r="X1877" s="64"/>
      <c r="Y1877" s="64"/>
      <c r="Z1877" s="64"/>
      <c r="AA1877" s="64"/>
      <c r="AB1877" s="64"/>
      <c r="AC1877" s="64"/>
      <c r="AD1877" s="64"/>
      <c r="AE1877" s="64"/>
      <c r="AF1877" s="64"/>
      <c r="AG1877" s="64"/>
      <c r="AH1877" s="64"/>
      <c r="AI1877" s="64"/>
      <c r="AJ1877" s="64"/>
      <c r="AK1877" s="64"/>
      <c r="AL1877" s="64"/>
      <c r="AM1877" s="169"/>
      <c r="AN1877" s="169"/>
      <c r="AO1877" s="169"/>
      <c r="AP1877" s="169"/>
      <c r="AQ1877" s="169"/>
      <c r="AR1877" s="169"/>
      <c r="AS1877" s="169"/>
      <c r="AT1877" s="169"/>
    </row>
    <row r="1878" spans="10:46">
      <c r="J1878" s="64"/>
      <c r="K1878" s="64"/>
      <c r="L1878" s="64"/>
      <c r="M1878" s="64"/>
      <c r="N1878" s="64"/>
      <c r="O1878" s="64"/>
      <c r="P1878" s="64"/>
      <c r="Q1878" s="64"/>
      <c r="R1878" s="64"/>
      <c r="S1878" s="64"/>
      <c r="T1878" s="64"/>
      <c r="U1878" s="64"/>
      <c r="V1878" s="64"/>
      <c r="W1878" s="64"/>
      <c r="X1878" s="64"/>
      <c r="Y1878" s="64"/>
      <c r="Z1878" s="64"/>
      <c r="AA1878" s="64"/>
      <c r="AB1878" s="64"/>
      <c r="AC1878" s="64"/>
      <c r="AD1878" s="64"/>
      <c r="AE1878" s="64"/>
      <c r="AF1878" s="64"/>
      <c r="AG1878" s="64"/>
      <c r="AH1878" s="64"/>
      <c r="AI1878" s="64"/>
      <c r="AJ1878" s="64"/>
      <c r="AK1878" s="64"/>
      <c r="AL1878" s="64"/>
      <c r="AM1878" s="169"/>
      <c r="AN1878" s="169"/>
      <c r="AO1878" s="169"/>
      <c r="AP1878" s="169"/>
      <c r="AQ1878" s="169"/>
      <c r="AR1878" s="169"/>
      <c r="AS1878" s="169"/>
      <c r="AT1878" s="169"/>
    </row>
    <row r="1879" spans="10:46">
      <c r="J1879" s="64"/>
      <c r="K1879" s="64"/>
      <c r="L1879" s="64"/>
      <c r="M1879" s="64"/>
      <c r="N1879" s="64"/>
      <c r="O1879" s="64"/>
      <c r="P1879" s="64"/>
      <c r="Q1879" s="64"/>
      <c r="R1879" s="64"/>
      <c r="S1879" s="64"/>
      <c r="T1879" s="64"/>
      <c r="U1879" s="64"/>
      <c r="V1879" s="64"/>
      <c r="W1879" s="64"/>
      <c r="X1879" s="64"/>
      <c r="Y1879" s="64"/>
      <c r="Z1879" s="64"/>
      <c r="AA1879" s="64"/>
      <c r="AB1879" s="64"/>
      <c r="AC1879" s="64"/>
      <c r="AD1879" s="64"/>
      <c r="AE1879" s="64"/>
      <c r="AF1879" s="64"/>
      <c r="AG1879" s="64"/>
      <c r="AH1879" s="64"/>
      <c r="AI1879" s="64"/>
      <c r="AJ1879" s="64"/>
      <c r="AK1879" s="64"/>
      <c r="AL1879" s="64"/>
      <c r="AM1879" s="169"/>
      <c r="AN1879" s="169"/>
      <c r="AO1879" s="169"/>
      <c r="AP1879" s="169"/>
      <c r="AQ1879" s="169"/>
      <c r="AR1879" s="169"/>
      <c r="AS1879" s="169"/>
      <c r="AT1879" s="169"/>
    </row>
    <row r="1880" spans="10:46">
      <c r="J1880" s="64"/>
      <c r="K1880" s="64"/>
      <c r="L1880" s="64"/>
      <c r="M1880" s="64"/>
      <c r="N1880" s="64"/>
      <c r="O1880" s="64"/>
      <c r="P1880" s="64"/>
      <c r="Q1880" s="64"/>
      <c r="R1880" s="64"/>
      <c r="S1880" s="64"/>
      <c r="T1880" s="64"/>
      <c r="U1880" s="64"/>
      <c r="V1880" s="64"/>
      <c r="W1880" s="64"/>
      <c r="X1880" s="64"/>
      <c r="Y1880" s="64"/>
      <c r="Z1880" s="64"/>
      <c r="AA1880" s="64"/>
      <c r="AB1880" s="64"/>
      <c r="AC1880" s="64"/>
      <c r="AD1880" s="64"/>
      <c r="AE1880" s="64"/>
      <c r="AF1880" s="64"/>
      <c r="AG1880" s="64"/>
      <c r="AH1880" s="64"/>
      <c r="AI1880" s="64"/>
      <c r="AJ1880" s="64"/>
      <c r="AK1880" s="64"/>
      <c r="AL1880" s="64"/>
      <c r="AM1880" s="169"/>
      <c r="AN1880" s="169"/>
      <c r="AO1880" s="169"/>
      <c r="AP1880" s="169"/>
      <c r="AQ1880" s="169"/>
      <c r="AR1880" s="169"/>
      <c r="AS1880" s="169"/>
      <c r="AT1880" s="169"/>
    </row>
    <row r="1881" spans="10:46">
      <c r="J1881" s="64"/>
      <c r="K1881" s="64"/>
      <c r="L1881" s="64"/>
      <c r="M1881" s="64"/>
      <c r="N1881" s="64"/>
      <c r="O1881" s="64"/>
      <c r="P1881" s="64"/>
      <c r="Q1881" s="64"/>
      <c r="R1881" s="64"/>
      <c r="S1881" s="64"/>
      <c r="T1881" s="64"/>
      <c r="U1881" s="64"/>
      <c r="V1881" s="64"/>
      <c r="W1881" s="64"/>
      <c r="X1881" s="64"/>
      <c r="Y1881" s="64"/>
      <c r="Z1881" s="64"/>
      <c r="AA1881" s="64"/>
      <c r="AB1881" s="64"/>
      <c r="AC1881" s="64"/>
      <c r="AD1881" s="64"/>
      <c r="AE1881" s="64"/>
      <c r="AF1881" s="64"/>
      <c r="AG1881" s="64"/>
      <c r="AH1881" s="64"/>
      <c r="AI1881" s="64"/>
      <c r="AJ1881" s="64"/>
      <c r="AK1881" s="64"/>
      <c r="AL1881" s="64"/>
      <c r="AM1881" s="169"/>
      <c r="AN1881" s="169"/>
      <c r="AO1881" s="169"/>
      <c r="AP1881" s="169"/>
      <c r="AQ1881" s="169"/>
      <c r="AR1881" s="169"/>
      <c r="AS1881" s="169"/>
      <c r="AT1881" s="169"/>
    </row>
    <row r="1882" spans="10:46">
      <c r="J1882" s="64"/>
      <c r="K1882" s="64"/>
      <c r="L1882" s="64"/>
      <c r="M1882" s="64"/>
      <c r="N1882" s="64"/>
      <c r="O1882" s="64"/>
      <c r="P1882" s="64"/>
      <c r="Q1882" s="64"/>
      <c r="R1882" s="64"/>
      <c r="S1882" s="64"/>
      <c r="T1882" s="64"/>
      <c r="U1882" s="64"/>
      <c r="V1882" s="64"/>
      <c r="W1882" s="64"/>
      <c r="X1882" s="64"/>
      <c r="Y1882" s="64"/>
      <c r="Z1882" s="64"/>
      <c r="AA1882" s="64"/>
      <c r="AB1882" s="64"/>
      <c r="AC1882" s="64"/>
      <c r="AD1882" s="64"/>
      <c r="AE1882" s="64"/>
      <c r="AF1882" s="64"/>
      <c r="AG1882" s="64"/>
      <c r="AH1882" s="64"/>
      <c r="AI1882" s="64"/>
      <c r="AJ1882" s="64"/>
      <c r="AK1882" s="64"/>
      <c r="AL1882" s="64"/>
      <c r="AM1882" s="169"/>
      <c r="AN1882" s="169"/>
      <c r="AO1882" s="169"/>
      <c r="AP1882" s="169"/>
      <c r="AQ1882" s="169"/>
      <c r="AR1882" s="169"/>
      <c r="AS1882" s="169"/>
      <c r="AT1882" s="169"/>
    </row>
    <row r="1883" spans="10:46">
      <c r="J1883" s="64"/>
      <c r="K1883" s="64"/>
      <c r="L1883" s="64"/>
      <c r="M1883" s="64"/>
      <c r="N1883" s="64"/>
      <c r="O1883" s="64"/>
      <c r="P1883" s="64"/>
      <c r="Q1883" s="64"/>
      <c r="R1883" s="64"/>
      <c r="S1883" s="64"/>
      <c r="T1883" s="64"/>
      <c r="U1883" s="64"/>
      <c r="V1883" s="64"/>
      <c r="W1883" s="64"/>
      <c r="X1883" s="64"/>
      <c r="Y1883" s="64"/>
      <c r="Z1883" s="64"/>
      <c r="AA1883" s="64"/>
      <c r="AB1883" s="64"/>
      <c r="AC1883" s="64"/>
      <c r="AD1883" s="64"/>
      <c r="AE1883" s="64"/>
      <c r="AF1883" s="64"/>
      <c r="AG1883" s="64"/>
      <c r="AH1883" s="64"/>
      <c r="AI1883" s="64"/>
      <c r="AJ1883" s="64"/>
      <c r="AK1883" s="64"/>
      <c r="AL1883" s="64"/>
      <c r="AM1883" s="169"/>
      <c r="AN1883" s="169"/>
      <c r="AO1883" s="169"/>
      <c r="AP1883" s="169"/>
      <c r="AQ1883" s="169"/>
      <c r="AR1883" s="169"/>
      <c r="AS1883" s="169"/>
      <c r="AT1883" s="169"/>
    </row>
    <row r="1884" spans="10:46">
      <c r="J1884" s="64"/>
      <c r="K1884" s="64"/>
      <c r="L1884" s="64"/>
      <c r="M1884" s="64"/>
      <c r="N1884" s="64"/>
      <c r="O1884" s="64"/>
      <c r="P1884" s="64"/>
      <c r="Q1884" s="64"/>
      <c r="R1884" s="64"/>
      <c r="S1884" s="64"/>
      <c r="T1884" s="64"/>
      <c r="U1884" s="64"/>
      <c r="V1884" s="64"/>
      <c r="W1884" s="64"/>
      <c r="X1884" s="64"/>
      <c r="Y1884" s="64"/>
      <c r="Z1884" s="64"/>
      <c r="AA1884" s="64"/>
      <c r="AB1884" s="64"/>
      <c r="AC1884" s="64"/>
      <c r="AD1884" s="64"/>
      <c r="AE1884" s="64"/>
      <c r="AF1884" s="64"/>
      <c r="AG1884" s="64"/>
      <c r="AH1884" s="64"/>
      <c r="AI1884" s="64"/>
      <c r="AJ1884" s="64"/>
      <c r="AK1884" s="64"/>
      <c r="AL1884" s="64"/>
      <c r="AM1884" s="169"/>
      <c r="AN1884" s="169"/>
      <c r="AO1884" s="169"/>
      <c r="AP1884" s="169"/>
      <c r="AQ1884" s="169"/>
      <c r="AR1884" s="169"/>
      <c r="AS1884" s="169"/>
      <c r="AT1884" s="169"/>
    </row>
    <row r="1885" spans="10:46">
      <c r="J1885" s="64"/>
      <c r="K1885" s="64"/>
      <c r="L1885" s="64"/>
      <c r="M1885" s="64"/>
      <c r="N1885" s="64"/>
      <c r="O1885" s="64"/>
      <c r="P1885" s="64"/>
      <c r="Q1885" s="64"/>
      <c r="R1885" s="64"/>
      <c r="S1885" s="64"/>
      <c r="T1885" s="64"/>
      <c r="U1885" s="64"/>
      <c r="V1885" s="64"/>
      <c r="W1885" s="64"/>
      <c r="X1885" s="64"/>
      <c r="Y1885" s="64"/>
      <c r="Z1885" s="64"/>
      <c r="AA1885" s="64"/>
      <c r="AB1885" s="64"/>
      <c r="AC1885" s="64"/>
      <c r="AD1885" s="64"/>
      <c r="AE1885" s="64"/>
      <c r="AF1885" s="64"/>
      <c r="AG1885" s="64"/>
      <c r="AH1885" s="64"/>
      <c r="AI1885" s="64"/>
      <c r="AJ1885" s="64"/>
      <c r="AK1885" s="64"/>
      <c r="AL1885" s="64"/>
      <c r="AM1885" s="169"/>
      <c r="AN1885" s="169"/>
      <c r="AO1885" s="169"/>
      <c r="AP1885" s="169"/>
      <c r="AQ1885" s="169"/>
      <c r="AR1885" s="169"/>
      <c r="AS1885" s="169"/>
      <c r="AT1885" s="169"/>
    </row>
    <row r="1886" spans="10:46">
      <c r="J1886" s="64"/>
      <c r="K1886" s="64"/>
      <c r="L1886" s="64"/>
      <c r="M1886" s="64"/>
      <c r="N1886" s="64"/>
      <c r="O1886" s="64"/>
      <c r="P1886" s="64"/>
      <c r="Q1886" s="64"/>
      <c r="R1886" s="64"/>
      <c r="S1886" s="64"/>
      <c r="T1886" s="64"/>
      <c r="U1886" s="64"/>
      <c r="V1886" s="64"/>
      <c r="W1886" s="64"/>
      <c r="X1886" s="64"/>
      <c r="Y1886" s="64"/>
      <c r="Z1886" s="64"/>
      <c r="AA1886" s="64"/>
      <c r="AB1886" s="64"/>
      <c r="AC1886" s="64"/>
      <c r="AD1886" s="64"/>
      <c r="AE1886" s="64"/>
      <c r="AF1886" s="64"/>
      <c r="AG1886" s="64"/>
      <c r="AH1886" s="64"/>
      <c r="AI1886" s="64"/>
      <c r="AJ1886" s="64"/>
      <c r="AK1886" s="64"/>
      <c r="AL1886" s="64"/>
      <c r="AM1886" s="169"/>
      <c r="AN1886" s="169"/>
      <c r="AO1886" s="169"/>
      <c r="AP1886" s="169"/>
      <c r="AQ1886" s="169"/>
      <c r="AR1886" s="169"/>
      <c r="AS1886" s="169"/>
      <c r="AT1886" s="169"/>
    </row>
    <row r="1887" spans="10:46">
      <c r="J1887" s="64"/>
      <c r="K1887" s="64"/>
      <c r="L1887" s="64"/>
      <c r="M1887" s="64"/>
      <c r="N1887" s="64"/>
      <c r="O1887" s="64"/>
      <c r="P1887" s="64"/>
      <c r="Q1887" s="64"/>
      <c r="R1887" s="64"/>
      <c r="S1887" s="64"/>
      <c r="T1887" s="64"/>
      <c r="U1887" s="64"/>
      <c r="V1887" s="64"/>
      <c r="W1887" s="64"/>
      <c r="X1887" s="64"/>
      <c r="Y1887" s="64"/>
      <c r="Z1887" s="64"/>
      <c r="AA1887" s="64"/>
      <c r="AB1887" s="64"/>
      <c r="AC1887" s="64"/>
      <c r="AD1887" s="64"/>
      <c r="AE1887" s="64"/>
      <c r="AF1887" s="64"/>
      <c r="AG1887" s="64"/>
      <c r="AH1887" s="64"/>
      <c r="AI1887" s="64"/>
      <c r="AJ1887" s="64"/>
      <c r="AK1887" s="64"/>
      <c r="AL1887" s="64"/>
      <c r="AM1887" s="169"/>
      <c r="AN1887" s="169"/>
      <c r="AO1887" s="169"/>
      <c r="AP1887" s="169"/>
      <c r="AQ1887" s="169"/>
      <c r="AR1887" s="169"/>
      <c r="AS1887" s="169"/>
      <c r="AT1887" s="169"/>
    </row>
    <row r="1888" spans="10:46">
      <c r="J1888" s="64"/>
      <c r="K1888" s="64"/>
      <c r="L1888" s="64"/>
      <c r="M1888" s="64"/>
      <c r="N1888" s="64"/>
      <c r="O1888" s="64"/>
      <c r="P1888" s="64"/>
      <c r="Q1888" s="64"/>
      <c r="R1888" s="64"/>
      <c r="S1888" s="64"/>
      <c r="T1888" s="64"/>
      <c r="U1888" s="64"/>
      <c r="V1888" s="64"/>
      <c r="W1888" s="64"/>
      <c r="X1888" s="64"/>
      <c r="Y1888" s="64"/>
      <c r="Z1888" s="64"/>
      <c r="AA1888" s="64"/>
      <c r="AB1888" s="64"/>
      <c r="AC1888" s="64"/>
      <c r="AD1888" s="64"/>
      <c r="AE1888" s="64"/>
      <c r="AF1888" s="64"/>
      <c r="AG1888" s="64"/>
      <c r="AH1888" s="64"/>
      <c r="AI1888" s="64"/>
      <c r="AJ1888" s="64"/>
      <c r="AK1888" s="64"/>
      <c r="AL1888" s="64"/>
      <c r="AM1888" s="169"/>
      <c r="AN1888" s="169"/>
      <c r="AO1888" s="169"/>
      <c r="AP1888" s="169"/>
      <c r="AQ1888" s="169"/>
      <c r="AR1888" s="169"/>
      <c r="AS1888" s="169"/>
      <c r="AT1888" s="169"/>
    </row>
    <row r="1889" spans="10:46">
      <c r="J1889" s="64"/>
      <c r="K1889" s="64"/>
      <c r="L1889" s="64"/>
      <c r="M1889" s="64"/>
      <c r="N1889" s="64"/>
      <c r="O1889" s="64"/>
      <c r="P1889" s="64"/>
      <c r="Q1889" s="64"/>
      <c r="R1889" s="64"/>
      <c r="S1889" s="64"/>
      <c r="T1889" s="64"/>
      <c r="U1889" s="64"/>
      <c r="V1889" s="64"/>
      <c r="W1889" s="64"/>
      <c r="X1889" s="64"/>
      <c r="Y1889" s="64"/>
      <c r="Z1889" s="64"/>
      <c r="AA1889" s="64"/>
      <c r="AB1889" s="64"/>
      <c r="AC1889" s="64"/>
      <c r="AD1889" s="64"/>
      <c r="AE1889" s="64"/>
      <c r="AF1889" s="64"/>
      <c r="AG1889" s="64"/>
      <c r="AH1889" s="64"/>
      <c r="AI1889" s="64"/>
      <c r="AJ1889" s="64"/>
      <c r="AK1889" s="64"/>
      <c r="AL1889" s="64"/>
      <c r="AM1889" s="169"/>
      <c r="AN1889" s="169"/>
      <c r="AO1889" s="169"/>
      <c r="AP1889" s="169"/>
      <c r="AQ1889" s="169"/>
      <c r="AR1889" s="169"/>
      <c r="AS1889" s="169"/>
      <c r="AT1889" s="169"/>
    </row>
    <row r="1890" spans="10:46">
      <c r="J1890" s="64"/>
      <c r="K1890" s="64"/>
      <c r="L1890" s="64"/>
      <c r="M1890" s="64"/>
      <c r="N1890" s="64"/>
      <c r="O1890" s="64"/>
      <c r="P1890" s="64"/>
      <c r="Q1890" s="64"/>
      <c r="R1890" s="64"/>
      <c r="S1890" s="64"/>
      <c r="T1890" s="64"/>
      <c r="U1890" s="64"/>
      <c r="V1890" s="64"/>
      <c r="W1890" s="64"/>
      <c r="X1890" s="64"/>
      <c r="Y1890" s="64"/>
      <c r="Z1890" s="64"/>
      <c r="AA1890" s="64"/>
      <c r="AB1890" s="64"/>
      <c r="AC1890" s="64"/>
      <c r="AD1890" s="64"/>
      <c r="AE1890" s="64"/>
      <c r="AF1890" s="64"/>
      <c r="AG1890" s="64"/>
      <c r="AH1890" s="64"/>
      <c r="AI1890" s="64"/>
      <c r="AJ1890" s="64"/>
      <c r="AK1890" s="64"/>
      <c r="AL1890" s="64"/>
      <c r="AM1890" s="169"/>
      <c r="AN1890" s="169"/>
      <c r="AO1890" s="169"/>
      <c r="AP1890" s="169"/>
      <c r="AQ1890" s="169"/>
      <c r="AR1890" s="169"/>
      <c r="AS1890" s="169"/>
      <c r="AT1890" s="169"/>
    </row>
    <row r="1891" spans="10:46">
      <c r="J1891" s="64"/>
      <c r="K1891" s="64"/>
      <c r="L1891" s="64"/>
      <c r="M1891" s="64"/>
      <c r="N1891" s="64"/>
      <c r="O1891" s="64"/>
      <c r="P1891" s="64"/>
      <c r="Q1891" s="64"/>
      <c r="R1891" s="64"/>
      <c r="S1891" s="64"/>
      <c r="T1891" s="64"/>
      <c r="U1891" s="64"/>
      <c r="V1891" s="64"/>
      <c r="W1891" s="64"/>
      <c r="X1891" s="64"/>
      <c r="Y1891" s="64"/>
      <c r="Z1891" s="64"/>
      <c r="AA1891" s="64"/>
      <c r="AB1891" s="64"/>
      <c r="AC1891" s="64"/>
      <c r="AD1891" s="64"/>
      <c r="AE1891" s="64"/>
      <c r="AF1891" s="64"/>
      <c r="AG1891" s="64"/>
      <c r="AH1891" s="64"/>
      <c r="AI1891" s="64"/>
      <c r="AJ1891" s="64"/>
      <c r="AK1891" s="64"/>
      <c r="AL1891" s="64"/>
      <c r="AM1891" s="169"/>
      <c r="AN1891" s="169"/>
      <c r="AO1891" s="169"/>
      <c r="AP1891" s="169"/>
      <c r="AQ1891" s="169"/>
      <c r="AR1891" s="169"/>
      <c r="AS1891" s="169"/>
      <c r="AT1891" s="169"/>
    </row>
    <row r="1892" spans="10:46">
      <c r="J1892" s="64"/>
      <c r="K1892" s="64"/>
      <c r="L1892" s="64"/>
      <c r="M1892" s="64"/>
      <c r="N1892" s="64"/>
      <c r="O1892" s="64"/>
      <c r="P1892" s="64"/>
      <c r="Q1892" s="64"/>
      <c r="R1892" s="64"/>
      <c r="S1892" s="64"/>
      <c r="T1892" s="64"/>
      <c r="U1892" s="64"/>
      <c r="V1892" s="64"/>
      <c r="W1892" s="64"/>
      <c r="X1892" s="64"/>
      <c r="Y1892" s="64"/>
      <c r="Z1892" s="64"/>
      <c r="AA1892" s="64"/>
      <c r="AB1892" s="64"/>
      <c r="AC1892" s="64"/>
      <c r="AD1892" s="64"/>
      <c r="AE1892" s="64"/>
      <c r="AF1892" s="64"/>
      <c r="AG1892" s="64"/>
      <c r="AH1892" s="64"/>
      <c r="AI1892" s="64"/>
      <c r="AJ1892" s="64"/>
      <c r="AK1892" s="64"/>
      <c r="AL1892" s="64"/>
      <c r="AM1892" s="169"/>
      <c r="AN1892" s="169"/>
      <c r="AO1892" s="169"/>
      <c r="AP1892" s="169"/>
      <c r="AQ1892" s="169"/>
      <c r="AR1892" s="169"/>
      <c r="AS1892" s="169"/>
      <c r="AT1892" s="169"/>
    </row>
    <row r="1893" spans="10:46">
      <c r="J1893" s="64"/>
      <c r="K1893" s="64"/>
      <c r="L1893" s="64"/>
      <c r="M1893" s="64"/>
      <c r="N1893" s="64"/>
      <c r="O1893" s="64"/>
      <c r="P1893" s="64"/>
      <c r="Q1893" s="64"/>
      <c r="R1893" s="64"/>
      <c r="S1893" s="64"/>
      <c r="T1893" s="64"/>
      <c r="U1893" s="64"/>
      <c r="V1893" s="64"/>
      <c r="W1893" s="64"/>
      <c r="X1893" s="64"/>
      <c r="Y1893" s="64"/>
      <c r="Z1893" s="64"/>
      <c r="AA1893" s="64"/>
      <c r="AB1893" s="64"/>
      <c r="AC1893" s="64"/>
      <c r="AD1893" s="64"/>
      <c r="AE1893" s="64"/>
      <c r="AF1893" s="64"/>
      <c r="AG1893" s="64"/>
      <c r="AH1893" s="64"/>
      <c r="AI1893" s="64"/>
      <c r="AJ1893" s="64"/>
      <c r="AK1893" s="64"/>
      <c r="AL1893" s="64"/>
      <c r="AM1893" s="169"/>
      <c r="AN1893" s="169"/>
      <c r="AO1893" s="169"/>
      <c r="AP1893" s="169"/>
      <c r="AQ1893" s="169"/>
      <c r="AR1893" s="169"/>
      <c r="AS1893" s="169"/>
      <c r="AT1893" s="169"/>
    </row>
    <row r="1894" spans="10:46">
      <c r="J1894" s="64"/>
      <c r="K1894" s="64"/>
      <c r="L1894" s="64"/>
      <c r="M1894" s="64"/>
      <c r="N1894" s="64"/>
      <c r="O1894" s="64"/>
      <c r="P1894" s="64"/>
      <c r="Q1894" s="64"/>
      <c r="R1894" s="64"/>
      <c r="S1894" s="64"/>
      <c r="T1894" s="64"/>
      <c r="U1894" s="64"/>
      <c r="V1894" s="64"/>
      <c r="W1894" s="64"/>
      <c r="X1894" s="64"/>
      <c r="Y1894" s="64"/>
      <c r="Z1894" s="64"/>
      <c r="AA1894" s="64"/>
      <c r="AB1894" s="64"/>
      <c r="AC1894" s="64"/>
      <c r="AD1894" s="64"/>
      <c r="AE1894" s="64"/>
      <c r="AF1894" s="64"/>
      <c r="AG1894" s="64"/>
      <c r="AH1894" s="64"/>
      <c r="AI1894" s="64"/>
      <c r="AJ1894" s="64"/>
      <c r="AK1894" s="64"/>
      <c r="AL1894" s="64"/>
      <c r="AM1894" s="169"/>
      <c r="AN1894" s="169"/>
      <c r="AO1894" s="169"/>
      <c r="AP1894" s="169"/>
      <c r="AQ1894" s="169"/>
      <c r="AR1894" s="169"/>
      <c r="AS1894" s="169"/>
      <c r="AT1894" s="169"/>
    </row>
    <row r="1895" spans="10:46">
      <c r="J1895" s="64"/>
      <c r="K1895" s="64"/>
      <c r="L1895" s="64"/>
      <c r="M1895" s="64"/>
      <c r="N1895" s="64"/>
      <c r="O1895" s="64"/>
      <c r="P1895" s="64"/>
      <c r="Q1895" s="64"/>
      <c r="R1895" s="64"/>
      <c r="S1895" s="64"/>
      <c r="T1895" s="64"/>
      <c r="U1895" s="64"/>
      <c r="V1895" s="64"/>
      <c r="W1895" s="64"/>
      <c r="X1895" s="64"/>
      <c r="Y1895" s="64"/>
      <c r="Z1895" s="64"/>
      <c r="AA1895" s="64"/>
      <c r="AB1895" s="64"/>
      <c r="AC1895" s="64"/>
      <c r="AD1895" s="64"/>
      <c r="AE1895" s="64"/>
      <c r="AF1895" s="64"/>
      <c r="AG1895" s="64"/>
      <c r="AH1895" s="64"/>
      <c r="AI1895" s="64"/>
      <c r="AJ1895" s="64"/>
      <c r="AK1895" s="64"/>
      <c r="AL1895" s="64"/>
      <c r="AM1895" s="169"/>
      <c r="AN1895" s="169"/>
      <c r="AO1895" s="169"/>
      <c r="AP1895" s="169"/>
      <c r="AQ1895" s="169"/>
      <c r="AR1895" s="169"/>
      <c r="AS1895" s="169"/>
      <c r="AT1895" s="169"/>
    </row>
    <row r="1896" spans="10:46">
      <c r="J1896" s="64"/>
      <c r="K1896" s="64"/>
      <c r="L1896" s="64"/>
      <c r="M1896" s="64"/>
      <c r="N1896" s="64"/>
      <c r="O1896" s="64"/>
      <c r="P1896" s="64"/>
      <c r="Q1896" s="64"/>
      <c r="R1896" s="64"/>
      <c r="S1896" s="64"/>
      <c r="T1896" s="64"/>
      <c r="U1896" s="64"/>
      <c r="V1896" s="64"/>
      <c r="W1896" s="64"/>
      <c r="X1896" s="64"/>
      <c r="Y1896" s="64"/>
      <c r="Z1896" s="64"/>
      <c r="AA1896" s="64"/>
      <c r="AB1896" s="64"/>
      <c r="AC1896" s="64"/>
      <c r="AD1896" s="64"/>
      <c r="AE1896" s="64"/>
      <c r="AF1896" s="64"/>
      <c r="AG1896" s="64"/>
      <c r="AH1896" s="64"/>
      <c r="AI1896" s="64"/>
      <c r="AJ1896" s="64"/>
      <c r="AK1896" s="64"/>
      <c r="AL1896" s="64"/>
      <c r="AM1896" s="169"/>
      <c r="AN1896" s="169"/>
      <c r="AO1896" s="169"/>
      <c r="AP1896" s="169"/>
      <c r="AQ1896" s="169"/>
      <c r="AR1896" s="169"/>
      <c r="AS1896" s="169"/>
      <c r="AT1896" s="169"/>
    </row>
    <row r="1897" spans="10:46">
      <c r="J1897" s="64"/>
      <c r="K1897" s="64"/>
      <c r="L1897" s="64"/>
      <c r="M1897" s="64"/>
      <c r="N1897" s="64"/>
      <c r="O1897" s="64"/>
      <c r="P1897" s="64"/>
      <c r="Q1897" s="64"/>
      <c r="R1897" s="64"/>
      <c r="S1897" s="64"/>
      <c r="T1897" s="64"/>
      <c r="U1897" s="64"/>
      <c r="V1897" s="64"/>
      <c r="W1897" s="64"/>
      <c r="X1897" s="64"/>
      <c r="Y1897" s="64"/>
      <c r="Z1897" s="64"/>
      <c r="AA1897" s="64"/>
      <c r="AB1897" s="64"/>
      <c r="AC1897" s="64"/>
      <c r="AD1897" s="64"/>
      <c r="AE1897" s="64"/>
      <c r="AF1897" s="64"/>
      <c r="AG1897" s="64"/>
      <c r="AH1897" s="64"/>
      <c r="AI1897" s="64"/>
      <c r="AJ1897" s="64"/>
      <c r="AK1897" s="64"/>
      <c r="AL1897" s="64"/>
      <c r="AM1897" s="169"/>
      <c r="AN1897" s="169"/>
      <c r="AO1897" s="169"/>
      <c r="AP1897" s="169"/>
      <c r="AQ1897" s="169"/>
      <c r="AR1897" s="169"/>
      <c r="AS1897" s="169"/>
      <c r="AT1897" s="169"/>
    </row>
    <row r="1898" spans="10:46">
      <c r="J1898" s="64"/>
      <c r="K1898" s="64"/>
      <c r="L1898" s="64"/>
      <c r="M1898" s="64"/>
      <c r="N1898" s="64"/>
      <c r="O1898" s="64"/>
      <c r="P1898" s="64"/>
      <c r="Q1898" s="64"/>
      <c r="R1898" s="64"/>
      <c r="S1898" s="64"/>
      <c r="T1898" s="64"/>
      <c r="U1898" s="64"/>
      <c r="V1898" s="64"/>
      <c r="W1898" s="64"/>
      <c r="X1898" s="64"/>
      <c r="Y1898" s="64"/>
      <c r="Z1898" s="64"/>
      <c r="AA1898" s="64"/>
      <c r="AB1898" s="64"/>
      <c r="AC1898" s="64"/>
      <c r="AD1898" s="64"/>
      <c r="AE1898" s="64"/>
      <c r="AF1898" s="64"/>
      <c r="AG1898" s="64"/>
      <c r="AH1898" s="64"/>
      <c r="AI1898" s="64"/>
      <c r="AJ1898" s="64"/>
      <c r="AK1898" s="64"/>
      <c r="AL1898" s="64"/>
      <c r="AM1898" s="169"/>
      <c r="AN1898" s="169"/>
      <c r="AO1898" s="169"/>
      <c r="AP1898" s="169"/>
      <c r="AQ1898" s="169"/>
      <c r="AR1898" s="169"/>
      <c r="AS1898" s="169"/>
      <c r="AT1898" s="169"/>
    </row>
    <row r="1899" spans="10:46">
      <c r="J1899" s="64"/>
      <c r="K1899" s="64"/>
      <c r="L1899" s="64"/>
      <c r="M1899" s="64"/>
      <c r="N1899" s="64"/>
      <c r="O1899" s="64"/>
      <c r="P1899" s="64"/>
      <c r="Q1899" s="64"/>
      <c r="R1899" s="64"/>
      <c r="S1899" s="64"/>
      <c r="T1899" s="64"/>
      <c r="U1899" s="64"/>
      <c r="V1899" s="64"/>
      <c r="W1899" s="64"/>
      <c r="X1899" s="64"/>
      <c r="Y1899" s="64"/>
      <c r="Z1899" s="64"/>
      <c r="AA1899" s="64"/>
      <c r="AB1899" s="64"/>
      <c r="AC1899" s="64"/>
      <c r="AD1899" s="64"/>
      <c r="AE1899" s="64"/>
      <c r="AF1899" s="64"/>
      <c r="AG1899" s="64"/>
      <c r="AH1899" s="64"/>
      <c r="AI1899" s="64"/>
      <c r="AJ1899" s="64"/>
      <c r="AK1899" s="64"/>
      <c r="AL1899" s="64"/>
      <c r="AM1899" s="169"/>
      <c r="AN1899" s="169"/>
      <c r="AO1899" s="169"/>
      <c r="AP1899" s="169"/>
      <c r="AQ1899" s="169"/>
      <c r="AR1899" s="169"/>
      <c r="AS1899" s="169"/>
      <c r="AT1899" s="169"/>
    </row>
    <row r="1900" spans="10:46">
      <c r="J1900" s="64"/>
      <c r="K1900" s="64"/>
      <c r="L1900" s="64"/>
      <c r="M1900" s="64"/>
      <c r="N1900" s="64"/>
      <c r="O1900" s="64"/>
      <c r="P1900" s="64"/>
      <c r="Q1900" s="64"/>
      <c r="R1900" s="64"/>
      <c r="S1900" s="64"/>
      <c r="T1900" s="64"/>
      <c r="U1900" s="64"/>
      <c r="V1900" s="64"/>
      <c r="W1900" s="64"/>
      <c r="X1900" s="64"/>
      <c r="Y1900" s="64"/>
      <c r="Z1900" s="64"/>
      <c r="AA1900" s="64"/>
      <c r="AB1900" s="64"/>
      <c r="AC1900" s="64"/>
      <c r="AD1900" s="64"/>
      <c r="AE1900" s="64"/>
      <c r="AF1900" s="64"/>
      <c r="AG1900" s="64"/>
      <c r="AH1900" s="64"/>
      <c r="AI1900" s="64"/>
      <c r="AJ1900" s="64"/>
      <c r="AK1900" s="64"/>
      <c r="AL1900" s="64"/>
      <c r="AM1900" s="169"/>
      <c r="AN1900" s="169"/>
      <c r="AO1900" s="169"/>
      <c r="AP1900" s="169"/>
      <c r="AQ1900" s="169"/>
      <c r="AR1900" s="169"/>
      <c r="AS1900" s="169"/>
      <c r="AT1900" s="169"/>
    </row>
    <row r="1901" spans="10:46">
      <c r="J1901" s="64"/>
      <c r="K1901" s="64"/>
      <c r="L1901" s="64"/>
      <c r="M1901" s="64"/>
      <c r="N1901" s="64"/>
      <c r="O1901" s="64"/>
      <c r="P1901" s="64"/>
      <c r="Q1901" s="64"/>
      <c r="R1901" s="64"/>
      <c r="S1901" s="64"/>
      <c r="T1901" s="64"/>
      <c r="U1901" s="64"/>
      <c r="V1901" s="64"/>
      <c r="W1901" s="64"/>
      <c r="X1901" s="64"/>
      <c r="Y1901" s="64"/>
      <c r="Z1901" s="64"/>
      <c r="AA1901" s="64"/>
      <c r="AB1901" s="64"/>
      <c r="AC1901" s="64"/>
      <c r="AD1901" s="64"/>
      <c r="AE1901" s="64"/>
      <c r="AF1901" s="64"/>
      <c r="AG1901" s="64"/>
      <c r="AH1901" s="64"/>
      <c r="AI1901" s="64"/>
      <c r="AJ1901" s="64"/>
      <c r="AK1901" s="64"/>
      <c r="AL1901" s="64"/>
      <c r="AM1901" s="169"/>
      <c r="AN1901" s="169"/>
      <c r="AO1901" s="169"/>
      <c r="AP1901" s="169"/>
      <c r="AQ1901" s="169"/>
      <c r="AR1901" s="169"/>
      <c r="AS1901" s="169"/>
      <c r="AT1901" s="169"/>
    </row>
    <row r="1902" spans="10:46">
      <c r="J1902" s="64"/>
      <c r="K1902" s="64"/>
      <c r="L1902" s="64"/>
      <c r="M1902" s="64"/>
      <c r="N1902" s="64"/>
      <c r="O1902" s="64"/>
      <c r="P1902" s="64"/>
      <c r="Q1902" s="64"/>
      <c r="R1902" s="64"/>
      <c r="S1902" s="64"/>
      <c r="T1902" s="64"/>
      <c r="U1902" s="64"/>
      <c r="V1902" s="64"/>
      <c r="W1902" s="64"/>
      <c r="X1902" s="64"/>
      <c r="Y1902" s="64"/>
      <c r="Z1902" s="64"/>
      <c r="AA1902" s="64"/>
      <c r="AB1902" s="64"/>
      <c r="AC1902" s="64"/>
      <c r="AD1902" s="64"/>
      <c r="AE1902" s="64"/>
      <c r="AF1902" s="64"/>
      <c r="AG1902" s="64"/>
      <c r="AH1902" s="64"/>
      <c r="AI1902" s="64"/>
      <c r="AJ1902" s="64"/>
      <c r="AK1902" s="64"/>
      <c r="AL1902" s="64"/>
      <c r="AM1902" s="169"/>
      <c r="AN1902" s="169"/>
      <c r="AO1902" s="169"/>
      <c r="AP1902" s="169"/>
      <c r="AQ1902" s="169"/>
      <c r="AR1902" s="169"/>
      <c r="AS1902" s="169"/>
      <c r="AT1902" s="169"/>
    </row>
    <row r="1903" spans="10:46">
      <c r="J1903" s="64"/>
      <c r="K1903" s="64"/>
      <c r="L1903" s="64"/>
      <c r="M1903" s="64"/>
      <c r="N1903" s="64"/>
      <c r="O1903" s="64"/>
      <c r="P1903" s="64"/>
      <c r="Q1903" s="64"/>
      <c r="R1903" s="64"/>
      <c r="S1903" s="64"/>
      <c r="T1903" s="64"/>
      <c r="U1903" s="64"/>
      <c r="V1903" s="64"/>
      <c r="W1903" s="64"/>
      <c r="X1903" s="64"/>
      <c r="Y1903" s="64"/>
      <c r="Z1903" s="64"/>
      <c r="AA1903" s="64"/>
      <c r="AB1903" s="64"/>
      <c r="AC1903" s="64"/>
      <c r="AD1903" s="64"/>
      <c r="AE1903" s="64"/>
      <c r="AF1903" s="64"/>
      <c r="AG1903" s="64"/>
      <c r="AH1903" s="64"/>
      <c r="AI1903" s="64"/>
      <c r="AJ1903" s="64"/>
      <c r="AK1903" s="64"/>
      <c r="AL1903" s="64"/>
      <c r="AM1903" s="169"/>
      <c r="AN1903" s="169"/>
      <c r="AO1903" s="169"/>
      <c r="AP1903" s="169"/>
      <c r="AQ1903" s="169"/>
      <c r="AR1903" s="169"/>
      <c r="AS1903" s="169"/>
      <c r="AT1903" s="169"/>
    </row>
    <row r="1904" spans="10:46">
      <c r="J1904" s="64"/>
      <c r="K1904" s="64"/>
      <c r="L1904" s="64"/>
      <c r="M1904" s="64"/>
      <c r="N1904" s="64"/>
      <c r="O1904" s="64"/>
      <c r="P1904" s="64"/>
      <c r="Q1904" s="64"/>
      <c r="R1904" s="64"/>
      <c r="S1904" s="64"/>
      <c r="T1904" s="64"/>
      <c r="U1904" s="64"/>
      <c r="V1904" s="64"/>
      <c r="W1904" s="64"/>
      <c r="X1904" s="64"/>
      <c r="Y1904" s="64"/>
      <c r="Z1904" s="64"/>
      <c r="AA1904" s="64"/>
      <c r="AB1904" s="64"/>
      <c r="AC1904" s="64"/>
      <c r="AD1904" s="64"/>
      <c r="AE1904" s="64"/>
      <c r="AF1904" s="64"/>
      <c r="AG1904" s="64"/>
      <c r="AH1904" s="64"/>
      <c r="AI1904" s="64"/>
      <c r="AJ1904" s="64"/>
      <c r="AK1904" s="64"/>
      <c r="AL1904" s="64"/>
      <c r="AM1904" s="169"/>
      <c r="AN1904" s="169"/>
      <c r="AO1904" s="169"/>
      <c r="AP1904" s="169"/>
      <c r="AQ1904" s="169"/>
      <c r="AR1904" s="169"/>
      <c r="AS1904" s="169"/>
      <c r="AT1904" s="169"/>
    </row>
    <row r="1905" spans="10:46">
      <c r="J1905" s="64"/>
      <c r="K1905" s="64"/>
      <c r="L1905" s="64"/>
      <c r="M1905" s="64"/>
      <c r="N1905" s="64"/>
      <c r="O1905" s="64"/>
      <c r="P1905" s="64"/>
      <c r="Q1905" s="64"/>
      <c r="R1905" s="64"/>
      <c r="S1905" s="64"/>
      <c r="T1905" s="64"/>
      <c r="U1905" s="64"/>
      <c r="V1905" s="64"/>
      <c r="W1905" s="64"/>
      <c r="X1905" s="64"/>
      <c r="Y1905" s="64"/>
      <c r="Z1905" s="64"/>
      <c r="AA1905" s="64"/>
      <c r="AB1905" s="64"/>
      <c r="AC1905" s="64"/>
      <c r="AD1905" s="64"/>
      <c r="AE1905" s="64"/>
      <c r="AF1905" s="64"/>
      <c r="AG1905" s="64"/>
      <c r="AH1905" s="64"/>
      <c r="AI1905" s="64"/>
      <c r="AJ1905" s="64"/>
      <c r="AK1905" s="64"/>
      <c r="AL1905" s="64"/>
      <c r="AM1905" s="169"/>
      <c r="AN1905" s="169"/>
      <c r="AO1905" s="169"/>
      <c r="AP1905" s="169"/>
      <c r="AQ1905" s="169"/>
      <c r="AR1905" s="169"/>
      <c r="AS1905" s="169"/>
      <c r="AT1905" s="169"/>
    </row>
    <row r="1906" spans="10:46">
      <c r="J1906" s="64"/>
      <c r="K1906" s="64"/>
      <c r="L1906" s="64"/>
      <c r="M1906" s="64"/>
      <c r="N1906" s="64"/>
      <c r="O1906" s="64"/>
      <c r="P1906" s="64"/>
      <c r="Q1906" s="64"/>
      <c r="R1906" s="64"/>
      <c r="S1906" s="64"/>
      <c r="T1906" s="64"/>
      <c r="U1906" s="64"/>
      <c r="V1906" s="64"/>
      <c r="W1906" s="64"/>
      <c r="X1906" s="64"/>
      <c r="Y1906" s="64"/>
      <c r="Z1906" s="64"/>
      <c r="AA1906" s="64"/>
      <c r="AB1906" s="64"/>
      <c r="AC1906" s="64"/>
      <c r="AD1906" s="64"/>
      <c r="AE1906" s="64"/>
      <c r="AF1906" s="64"/>
      <c r="AG1906" s="64"/>
      <c r="AH1906" s="64"/>
      <c r="AI1906" s="64"/>
      <c r="AJ1906" s="64"/>
      <c r="AK1906" s="64"/>
      <c r="AL1906" s="64"/>
      <c r="AM1906" s="169"/>
      <c r="AN1906" s="169"/>
      <c r="AO1906" s="169"/>
      <c r="AP1906" s="169"/>
      <c r="AQ1906" s="169"/>
      <c r="AR1906" s="169"/>
      <c r="AS1906" s="169"/>
      <c r="AT1906" s="169"/>
    </row>
    <row r="1907" spans="10:46">
      <c r="J1907" s="64"/>
      <c r="K1907" s="64"/>
      <c r="L1907" s="64"/>
      <c r="M1907" s="64"/>
      <c r="N1907" s="64"/>
      <c r="O1907" s="64"/>
      <c r="P1907" s="64"/>
      <c r="Q1907" s="64"/>
      <c r="R1907" s="64"/>
      <c r="S1907" s="64"/>
      <c r="T1907" s="64"/>
      <c r="U1907" s="64"/>
      <c r="V1907" s="64"/>
      <c r="W1907" s="64"/>
      <c r="X1907" s="64"/>
      <c r="Y1907" s="64"/>
      <c r="Z1907" s="64"/>
      <c r="AA1907" s="64"/>
      <c r="AB1907" s="64"/>
      <c r="AC1907" s="64"/>
      <c r="AD1907" s="64"/>
      <c r="AE1907" s="64"/>
      <c r="AF1907" s="64"/>
      <c r="AG1907" s="64"/>
      <c r="AH1907" s="64"/>
      <c r="AI1907" s="64"/>
      <c r="AJ1907" s="64"/>
      <c r="AK1907" s="64"/>
      <c r="AL1907" s="64"/>
      <c r="AM1907" s="169"/>
      <c r="AN1907" s="169"/>
      <c r="AO1907" s="169"/>
      <c r="AP1907" s="169"/>
      <c r="AQ1907" s="169"/>
      <c r="AR1907" s="169"/>
      <c r="AS1907" s="169"/>
      <c r="AT1907" s="169"/>
    </row>
    <row r="1908" spans="10:46">
      <c r="J1908" s="64"/>
      <c r="K1908" s="64"/>
      <c r="L1908" s="64"/>
      <c r="M1908" s="64"/>
      <c r="N1908" s="64"/>
      <c r="O1908" s="64"/>
      <c r="P1908" s="64"/>
      <c r="Q1908" s="64"/>
      <c r="R1908" s="64"/>
      <c r="S1908" s="64"/>
      <c r="T1908" s="64"/>
      <c r="U1908" s="64"/>
      <c r="V1908" s="64"/>
      <c r="W1908" s="64"/>
      <c r="X1908" s="64"/>
      <c r="Y1908" s="64"/>
      <c r="Z1908" s="64"/>
      <c r="AA1908" s="64"/>
      <c r="AB1908" s="64"/>
      <c r="AC1908" s="64"/>
      <c r="AD1908" s="64"/>
      <c r="AE1908" s="64"/>
      <c r="AF1908" s="64"/>
      <c r="AG1908" s="64"/>
      <c r="AH1908" s="64"/>
      <c r="AI1908" s="64"/>
      <c r="AJ1908" s="64"/>
      <c r="AK1908" s="64"/>
      <c r="AL1908" s="64"/>
      <c r="AM1908" s="169"/>
      <c r="AN1908" s="169"/>
      <c r="AO1908" s="169"/>
      <c r="AP1908" s="169"/>
      <c r="AQ1908" s="169"/>
      <c r="AR1908" s="169"/>
      <c r="AS1908" s="169"/>
      <c r="AT1908" s="169"/>
    </row>
    <row r="1909" spans="10:46">
      <c r="J1909" s="64"/>
      <c r="K1909" s="64"/>
      <c r="L1909" s="64"/>
      <c r="M1909" s="64"/>
      <c r="N1909" s="64"/>
      <c r="O1909" s="64"/>
      <c r="P1909" s="64"/>
      <c r="Q1909" s="64"/>
      <c r="R1909" s="64"/>
      <c r="S1909" s="64"/>
      <c r="T1909" s="64"/>
      <c r="U1909" s="64"/>
      <c r="V1909" s="64"/>
      <c r="W1909" s="64"/>
      <c r="X1909" s="64"/>
      <c r="Y1909" s="64"/>
      <c r="Z1909" s="64"/>
      <c r="AA1909" s="64"/>
      <c r="AB1909" s="64"/>
      <c r="AC1909" s="64"/>
      <c r="AD1909" s="64"/>
      <c r="AE1909" s="64"/>
      <c r="AF1909" s="64"/>
      <c r="AG1909" s="64"/>
      <c r="AH1909" s="64"/>
      <c r="AI1909" s="64"/>
      <c r="AJ1909" s="64"/>
      <c r="AK1909" s="64"/>
      <c r="AL1909" s="64"/>
      <c r="AM1909" s="169"/>
      <c r="AN1909" s="169"/>
      <c r="AO1909" s="169"/>
      <c r="AP1909" s="169"/>
      <c r="AQ1909" s="169"/>
      <c r="AR1909" s="169"/>
      <c r="AS1909" s="169"/>
      <c r="AT1909" s="169"/>
    </row>
    <row r="1910" spans="10:46">
      <c r="J1910" s="64"/>
      <c r="K1910" s="64"/>
      <c r="L1910" s="64"/>
      <c r="M1910" s="64"/>
      <c r="N1910" s="64"/>
      <c r="O1910" s="64"/>
      <c r="P1910" s="64"/>
      <c r="Q1910" s="64"/>
      <c r="R1910" s="64"/>
      <c r="S1910" s="64"/>
      <c r="T1910" s="64"/>
      <c r="U1910" s="64"/>
      <c r="V1910" s="64"/>
      <c r="W1910" s="64"/>
      <c r="X1910" s="64"/>
      <c r="Y1910" s="64"/>
      <c r="Z1910" s="64"/>
      <c r="AA1910" s="64"/>
      <c r="AB1910" s="64"/>
      <c r="AC1910" s="64"/>
      <c r="AD1910" s="64"/>
      <c r="AE1910" s="64"/>
      <c r="AF1910" s="64"/>
      <c r="AG1910" s="64"/>
      <c r="AH1910" s="64"/>
      <c r="AI1910" s="64"/>
      <c r="AJ1910" s="64"/>
      <c r="AK1910" s="64"/>
      <c r="AL1910" s="64"/>
      <c r="AM1910" s="169"/>
      <c r="AN1910" s="169"/>
      <c r="AO1910" s="169"/>
      <c r="AP1910" s="169"/>
      <c r="AQ1910" s="169"/>
      <c r="AR1910" s="169"/>
      <c r="AS1910" s="169"/>
      <c r="AT1910" s="169"/>
    </row>
    <row r="1911" spans="10:46">
      <c r="J1911" s="64"/>
      <c r="K1911" s="64"/>
      <c r="L1911" s="64"/>
      <c r="M1911" s="64"/>
      <c r="N1911" s="64"/>
      <c r="O1911" s="64"/>
      <c r="P1911" s="64"/>
      <c r="Q1911" s="64"/>
      <c r="R1911" s="64"/>
      <c r="S1911" s="64"/>
      <c r="T1911" s="64"/>
      <c r="U1911" s="64"/>
      <c r="V1911" s="64"/>
      <c r="W1911" s="64"/>
      <c r="X1911" s="64"/>
      <c r="Y1911" s="64"/>
      <c r="Z1911" s="64"/>
      <c r="AA1911" s="64"/>
      <c r="AB1911" s="64"/>
      <c r="AC1911" s="64"/>
      <c r="AD1911" s="64"/>
      <c r="AE1911" s="64"/>
      <c r="AF1911" s="64"/>
      <c r="AG1911" s="64"/>
      <c r="AH1911" s="64"/>
      <c r="AI1911" s="64"/>
      <c r="AJ1911" s="64"/>
      <c r="AK1911" s="64"/>
      <c r="AL1911" s="64"/>
      <c r="AM1911" s="169"/>
      <c r="AN1911" s="169"/>
      <c r="AO1911" s="169"/>
      <c r="AP1911" s="169"/>
      <c r="AQ1911" s="169"/>
      <c r="AR1911" s="169"/>
      <c r="AS1911" s="169"/>
      <c r="AT1911" s="169"/>
    </row>
  </sheetData>
  <mergeCells count="102">
    <mergeCell ref="AN330:AO330"/>
    <mergeCell ref="C332:G332"/>
    <mergeCell ref="A3:A28"/>
    <mergeCell ref="A29:A56"/>
    <mergeCell ref="A57:A85"/>
    <mergeCell ref="A86:A103"/>
    <mergeCell ref="A104:A121"/>
    <mergeCell ref="A122:A139"/>
    <mergeCell ref="A140:A154"/>
    <mergeCell ref="A155:A188"/>
    <mergeCell ref="A189:A216"/>
    <mergeCell ref="A217:A261"/>
    <mergeCell ref="A262:A310"/>
    <mergeCell ref="B3:B28"/>
    <mergeCell ref="B29:B56"/>
    <mergeCell ref="B57:B85"/>
    <mergeCell ref="B86:B103"/>
    <mergeCell ref="B104:B121"/>
    <mergeCell ref="B122:B139"/>
    <mergeCell ref="B140:B154"/>
    <mergeCell ref="B155:B188"/>
    <mergeCell ref="B189:B216"/>
    <mergeCell ref="B217:B261"/>
    <mergeCell ref="B262:B310"/>
    <mergeCell ref="C217:C261"/>
    <mergeCell ref="C262:C310"/>
    <mergeCell ref="D3:D28"/>
    <mergeCell ref="D29:D56"/>
    <mergeCell ref="D57:D85"/>
    <mergeCell ref="D86:D103"/>
    <mergeCell ref="D104:D121"/>
    <mergeCell ref="D122:D139"/>
    <mergeCell ref="D140:D154"/>
    <mergeCell ref="D217:D261"/>
    <mergeCell ref="D262:D310"/>
    <mergeCell ref="C3:C28"/>
    <mergeCell ref="C29:C56"/>
    <mergeCell ref="C57:C85"/>
    <mergeCell ref="C86:C103"/>
    <mergeCell ref="C104:C121"/>
    <mergeCell ref="C122:C139"/>
    <mergeCell ref="C140:C154"/>
    <mergeCell ref="C155:C188"/>
    <mergeCell ref="C189:C216"/>
    <mergeCell ref="E3:E28"/>
    <mergeCell ref="E57:E85"/>
    <mergeCell ref="E86:E103"/>
    <mergeCell ref="E104:E121"/>
    <mergeCell ref="E122:E139"/>
    <mergeCell ref="E155:E188"/>
    <mergeCell ref="E189:E216"/>
    <mergeCell ref="E217:E261"/>
    <mergeCell ref="E262:E310"/>
    <mergeCell ref="F217:F261"/>
    <mergeCell ref="F262:F310"/>
    <mergeCell ref="AN3:AN9"/>
    <mergeCell ref="AN29:AN30"/>
    <mergeCell ref="AN57:AN58"/>
    <mergeCell ref="AO3:AO9"/>
    <mergeCell ref="AO29:AO30"/>
    <mergeCell ref="AO57:AO58"/>
    <mergeCell ref="AQ15:AQ28"/>
    <mergeCell ref="AQ49:AQ56"/>
    <mergeCell ref="AQ59:AQ79"/>
    <mergeCell ref="AQ185:AQ188"/>
    <mergeCell ref="AQ213:AQ216"/>
    <mergeCell ref="AQ237:AQ238"/>
    <mergeCell ref="AQ240:AQ261"/>
    <mergeCell ref="F3:F28"/>
    <mergeCell ref="F29:F56"/>
    <mergeCell ref="F57:F85"/>
    <mergeCell ref="F86:F103"/>
    <mergeCell ref="F104:F121"/>
    <mergeCell ref="F122:F139"/>
    <mergeCell ref="F140:F154"/>
    <mergeCell ref="F155:F188"/>
    <mergeCell ref="F189:F216"/>
    <mergeCell ref="AR232:AR238"/>
    <mergeCell ref="AS232:AS238"/>
    <mergeCell ref="AT3:AT28"/>
    <mergeCell ref="AT29:AT56"/>
    <mergeCell ref="AT57:AT79"/>
    <mergeCell ref="AT155:AT188"/>
    <mergeCell ref="AT189:AT216"/>
    <mergeCell ref="AT217:AT261"/>
    <mergeCell ref="AU155:AU188"/>
    <mergeCell ref="AU189:AU216"/>
    <mergeCell ref="AU217:AU261"/>
    <mergeCell ref="AW155:AW188"/>
    <mergeCell ref="AW189:AW216"/>
    <mergeCell ref="AW217:AW261"/>
    <mergeCell ref="AV57:AV79"/>
    <mergeCell ref="AV86:AV91"/>
    <mergeCell ref="AV104:AV108"/>
    <mergeCell ref="AV122:AV139"/>
    <mergeCell ref="AV140:AV154"/>
    <mergeCell ref="AW3:AW28"/>
    <mergeCell ref="AW29:AW56"/>
    <mergeCell ref="AW57:AW79"/>
    <mergeCell ref="AW86:AW108"/>
    <mergeCell ref="AW122:AW139"/>
    <mergeCell ref="AW140:AW154"/>
  </mergeCells>
  <pageMargins left="0.39370078740157499" right="0.39370078740157499" top="0.39370078740157499" bottom="0.39370078740157499" header="0.31496062992126" footer="0.31496062992126"/>
  <pageSetup paperSize="9" scale="34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topLeftCell="A13" workbookViewId="0">
      <selection activeCell="G18" sqref="G18"/>
    </sheetView>
  </sheetViews>
  <sheetFormatPr defaultColWidth="9.140625" defaultRowHeight="15"/>
  <cols>
    <col min="1" max="1" width="13.7109375" style="2" customWidth="1"/>
    <col min="2" max="2" width="18.140625" style="2" customWidth="1"/>
    <col min="3" max="3" width="12" style="3" customWidth="1"/>
    <col min="4" max="4" width="19.28515625" style="3" customWidth="1"/>
    <col min="5" max="5" width="22.42578125" style="2" customWidth="1"/>
    <col min="6" max="7" width="11.7109375" style="3" customWidth="1"/>
    <col min="8" max="8" width="13.42578125" style="3" customWidth="1"/>
    <col min="9" max="16" width="11.7109375" style="3" customWidth="1"/>
    <col min="17" max="16384" width="9.140625" style="2"/>
  </cols>
  <sheetData>
    <row r="1" spans="1:16" s="1" customFormat="1" ht="51">
      <c r="A1" s="4" t="s">
        <v>1</v>
      </c>
      <c r="B1" s="4" t="s">
        <v>2</v>
      </c>
      <c r="C1" s="5" t="s">
        <v>3</v>
      </c>
      <c r="D1" s="6" t="s">
        <v>6</v>
      </c>
      <c r="E1" s="4" t="s">
        <v>7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153</v>
      </c>
    </row>
    <row r="2" spans="1:16">
      <c r="A2" s="562" t="s">
        <v>13</v>
      </c>
      <c r="B2" s="562" t="s">
        <v>10</v>
      </c>
      <c r="C2" s="541">
        <v>8000</v>
      </c>
      <c r="D2" s="553" t="s">
        <v>164</v>
      </c>
      <c r="E2" s="8" t="s">
        <v>18</v>
      </c>
      <c r="F2" s="9">
        <f>1.59*$C$2*4</f>
        <v>50880</v>
      </c>
      <c r="G2" s="537">
        <f>83.69+0.24</f>
        <v>83.93</v>
      </c>
      <c r="H2" s="540">
        <f>G2/72</f>
        <v>1.1656944444444399</v>
      </c>
      <c r="I2" s="10">
        <f>F2/1658/16</f>
        <v>1.91797346200241</v>
      </c>
      <c r="J2" s="10"/>
      <c r="K2" s="10"/>
      <c r="L2" s="10"/>
      <c r="M2" s="537">
        <v>0.5</v>
      </c>
      <c r="N2" s="29"/>
      <c r="O2" s="29"/>
      <c r="P2" s="537">
        <v>0.3</v>
      </c>
    </row>
    <row r="3" spans="1:16">
      <c r="A3" s="563"/>
      <c r="B3" s="563"/>
      <c r="C3" s="542"/>
      <c r="D3" s="542"/>
      <c r="E3" s="8" t="s">
        <v>21</v>
      </c>
      <c r="F3" s="9">
        <f>1.59*$C$2</f>
        <v>12720</v>
      </c>
      <c r="G3" s="539"/>
      <c r="H3" s="540"/>
      <c r="I3" s="10">
        <f>F3/765/16</f>
        <v>1.0392156862745101</v>
      </c>
      <c r="J3" s="10"/>
      <c r="K3" s="10"/>
      <c r="L3" s="10"/>
      <c r="M3" s="538"/>
      <c r="N3" s="29"/>
      <c r="O3" s="29"/>
      <c r="P3" s="538"/>
    </row>
    <row r="4" spans="1:16">
      <c r="A4" s="563"/>
      <c r="B4" s="563"/>
      <c r="C4" s="542"/>
      <c r="D4" s="542"/>
      <c r="E4" s="8" t="s">
        <v>23</v>
      </c>
      <c r="F4" s="9">
        <f>1.59*$C$2*2</f>
        <v>25440</v>
      </c>
      <c r="G4" s="11"/>
      <c r="H4" s="12"/>
      <c r="I4" s="12"/>
      <c r="J4" s="537">
        <v>0.25</v>
      </c>
      <c r="K4" s="16"/>
      <c r="L4" s="16"/>
      <c r="M4" s="538"/>
      <c r="N4" s="29"/>
      <c r="O4" s="29"/>
      <c r="P4" s="538"/>
    </row>
    <row r="5" spans="1:16">
      <c r="A5" s="563"/>
      <c r="B5" s="563"/>
      <c r="C5" s="542"/>
      <c r="D5" s="542"/>
      <c r="E5" s="8" t="s">
        <v>25</v>
      </c>
      <c r="F5" s="9">
        <f>1.59*$C$2*2</f>
        <v>25440</v>
      </c>
      <c r="G5" s="11"/>
      <c r="H5" s="12"/>
      <c r="I5" s="12"/>
      <c r="J5" s="538"/>
      <c r="K5" s="16"/>
      <c r="L5" s="16"/>
      <c r="M5" s="538"/>
      <c r="N5" s="29"/>
      <c r="O5" s="29"/>
      <c r="P5" s="538"/>
    </row>
    <row r="6" spans="1:16">
      <c r="A6" s="563"/>
      <c r="B6" s="563"/>
      <c r="C6" s="542"/>
      <c r="D6" s="543"/>
      <c r="E6" s="8" t="s">
        <v>28</v>
      </c>
      <c r="F6" s="9">
        <f>1.59*$C$2</f>
        <v>12720</v>
      </c>
      <c r="G6" s="11"/>
      <c r="H6" s="12"/>
      <c r="I6" s="12"/>
      <c r="J6" s="539"/>
      <c r="K6" s="16"/>
      <c r="L6" s="16"/>
      <c r="M6" s="539"/>
      <c r="N6" s="29"/>
      <c r="O6" s="29"/>
      <c r="P6" s="539"/>
    </row>
    <row r="7" spans="1:16">
      <c r="A7" s="564" t="s">
        <v>34</v>
      </c>
      <c r="B7" s="562" t="s">
        <v>35</v>
      </c>
      <c r="C7" s="560">
        <v>12000</v>
      </c>
      <c r="D7" s="553" t="s">
        <v>164</v>
      </c>
      <c r="E7" s="8" t="s">
        <v>36</v>
      </c>
      <c r="F7" s="9">
        <f>1.275*$C$7*2</f>
        <v>30600</v>
      </c>
      <c r="G7" s="537">
        <v>116.51</v>
      </c>
      <c r="H7" s="540">
        <f>G7/72</f>
        <v>1.61819444444444</v>
      </c>
      <c r="I7" s="10">
        <f>F7/4039/16</f>
        <v>0.47350829413221102</v>
      </c>
      <c r="J7" s="10"/>
      <c r="K7" s="10"/>
      <c r="L7" s="10"/>
      <c r="M7" s="537">
        <v>1</v>
      </c>
      <c r="N7" s="29"/>
      <c r="O7" s="29"/>
      <c r="P7" s="537">
        <v>0.5</v>
      </c>
    </row>
    <row r="8" spans="1:16">
      <c r="A8" s="564"/>
      <c r="B8" s="563"/>
      <c r="C8" s="560"/>
      <c r="D8" s="542"/>
      <c r="E8" s="8" t="s">
        <v>37</v>
      </c>
      <c r="F8" s="9">
        <f>1.275*$C$7*2</f>
        <v>30600</v>
      </c>
      <c r="G8" s="539"/>
      <c r="H8" s="540"/>
      <c r="I8" s="10">
        <f>F8/765/16</f>
        <v>2.5</v>
      </c>
      <c r="J8" s="10"/>
      <c r="K8" s="10"/>
      <c r="L8" s="10"/>
      <c r="M8" s="538"/>
      <c r="N8" s="29"/>
      <c r="O8" s="29"/>
      <c r="P8" s="538"/>
    </row>
    <row r="9" spans="1:16">
      <c r="A9" s="564"/>
      <c r="B9" s="563"/>
      <c r="C9" s="560"/>
      <c r="D9" s="542"/>
      <c r="E9" s="8" t="s">
        <v>23</v>
      </c>
      <c r="F9" s="9">
        <f>1.275*$C$7</f>
        <v>15300</v>
      </c>
      <c r="G9" s="9"/>
      <c r="H9" s="9"/>
      <c r="I9" s="9"/>
      <c r="J9" s="537">
        <v>0.5</v>
      </c>
      <c r="K9" s="16"/>
      <c r="L9" s="16"/>
      <c r="M9" s="538"/>
      <c r="N9" s="29"/>
      <c r="O9" s="29"/>
      <c r="P9" s="538"/>
    </row>
    <row r="10" spans="1:16">
      <c r="A10" s="564"/>
      <c r="B10" s="563"/>
      <c r="C10" s="560"/>
      <c r="D10" s="542"/>
      <c r="E10" s="8" t="s">
        <v>25</v>
      </c>
      <c r="F10" s="9">
        <f>1.275*$C$7</f>
        <v>15300</v>
      </c>
      <c r="G10" s="9"/>
      <c r="H10" s="9"/>
      <c r="I10" s="9"/>
      <c r="J10" s="538"/>
      <c r="K10" s="16"/>
      <c r="L10" s="16"/>
      <c r="M10" s="538"/>
      <c r="N10" s="29"/>
      <c r="O10" s="29"/>
      <c r="P10" s="538"/>
    </row>
    <row r="11" spans="1:16">
      <c r="A11" s="564"/>
      <c r="B11" s="563"/>
      <c r="C11" s="560"/>
      <c r="D11" s="542"/>
      <c r="E11" s="8" t="s">
        <v>165</v>
      </c>
      <c r="F11" s="9">
        <f>1.275*$C$7</f>
        <v>15300</v>
      </c>
      <c r="G11" s="9"/>
      <c r="H11" s="9"/>
      <c r="I11" s="9"/>
      <c r="J11" s="538"/>
      <c r="K11" s="16"/>
      <c r="L11" s="16"/>
      <c r="M11" s="538"/>
      <c r="N11" s="29"/>
      <c r="O11" s="29"/>
      <c r="P11" s="538"/>
    </row>
    <row r="12" spans="1:16">
      <c r="A12" s="564"/>
      <c r="B12" s="563"/>
      <c r="C12" s="560"/>
      <c r="D12" s="543"/>
      <c r="E12" s="8" t="s">
        <v>28</v>
      </c>
      <c r="F12" s="9">
        <f>1.275*$C$7</f>
        <v>15300</v>
      </c>
      <c r="G12" s="9"/>
      <c r="H12" s="9"/>
      <c r="I12" s="9"/>
      <c r="J12" s="539"/>
      <c r="K12" s="16"/>
      <c r="L12" s="16"/>
      <c r="M12" s="539"/>
      <c r="N12" s="29"/>
      <c r="O12" s="29"/>
      <c r="P12" s="539"/>
    </row>
    <row r="13" spans="1:16">
      <c r="A13" s="556" t="s">
        <v>41</v>
      </c>
      <c r="B13" s="557" t="s">
        <v>42</v>
      </c>
      <c r="C13" s="561">
        <f>50000/20</f>
        <v>2500</v>
      </c>
      <c r="D13" s="550" t="s">
        <v>43</v>
      </c>
      <c r="E13" s="15" t="s">
        <v>44</v>
      </c>
      <c r="F13" s="9">
        <f>1.59*$C$13</f>
        <v>3975</v>
      </c>
      <c r="G13" s="537">
        <v>39.83</v>
      </c>
      <c r="H13" s="540">
        <f>G13/72</f>
        <v>0.55319444444444399</v>
      </c>
      <c r="I13" s="10">
        <f>F13/3488/16</f>
        <v>7.1226347477064203E-2</v>
      </c>
      <c r="J13" s="10"/>
      <c r="K13" s="10"/>
      <c r="L13" s="10"/>
      <c r="M13" s="537">
        <v>0.25</v>
      </c>
      <c r="N13" s="29"/>
      <c r="O13" s="537">
        <v>1</v>
      </c>
      <c r="P13" s="537">
        <v>0.25</v>
      </c>
    </row>
    <row r="14" spans="1:16">
      <c r="A14" s="556"/>
      <c r="B14" s="558"/>
      <c r="C14" s="561"/>
      <c r="D14" s="545"/>
      <c r="E14" s="15" t="s">
        <v>37</v>
      </c>
      <c r="F14" s="9">
        <f>1.59*$C$13*2</f>
        <v>7950</v>
      </c>
      <c r="G14" s="539"/>
      <c r="H14" s="540"/>
      <c r="I14" s="10">
        <f>F14/765/16</f>
        <v>0.64950980392156898</v>
      </c>
      <c r="J14" s="10"/>
      <c r="K14" s="10"/>
      <c r="L14" s="10"/>
      <c r="M14" s="538"/>
      <c r="N14" s="29"/>
      <c r="O14" s="538"/>
      <c r="P14" s="538"/>
    </row>
    <row r="15" spans="1:16">
      <c r="A15" s="556"/>
      <c r="B15" s="558"/>
      <c r="C15" s="561"/>
      <c r="D15" s="545"/>
      <c r="E15" s="15" t="s">
        <v>23</v>
      </c>
      <c r="F15" s="9">
        <f>1.59*$C$13</f>
        <v>3975</v>
      </c>
      <c r="G15" s="9"/>
      <c r="H15" s="9"/>
      <c r="I15" s="9"/>
      <c r="J15" s="537">
        <v>0.15</v>
      </c>
      <c r="K15" s="16"/>
      <c r="L15" s="16"/>
      <c r="M15" s="538"/>
      <c r="N15" s="29"/>
      <c r="O15" s="538"/>
      <c r="P15" s="538"/>
    </row>
    <row r="16" spans="1:16">
      <c r="A16" s="556"/>
      <c r="B16" s="558"/>
      <c r="C16" s="561"/>
      <c r="D16" s="545"/>
      <c r="E16" s="15" t="s">
        <v>47</v>
      </c>
      <c r="F16" s="9">
        <f t="shared" ref="F16:F17" si="0">1.59*$C$13</f>
        <v>3975</v>
      </c>
      <c r="G16" s="9"/>
      <c r="H16" s="9"/>
      <c r="I16" s="9"/>
      <c r="J16" s="538"/>
      <c r="K16" s="16"/>
      <c r="L16" s="16"/>
      <c r="M16" s="538"/>
      <c r="N16" s="29"/>
      <c r="O16" s="538"/>
      <c r="P16" s="538"/>
    </row>
    <row r="17" spans="1:16">
      <c r="A17" s="556"/>
      <c r="B17" s="558"/>
      <c r="C17" s="561"/>
      <c r="D17" s="546"/>
      <c r="E17" s="15" t="s">
        <v>28</v>
      </c>
      <c r="F17" s="9">
        <f t="shared" si="0"/>
        <v>3975</v>
      </c>
      <c r="G17" s="9"/>
      <c r="H17" s="9"/>
      <c r="I17" s="9"/>
      <c r="J17" s="539"/>
      <c r="K17" s="16"/>
      <c r="L17" s="16"/>
      <c r="M17" s="539"/>
      <c r="N17" s="29"/>
      <c r="O17" s="539"/>
      <c r="P17" s="539"/>
    </row>
    <row r="18" spans="1:16">
      <c r="A18" s="556" t="s">
        <v>52</v>
      </c>
      <c r="B18" s="556" t="s">
        <v>53</v>
      </c>
      <c r="C18" s="561">
        <f>40000/20</f>
        <v>2000</v>
      </c>
      <c r="D18" s="544" t="s">
        <v>54</v>
      </c>
      <c r="E18" s="15" t="s">
        <v>55</v>
      </c>
      <c r="F18" s="9">
        <f>1.56*$C$18</f>
        <v>3120</v>
      </c>
      <c r="G18" s="16">
        <v>6.28</v>
      </c>
      <c r="H18" s="16">
        <f>G18/288</f>
        <v>2.1805555555555599E-2</v>
      </c>
      <c r="I18" s="16">
        <f>F18/2827/16</f>
        <v>6.8977714892111797E-2</v>
      </c>
      <c r="J18" s="16"/>
      <c r="K18" s="16"/>
      <c r="L18" s="16"/>
      <c r="M18" s="16"/>
      <c r="N18" s="16"/>
      <c r="O18" s="537">
        <v>1</v>
      </c>
      <c r="P18" s="537">
        <v>0.25</v>
      </c>
    </row>
    <row r="19" spans="1:16">
      <c r="A19" s="556"/>
      <c r="B19" s="556"/>
      <c r="C19" s="561"/>
      <c r="D19" s="545"/>
      <c r="E19" s="15" t="s">
        <v>28</v>
      </c>
      <c r="F19" s="9">
        <f t="shared" ref="F19:F20" si="1">1.56*$C$18</f>
        <v>3120</v>
      </c>
      <c r="G19" s="9"/>
      <c r="H19" s="9"/>
      <c r="I19" s="9"/>
      <c r="J19" s="16">
        <v>0.1</v>
      </c>
      <c r="K19" s="16"/>
      <c r="L19" s="16"/>
      <c r="M19" s="16"/>
      <c r="N19" s="16"/>
      <c r="O19" s="538"/>
      <c r="P19" s="538"/>
    </row>
    <row r="20" spans="1:16">
      <c r="A20" s="556"/>
      <c r="B20" s="556"/>
      <c r="C20" s="561"/>
      <c r="D20" s="546"/>
      <c r="E20" s="15" t="s">
        <v>166</v>
      </c>
      <c r="F20" s="9">
        <f t="shared" si="1"/>
        <v>3120</v>
      </c>
      <c r="G20" s="16">
        <v>7.3</v>
      </c>
      <c r="H20" s="16">
        <f>G20/168</f>
        <v>4.3452380952380999E-2</v>
      </c>
      <c r="I20" s="16"/>
      <c r="J20" s="16"/>
      <c r="K20" s="16"/>
      <c r="L20" s="16"/>
      <c r="M20" s="16"/>
      <c r="N20" s="16"/>
      <c r="O20" s="539"/>
      <c r="P20" s="538"/>
    </row>
    <row r="21" spans="1:16">
      <c r="A21" s="556" t="s">
        <v>56</v>
      </c>
      <c r="B21" s="556" t="s">
        <v>57</v>
      </c>
      <c r="C21" s="561">
        <f>20000/20</f>
        <v>1000</v>
      </c>
      <c r="D21" s="544" t="s">
        <v>54</v>
      </c>
      <c r="E21" s="15" t="s">
        <v>55</v>
      </c>
      <c r="F21" s="9">
        <f>1.09*$C$21</f>
        <v>1090</v>
      </c>
      <c r="G21" s="16">
        <v>2.19</v>
      </c>
      <c r="H21" s="16">
        <f>G21/288</f>
        <v>7.6041666666666697E-3</v>
      </c>
      <c r="I21" s="16">
        <f>F21/2827/16</f>
        <v>2.40979837283339E-2</v>
      </c>
      <c r="J21" s="16"/>
      <c r="K21" s="16"/>
      <c r="L21" s="16"/>
      <c r="M21" s="16"/>
      <c r="N21" s="16"/>
      <c r="O21" s="537">
        <v>1</v>
      </c>
      <c r="P21" s="538"/>
    </row>
    <row r="22" spans="1:16">
      <c r="A22" s="556"/>
      <c r="B22" s="556"/>
      <c r="C22" s="561"/>
      <c r="D22" s="545"/>
      <c r="E22" s="15" t="s">
        <v>28</v>
      </c>
      <c r="F22" s="9">
        <f>1.09*$C$21</f>
        <v>1090</v>
      </c>
      <c r="G22" s="9"/>
      <c r="H22" s="9"/>
      <c r="I22" s="9"/>
      <c r="J22" s="16">
        <v>0.1</v>
      </c>
      <c r="K22" s="16"/>
      <c r="L22" s="16"/>
      <c r="M22" s="16"/>
      <c r="N22" s="16"/>
      <c r="O22" s="538"/>
      <c r="P22" s="538"/>
    </row>
    <row r="23" spans="1:16">
      <c r="A23" s="556"/>
      <c r="B23" s="556"/>
      <c r="C23" s="561"/>
      <c r="D23" s="546"/>
      <c r="E23" s="15" t="s">
        <v>166</v>
      </c>
      <c r="F23" s="9">
        <f>1.09*$C$21</f>
        <v>1090</v>
      </c>
      <c r="G23" s="16">
        <v>2.5499999999999998</v>
      </c>
      <c r="H23" s="16">
        <f>G23/168</f>
        <v>1.5178571428571401E-2</v>
      </c>
      <c r="I23" s="16"/>
      <c r="J23" s="16"/>
      <c r="K23" s="16"/>
      <c r="L23" s="16"/>
      <c r="M23" s="16"/>
      <c r="N23" s="16"/>
      <c r="O23" s="539"/>
      <c r="P23" s="539"/>
    </row>
    <row r="24" spans="1:16">
      <c r="A24" s="564" t="s">
        <v>59</v>
      </c>
      <c r="B24" s="554" t="s">
        <v>60</v>
      </c>
      <c r="C24" s="560">
        <v>9000</v>
      </c>
      <c r="D24" s="541" t="s">
        <v>61</v>
      </c>
      <c r="E24" s="8" t="s">
        <v>64</v>
      </c>
      <c r="F24" s="9">
        <f>1.56*$C$24</f>
        <v>14040</v>
      </c>
      <c r="G24" s="16">
        <v>43.02</v>
      </c>
      <c r="H24" s="16">
        <f>G24/72</f>
        <v>0.59750000000000003</v>
      </c>
      <c r="I24" s="16">
        <f>F24/2827/16</f>
        <v>0.31039971701450297</v>
      </c>
      <c r="J24" s="16"/>
      <c r="K24" s="16"/>
      <c r="L24" s="16"/>
      <c r="M24" s="16"/>
      <c r="N24" s="16"/>
      <c r="O24" s="537">
        <v>4</v>
      </c>
      <c r="P24" s="537">
        <v>0.25</v>
      </c>
    </row>
    <row r="25" spans="1:16">
      <c r="A25" s="564"/>
      <c r="B25" s="555"/>
      <c r="C25" s="560"/>
      <c r="D25" s="542"/>
      <c r="E25" s="8" t="s">
        <v>28</v>
      </c>
      <c r="F25" s="9">
        <f t="shared" ref="F25:F26" si="2">1.56*$C$24</f>
        <v>14040</v>
      </c>
      <c r="G25" s="9"/>
      <c r="H25" s="9"/>
      <c r="I25" s="9"/>
      <c r="J25" s="16">
        <v>0.15</v>
      </c>
      <c r="K25" s="16"/>
      <c r="L25" s="16"/>
      <c r="M25" s="16"/>
      <c r="N25" s="16"/>
      <c r="O25" s="538"/>
      <c r="P25" s="538"/>
    </row>
    <row r="26" spans="1:16">
      <c r="A26" s="564"/>
      <c r="B26" s="555"/>
      <c r="C26" s="541"/>
      <c r="D26" s="543"/>
      <c r="E26" s="17"/>
      <c r="F26" s="18">
        <f t="shared" si="2"/>
        <v>14040</v>
      </c>
      <c r="G26" s="18"/>
      <c r="H26" s="9"/>
      <c r="I26" s="18"/>
      <c r="J26" s="30"/>
      <c r="K26" s="30"/>
      <c r="L26" s="30"/>
      <c r="M26" s="30"/>
      <c r="N26" s="30"/>
      <c r="O26" s="539"/>
      <c r="P26" s="539"/>
    </row>
    <row r="27" spans="1:16">
      <c r="A27" s="556" t="s">
        <v>65</v>
      </c>
      <c r="B27" s="556" t="s">
        <v>66</v>
      </c>
      <c r="C27" s="561">
        <f>30000/20</f>
        <v>1500</v>
      </c>
      <c r="D27" s="544" t="s">
        <v>67</v>
      </c>
      <c r="E27" s="15" t="s">
        <v>68</v>
      </c>
      <c r="F27" s="9">
        <f>1.525*$C$27</f>
        <v>2287.5</v>
      </c>
      <c r="G27" s="16">
        <v>54.78</v>
      </c>
      <c r="H27" s="16">
        <f>G27/288</f>
        <v>0.19020833333333301</v>
      </c>
      <c r="I27" s="16">
        <f>F27/6610/16</f>
        <v>2.1629160363086201E-2</v>
      </c>
      <c r="J27" s="16"/>
      <c r="K27" s="16"/>
      <c r="L27" s="16"/>
      <c r="M27" s="16"/>
      <c r="N27" s="16"/>
      <c r="O27" s="537">
        <v>1</v>
      </c>
      <c r="P27" s="537">
        <v>0.15</v>
      </c>
    </row>
    <row r="28" spans="1:16">
      <c r="A28" s="556"/>
      <c r="B28" s="556"/>
      <c r="C28" s="561"/>
      <c r="D28" s="545"/>
      <c r="E28" s="15" t="s">
        <v>28</v>
      </c>
      <c r="F28" s="9">
        <f t="shared" ref="F28:F29" si="3">1.525*$C$27</f>
        <v>2287.5</v>
      </c>
      <c r="G28" s="9"/>
      <c r="H28" s="9"/>
      <c r="I28" s="9"/>
      <c r="J28" s="16">
        <v>0.1</v>
      </c>
      <c r="K28" s="16"/>
      <c r="L28" s="16"/>
      <c r="M28" s="16"/>
      <c r="N28" s="16"/>
      <c r="O28" s="538"/>
      <c r="P28" s="538"/>
    </row>
    <row r="29" spans="1:16">
      <c r="A29" s="556"/>
      <c r="B29" s="556"/>
      <c r="C29" s="561"/>
      <c r="D29" s="546"/>
      <c r="E29" s="15"/>
      <c r="F29" s="9">
        <f t="shared" si="3"/>
        <v>2287.5</v>
      </c>
      <c r="G29" s="9"/>
      <c r="H29" s="9"/>
      <c r="I29" s="9"/>
      <c r="J29" s="16"/>
      <c r="K29" s="16"/>
      <c r="L29" s="16"/>
      <c r="M29" s="16"/>
      <c r="N29" s="16"/>
      <c r="O29" s="539"/>
      <c r="P29" s="539"/>
    </row>
    <row r="30" spans="1:16">
      <c r="A30" s="557" t="s">
        <v>86</v>
      </c>
      <c r="B30" s="15"/>
      <c r="C30" s="9"/>
      <c r="D30" s="547"/>
      <c r="E30" s="15" t="s">
        <v>73</v>
      </c>
      <c r="F30" s="9">
        <f>3350*2</f>
        <v>6700</v>
      </c>
      <c r="G30" s="16">
        <v>5.61</v>
      </c>
      <c r="H30" s="16">
        <f>G30/192</f>
        <v>2.9218750000000002E-2</v>
      </c>
      <c r="I30" s="16">
        <f>F30/1658/16</f>
        <v>0.25256332931242498</v>
      </c>
      <c r="J30" s="16"/>
      <c r="K30" s="16"/>
      <c r="L30" s="16"/>
      <c r="M30" s="537">
        <v>0.25</v>
      </c>
      <c r="N30" s="537">
        <v>2</v>
      </c>
      <c r="O30" s="29"/>
      <c r="P30" s="537">
        <v>0.15</v>
      </c>
    </row>
    <row r="31" spans="1:16">
      <c r="A31" s="558"/>
      <c r="B31" s="15"/>
      <c r="C31" s="9"/>
      <c r="D31" s="548"/>
      <c r="E31" s="15" t="s">
        <v>71</v>
      </c>
      <c r="F31" s="9">
        <v>3350</v>
      </c>
      <c r="G31" s="16">
        <v>2.4700000000000002</v>
      </c>
      <c r="H31" s="16">
        <f>G31/168</f>
        <v>1.4702380952381E-2</v>
      </c>
      <c r="I31" s="16">
        <f>F31/1658/16</f>
        <v>0.12628166465621199</v>
      </c>
      <c r="J31" s="16"/>
      <c r="K31" s="16"/>
      <c r="L31" s="16"/>
      <c r="M31" s="538"/>
      <c r="N31" s="538"/>
      <c r="O31" s="29"/>
      <c r="P31" s="538"/>
    </row>
    <row r="32" spans="1:16">
      <c r="A32" s="558"/>
      <c r="B32" s="15"/>
      <c r="C32" s="9"/>
      <c r="D32" s="548"/>
      <c r="E32" s="15" t="s">
        <v>70</v>
      </c>
      <c r="F32" s="9">
        <f>3350*2</f>
        <v>6700</v>
      </c>
      <c r="G32" s="16">
        <v>13.92</v>
      </c>
      <c r="H32" s="16">
        <f>G32/408</f>
        <v>3.4117647058823503E-2</v>
      </c>
      <c r="I32" s="16">
        <f>F32/2938/16</f>
        <v>0.14252893124574501</v>
      </c>
      <c r="J32" s="16"/>
      <c r="K32" s="16"/>
      <c r="L32" s="16"/>
      <c r="M32" s="538"/>
      <c r="N32" s="538"/>
      <c r="O32" s="29"/>
      <c r="P32" s="538"/>
    </row>
    <row r="33" spans="1:16">
      <c r="A33" s="558"/>
      <c r="B33" s="15"/>
      <c r="C33" s="9"/>
      <c r="D33" s="548"/>
      <c r="E33" s="15" t="s">
        <v>23</v>
      </c>
      <c r="F33" s="9">
        <v>3350</v>
      </c>
      <c r="G33" s="16"/>
      <c r="H33" s="16"/>
      <c r="I33" s="16"/>
      <c r="J33" s="537">
        <v>0.15</v>
      </c>
      <c r="K33" s="16"/>
      <c r="L33" s="16"/>
      <c r="M33" s="538"/>
      <c r="N33" s="538"/>
      <c r="O33" s="29"/>
      <c r="P33" s="538"/>
    </row>
    <row r="34" spans="1:16">
      <c r="A34" s="558"/>
      <c r="B34" s="15"/>
      <c r="C34" s="9"/>
      <c r="D34" s="548"/>
      <c r="E34" s="15" t="s">
        <v>25</v>
      </c>
      <c r="F34" s="9">
        <v>3350</v>
      </c>
      <c r="G34" s="16"/>
      <c r="H34" s="16"/>
      <c r="I34" s="16"/>
      <c r="J34" s="538"/>
      <c r="K34" s="16"/>
      <c r="L34" s="16"/>
      <c r="M34" s="538"/>
      <c r="N34" s="538"/>
      <c r="O34" s="29"/>
      <c r="P34" s="538"/>
    </row>
    <row r="35" spans="1:16">
      <c r="A35" s="558"/>
      <c r="B35" s="15"/>
      <c r="C35" s="9"/>
      <c r="D35" s="548"/>
      <c r="E35" s="15" t="s">
        <v>28</v>
      </c>
      <c r="F35" s="9">
        <v>3350</v>
      </c>
      <c r="G35" s="16"/>
      <c r="H35" s="16"/>
      <c r="I35" s="16"/>
      <c r="J35" s="538"/>
      <c r="K35" s="16"/>
      <c r="L35" s="16"/>
      <c r="M35" s="538"/>
      <c r="N35" s="538"/>
      <c r="O35" s="29"/>
      <c r="P35" s="538"/>
    </row>
    <row r="36" spans="1:16">
      <c r="A36" s="559"/>
      <c r="B36" s="15"/>
      <c r="C36" s="9"/>
      <c r="D36" s="549"/>
      <c r="E36" s="15" t="s">
        <v>167</v>
      </c>
      <c r="F36" s="9">
        <v>3350</v>
      </c>
      <c r="G36" s="16"/>
      <c r="H36" s="16"/>
      <c r="I36" s="16"/>
      <c r="J36" s="539"/>
      <c r="K36" s="16"/>
      <c r="L36" s="16"/>
      <c r="M36" s="539"/>
      <c r="N36" s="539"/>
      <c r="O36" s="29"/>
      <c r="P36" s="539"/>
    </row>
    <row r="37" spans="1:16">
      <c r="A37" s="557" t="s">
        <v>87</v>
      </c>
      <c r="B37" s="15"/>
      <c r="C37" s="9"/>
      <c r="D37" s="547"/>
      <c r="E37" s="15" t="s">
        <v>73</v>
      </c>
      <c r="F37" s="9">
        <f>3350*4</f>
        <v>13400</v>
      </c>
      <c r="G37" s="16">
        <v>11.4</v>
      </c>
      <c r="H37" s="16">
        <f>G37/192</f>
        <v>5.9374999999999997E-2</v>
      </c>
      <c r="I37" s="16">
        <f>F37/1658/16</f>
        <v>0.50512665862484896</v>
      </c>
      <c r="J37" s="16"/>
      <c r="K37" s="16"/>
      <c r="L37" s="16"/>
      <c r="M37" s="537">
        <v>0.25</v>
      </c>
      <c r="N37" s="537">
        <v>2</v>
      </c>
      <c r="O37" s="29"/>
      <c r="P37" s="537">
        <v>0.15</v>
      </c>
    </row>
    <row r="38" spans="1:16">
      <c r="A38" s="558"/>
      <c r="B38" s="15"/>
      <c r="C38" s="9"/>
      <c r="D38" s="548"/>
      <c r="E38" s="15" t="s">
        <v>71</v>
      </c>
      <c r="F38" s="9">
        <v>3350</v>
      </c>
      <c r="G38" s="16">
        <v>2.44</v>
      </c>
      <c r="H38" s="16">
        <f>G38/168</f>
        <v>1.45238095238095E-2</v>
      </c>
      <c r="I38" s="16">
        <f>F38/1658/16</f>
        <v>0.12628166465621199</v>
      </c>
      <c r="J38" s="16"/>
      <c r="K38" s="16"/>
      <c r="L38" s="16"/>
      <c r="M38" s="538"/>
      <c r="N38" s="538"/>
      <c r="O38" s="29"/>
      <c r="P38" s="538"/>
    </row>
    <row r="39" spans="1:16">
      <c r="A39" s="558"/>
      <c r="B39" s="19"/>
      <c r="C39" s="18"/>
      <c r="D39" s="548"/>
      <c r="E39" s="15" t="s">
        <v>23</v>
      </c>
      <c r="F39" s="9">
        <v>3350</v>
      </c>
      <c r="G39" s="16"/>
      <c r="H39" s="16"/>
      <c r="I39" s="16"/>
      <c r="J39" s="537">
        <v>0.15</v>
      </c>
      <c r="K39" s="16"/>
      <c r="L39" s="16"/>
      <c r="M39" s="538"/>
      <c r="N39" s="538"/>
      <c r="O39" s="29"/>
      <c r="P39" s="538"/>
    </row>
    <row r="40" spans="1:16">
      <c r="A40" s="558"/>
      <c r="B40" s="19"/>
      <c r="C40" s="18"/>
      <c r="D40" s="548"/>
      <c r="E40" s="15" t="s">
        <v>25</v>
      </c>
      <c r="F40" s="9">
        <v>3350</v>
      </c>
      <c r="G40" s="16"/>
      <c r="H40" s="16"/>
      <c r="I40" s="16"/>
      <c r="J40" s="538"/>
      <c r="K40" s="16"/>
      <c r="L40" s="16"/>
      <c r="M40" s="538"/>
      <c r="N40" s="538"/>
      <c r="O40" s="29"/>
      <c r="P40" s="538"/>
    </row>
    <row r="41" spans="1:16">
      <c r="A41" s="558"/>
      <c r="B41" s="19"/>
      <c r="C41" s="18"/>
      <c r="D41" s="548"/>
      <c r="E41" s="15" t="s">
        <v>28</v>
      </c>
      <c r="F41" s="9">
        <v>3350</v>
      </c>
      <c r="G41" s="16"/>
      <c r="H41" s="16"/>
      <c r="I41" s="16"/>
      <c r="J41" s="538"/>
      <c r="K41" s="16"/>
      <c r="L41" s="16"/>
      <c r="M41" s="538"/>
      <c r="N41" s="538"/>
      <c r="O41" s="29"/>
      <c r="P41" s="538"/>
    </row>
    <row r="42" spans="1:16">
      <c r="A42" s="559"/>
      <c r="B42" s="19"/>
      <c r="C42" s="18"/>
      <c r="D42" s="549"/>
      <c r="E42" s="15" t="s">
        <v>167</v>
      </c>
      <c r="F42" s="9">
        <v>3350</v>
      </c>
      <c r="G42" s="16"/>
      <c r="H42" s="16"/>
      <c r="I42" s="16"/>
      <c r="J42" s="539"/>
      <c r="K42" s="16"/>
      <c r="L42" s="16"/>
      <c r="M42" s="539"/>
      <c r="N42" s="539"/>
      <c r="O42" s="29"/>
      <c r="P42" s="539"/>
    </row>
    <row r="43" spans="1:16">
      <c r="A43" s="557" t="s">
        <v>88</v>
      </c>
      <c r="B43" s="557" t="s">
        <v>89</v>
      </c>
      <c r="C43" s="544">
        <v>3350</v>
      </c>
      <c r="D43" s="550" t="s">
        <v>168</v>
      </c>
      <c r="E43" s="15" t="s">
        <v>94</v>
      </c>
      <c r="F43" s="9">
        <f>1.475*$C$43*14</f>
        <v>69177.5</v>
      </c>
      <c r="G43" s="16">
        <v>23.36</v>
      </c>
      <c r="H43" s="16">
        <f>G43/72</f>
        <v>0.32444444444444398</v>
      </c>
      <c r="I43" s="16">
        <f>F43/1275/16</f>
        <v>3.3910539215686302</v>
      </c>
      <c r="J43" s="16"/>
      <c r="K43" s="16"/>
      <c r="L43" s="16"/>
      <c r="M43" s="537">
        <v>0.25</v>
      </c>
      <c r="N43" s="537">
        <v>3</v>
      </c>
      <c r="O43" s="29"/>
      <c r="P43" s="537">
        <v>0.15</v>
      </c>
    </row>
    <row r="44" spans="1:16">
      <c r="A44" s="558"/>
      <c r="B44" s="558"/>
      <c r="C44" s="545"/>
      <c r="D44" s="551"/>
      <c r="E44" s="15" t="s">
        <v>93</v>
      </c>
      <c r="F44" s="9">
        <f>1.475*$C$43*5</f>
        <v>24706.25</v>
      </c>
      <c r="G44" s="16">
        <v>12.02</v>
      </c>
      <c r="H44" s="16">
        <f>G44/648</f>
        <v>1.85493827160494E-2</v>
      </c>
      <c r="I44" s="16"/>
      <c r="J44" s="16"/>
      <c r="K44" s="537">
        <v>2</v>
      </c>
      <c r="L44" s="537">
        <v>5</v>
      </c>
      <c r="M44" s="538"/>
      <c r="N44" s="538"/>
      <c r="O44" s="29"/>
      <c r="P44" s="538"/>
    </row>
    <row r="45" spans="1:16">
      <c r="A45" s="558"/>
      <c r="B45" s="558"/>
      <c r="C45" s="545"/>
      <c r="D45" s="551"/>
      <c r="E45" s="15" t="s">
        <v>99</v>
      </c>
      <c r="F45" s="9">
        <f>1.475*$C$43*5</f>
        <v>24706.25</v>
      </c>
      <c r="G45" s="16"/>
      <c r="H45" s="16"/>
      <c r="I45" s="16"/>
      <c r="J45" s="537">
        <v>0.25</v>
      </c>
      <c r="K45" s="538"/>
      <c r="L45" s="538"/>
      <c r="M45" s="538"/>
      <c r="N45" s="538"/>
      <c r="O45" s="29"/>
      <c r="P45" s="538"/>
    </row>
    <row r="46" spans="1:16">
      <c r="A46" s="558"/>
      <c r="B46" s="558"/>
      <c r="C46" s="545"/>
      <c r="D46" s="551"/>
      <c r="E46" s="15" t="s">
        <v>97</v>
      </c>
      <c r="F46" s="9">
        <f>1.475*$C$43*5</f>
        <v>24706.25</v>
      </c>
      <c r="G46" s="16"/>
      <c r="H46" s="16"/>
      <c r="I46" s="16"/>
      <c r="J46" s="539"/>
      <c r="K46" s="539"/>
      <c r="L46" s="539"/>
      <c r="M46" s="538"/>
      <c r="N46" s="538"/>
      <c r="O46" s="29"/>
      <c r="P46" s="538"/>
    </row>
    <row r="47" spans="1:16">
      <c r="A47" s="558"/>
      <c r="B47" s="558"/>
      <c r="C47" s="545"/>
      <c r="D47" s="551"/>
      <c r="E47" s="15" t="s">
        <v>23</v>
      </c>
      <c r="F47" s="9">
        <f>1.475*$C$43</f>
        <v>4941.25</v>
      </c>
      <c r="G47" s="16"/>
      <c r="H47" s="16"/>
      <c r="I47" s="16"/>
      <c r="J47" s="537">
        <v>0.15</v>
      </c>
      <c r="K47" s="16"/>
      <c r="L47" s="16"/>
      <c r="M47" s="538"/>
      <c r="N47" s="538"/>
      <c r="O47" s="29"/>
      <c r="P47" s="538"/>
    </row>
    <row r="48" spans="1:16">
      <c r="A48" s="558"/>
      <c r="B48" s="558"/>
      <c r="C48" s="545"/>
      <c r="D48" s="551"/>
      <c r="E48" s="15" t="s">
        <v>39</v>
      </c>
      <c r="F48" s="9">
        <f>1.475*$C$43</f>
        <v>4941.25</v>
      </c>
      <c r="G48" s="16"/>
      <c r="H48" s="16"/>
      <c r="I48" s="16"/>
      <c r="J48" s="538"/>
      <c r="K48" s="16"/>
      <c r="L48" s="16"/>
      <c r="M48" s="538"/>
      <c r="N48" s="538"/>
      <c r="O48" s="29"/>
      <c r="P48" s="538"/>
    </row>
    <row r="49" spans="1:16">
      <c r="A49" s="558"/>
      <c r="B49" s="558"/>
      <c r="C49" s="545"/>
      <c r="D49" s="551"/>
      <c r="E49" s="15" t="s">
        <v>102</v>
      </c>
      <c r="F49" s="9">
        <f>1.475*$C$43</f>
        <v>4941.25</v>
      </c>
      <c r="G49" s="16"/>
      <c r="H49" s="16"/>
      <c r="I49" s="16"/>
      <c r="J49" s="538"/>
      <c r="K49" s="16"/>
      <c r="L49" s="16"/>
      <c r="M49" s="538"/>
      <c r="N49" s="538"/>
      <c r="O49" s="29"/>
      <c r="P49" s="538"/>
    </row>
    <row r="50" spans="1:16">
      <c r="A50" s="559"/>
      <c r="B50" s="559"/>
      <c r="C50" s="546"/>
      <c r="D50" s="552"/>
      <c r="E50" s="15" t="s">
        <v>28</v>
      </c>
      <c r="F50" s="9">
        <f>1.475*$C$43</f>
        <v>4941.25</v>
      </c>
      <c r="G50" s="16"/>
      <c r="H50" s="16"/>
      <c r="I50" s="16"/>
      <c r="J50" s="539"/>
      <c r="K50" s="16"/>
      <c r="L50" s="16"/>
      <c r="M50" s="539"/>
      <c r="N50" s="539"/>
      <c r="O50" s="29"/>
      <c r="P50" s="539"/>
    </row>
    <row r="51" spans="1:16">
      <c r="A51" s="20"/>
      <c r="B51" s="20"/>
      <c r="C51" s="21"/>
      <c r="D51" s="21"/>
      <c r="G51" s="22"/>
      <c r="H51" s="23" t="s">
        <v>150</v>
      </c>
      <c r="I51" s="22"/>
      <c r="J51" s="22"/>
      <c r="K51" s="22"/>
      <c r="L51" s="22"/>
      <c r="M51" s="22"/>
      <c r="N51" s="22"/>
      <c r="O51" s="22"/>
      <c r="P51" s="22"/>
    </row>
    <row r="52" spans="1:16">
      <c r="A52" s="20"/>
      <c r="B52" s="20"/>
      <c r="C52" s="21"/>
      <c r="D52" s="21"/>
      <c r="G52" s="22">
        <f>SUM(G2:G44)</f>
        <v>427.61</v>
      </c>
      <c r="H52" s="22">
        <f>G52*26*1.2</f>
        <v>13341.432000000001</v>
      </c>
      <c r="I52" s="22"/>
      <c r="J52" s="22"/>
      <c r="K52" s="22"/>
      <c r="L52" s="22"/>
      <c r="M52" s="22"/>
      <c r="N52" s="22"/>
      <c r="O52" s="22"/>
      <c r="P52" s="22"/>
    </row>
    <row r="54" spans="1:16">
      <c r="G54" s="22"/>
    </row>
    <row r="55" spans="1:16">
      <c r="I55" s="31" t="s">
        <v>152</v>
      </c>
    </row>
    <row r="56" spans="1:16">
      <c r="B56" s="22" t="s">
        <v>7</v>
      </c>
      <c r="C56" s="566" t="s">
        <v>169</v>
      </c>
      <c r="D56" s="566"/>
      <c r="E56" s="566"/>
      <c r="G56" s="565" t="s">
        <v>170</v>
      </c>
      <c r="H56" s="565"/>
      <c r="I56" s="22">
        <f>SUM(J2:J44,J47)*1.3</f>
        <v>2.34</v>
      </c>
    </row>
    <row r="57" spans="1:16">
      <c r="B57" s="3" t="s">
        <v>171</v>
      </c>
      <c r="C57" s="25">
        <f>SUM(H2,H7,H13,H24,H43)</f>
        <v>4.2590277777777796</v>
      </c>
      <c r="D57" s="25"/>
      <c r="E57" s="2">
        <v>5</v>
      </c>
      <c r="G57" s="565" t="s">
        <v>172</v>
      </c>
      <c r="H57" s="565"/>
      <c r="I57" s="22">
        <f>J45</f>
        <v>0.25</v>
      </c>
    </row>
    <row r="58" spans="1:16">
      <c r="B58" s="3" t="s">
        <v>173</v>
      </c>
      <c r="C58" s="25">
        <f>SUM(H18,H21,H27)</f>
        <v>0.219618055555556</v>
      </c>
      <c r="D58" s="25"/>
      <c r="E58" s="2">
        <v>0.25</v>
      </c>
      <c r="G58" s="565" t="s">
        <v>174</v>
      </c>
      <c r="H58" s="565"/>
      <c r="I58" s="22">
        <f>SUM(K2:K50)</f>
        <v>2</v>
      </c>
    </row>
    <row r="59" spans="1:16">
      <c r="B59" s="3" t="s">
        <v>175</v>
      </c>
      <c r="C59" s="25">
        <f>SUM(H30,H37)</f>
        <v>8.8593749999999999E-2</v>
      </c>
      <c r="D59" s="25"/>
      <c r="E59" s="2">
        <v>0.5</v>
      </c>
      <c r="G59" s="565" t="s">
        <v>176</v>
      </c>
      <c r="H59" s="565"/>
      <c r="I59" s="22">
        <f>SUM(L2:L50)</f>
        <v>5</v>
      </c>
    </row>
    <row r="60" spans="1:16">
      <c r="B60" s="3" t="s">
        <v>177</v>
      </c>
      <c r="C60" s="25">
        <f>SUM(H20,H23,H31,H38)</f>
        <v>8.7857142857142898E-2</v>
      </c>
      <c r="D60" s="25"/>
      <c r="E60" s="2">
        <v>0.5</v>
      </c>
      <c r="G60" s="565" t="s">
        <v>178</v>
      </c>
      <c r="H60" s="565"/>
      <c r="I60" s="22">
        <f>SUM(M2:M50)</f>
        <v>2.5</v>
      </c>
    </row>
    <row r="61" spans="1:16">
      <c r="B61" s="3" t="s">
        <v>179</v>
      </c>
      <c r="C61" s="25">
        <f>H32</f>
        <v>3.4117647058823503E-2</v>
      </c>
      <c r="D61" s="25"/>
      <c r="E61" s="2">
        <v>0.25</v>
      </c>
      <c r="G61" s="565" t="s">
        <v>180</v>
      </c>
      <c r="H61" s="565"/>
      <c r="I61" s="22">
        <f>SUM(N2:N50)</f>
        <v>7</v>
      </c>
    </row>
    <row r="62" spans="1:16">
      <c r="B62" s="3" t="s">
        <v>181</v>
      </c>
      <c r="C62" s="25">
        <f>H44</f>
        <v>1.85493827160494E-2</v>
      </c>
      <c r="D62" s="25"/>
      <c r="E62" s="2">
        <v>0.25</v>
      </c>
      <c r="G62" s="565" t="s">
        <v>182</v>
      </c>
      <c r="H62" s="565"/>
      <c r="I62" s="24">
        <f>SUM(O2:O50)</f>
        <v>8</v>
      </c>
    </row>
    <row r="63" spans="1:16">
      <c r="B63" s="26" t="s">
        <v>9</v>
      </c>
      <c r="C63" s="27">
        <f>SUM(C57:C62)</f>
        <v>4.7077637559653498</v>
      </c>
      <c r="D63" s="27"/>
      <c r="E63" s="28">
        <f>SUM(E57:E62)</f>
        <v>6.75</v>
      </c>
      <c r="G63" s="565" t="s">
        <v>153</v>
      </c>
      <c r="H63" s="565"/>
      <c r="I63" s="22">
        <f>SUM(P2:P50)</f>
        <v>2.15</v>
      </c>
    </row>
    <row r="65" spans="2:16">
      <c r="B65" s="22" t="s">
        <v>7</v>
      </c>
      <c r="C65" s="566" t="s">
        <v>183</v>
      </c>
      <c r="D65" s="566"/>
      <c r="E65" s="566"/>
    </row>
    <row r="66" spans="2:16">
      <c r="B66" s="2" t="s">
        <v>184</v>
      </c>
      <c r="C66" s="25">
        <f>SUM(I3,I8,I14)</f>
        <v>4.18872549019608</v>
      </c>
      <c r="D66" s="25"/>
      <c r="E66" s="2">
        <v>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 t="s">
        <v>18</v>
      </c>
      <c r="C67" s="25">
        <f t="shared" ref="C67:C76" si="4">IFERROR(SUMIF($E:$E,$B67,$I:$I),0)</f>
        <v>1.91797346200241</v>
      </c>
      <c r="D67" s="25"/>
      <c r="E67" s="2">
        <v>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 t="s">
        <v>36</v>
      </c>
      <c r="C68" s="25">
        <f t="shared" si="4"/>
        <v>0.47350829413221102</v>
      </c>
      <c r="D68" s="25"/>
      <c r="E68" s="2">
        <v>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 t="s">
        <v>44</v>
      </c>
      <c r="C69" s="25">
        <f t="shared" si="4"/>
        <v>7.1226347477064203E-2</v>
      </c>
      <c r="D69" s="25"/>
      <c r="E69" s="2">
        <v>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 t="s">
        <v>55</v>
      </c>
      <c r="C70" s="25">
        <f t="shared" si="4"/>
        <v>9.3075698620445693E-2</v>
      </c>
      <c r="D70" s="25"/>
      <c r="E70" s="2">
        <v>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 t="s">
        <v>64</v>
      </c>
      <c r="C71" s="25">
        <f t="shared" si="4"/>
        <v>0.31039971701450297</v>
      </c>
      <c r="D71" s="25"/>
      <c r="E71" s="2">
        <v>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 t="s">
        <v>68</v>
      </c>
      <c r="C72" s="25">
        <f t="shared" si="4"/>
        <v>2.1629160363086201E-2</v>
      </c>
      <c r="D72" s="25"/>
      <c r="E72" s="2">
        <v>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 t="s">
        <v>73</v>
      </c>
      <c r="C73" s="25">
        <f t="shared" si="4"/>
        <v>0.75768998793727405</v>
      </c>
      <c r="D73" s="25"/>
      <c r="E73" s="2">
        <v>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 t="s">
        <v>71</v>
      </c>
      <c r="C74" s="25">
        <f t="shared" si="4"/>
        <v>0.25256332931242498</v>
      </c>
      <c r="D74" s="25"/>
      <c r="E74" s="2">
        <v>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 t="s">
        <v>70</v>
      </c>
      <c r="C75" s="25">
        <f t="shared" si="4"/>
        <v>0.14252893124574501</v>
      </c>
      <c r="D75" s="25"/>
      <c r="E75" s="2">
        <v>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 t="s">
        <v>94</v>
      </c>
      <c r="C76" s="25">
        <f t="shared" si="4"/>
        <v>3.3910539215686302</v>
      </c>
      <c r="D76" s="25"/>
      <c r="E76" s="2">
        <v>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6" t="s">
        <v>9</v>
      </c>
      <c r="C77" s="27">
        <f>SUM(C66:C76)</f>
        <v>11.620374339869899</v>
      </c>
      <c r="D77" s="27"/>
      <c r="E77" s="32">
        <f>SUM(E66:E76)</f>
        <v>16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9" spans="2:16">
      <c r="B79" s="22"/>
      <c r="C79" s="22"/>
      <c r="D79" s="2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C80" s="25"/>
      <c r="D80" s="2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C81" s="25"/>
      <c r="D81" s="2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4"/>
      <c r="C82" s="22"/>
      <c r="D82" s="22"/>
      <c r="E82" s="3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</sheetData>
  <autoFilter ref="A1:P52"/>
  <mergeCells count="84">
    <mergeCell ref="C56:E56"/>
    <mergeCell ref="G56:H56"/>
    <mergeCell ref="G57:H57"/>
    <mergeCell ref="G58:H58"/>
    <mergeCell ref="G59:H59"/>
    <mergeCell ref="G60:H60"/>
    <mergeCell ref="G61:H61"/>
    <mergeCell ref="G62:H62"/>
    <mergeCell ref="G63:H63"/>
    <mergeCell ref="C65:E65"/>
    <mergeCell ref="A2:A6"/>
    <mergeCell ref="A7:A12"/>
    <mergeCell ref="A13:A17"/>
    <mergeCell ref="A18:A20"/>
    <mergeCell ref="A21:A23"/>
    <mergeCell ref="A24:A26"/>
    <mergeCell ref="A27:A29"/>
    <mergeCell ref="A30:A36"/>
    <mergeCell ref="A37:A42"/>
    <mergeCell ref="A43:A50"/>
    <mergeCell ref="B24:B26"/>
    <mergeCell ref="B27:B29"/>
    <mergeCell ref="B43:B50"/>
    <mergeCell ref="C2:C6"/>
    <mergeCell ref="C7:C12"/>
    <mergeCell ref="C13:C17"/>
    <mergeCell ref="C18:C20"/>
    <mergeCell ref="C21:C23"/>
    <mergeCell ref="C24:C26"/>
    <mergeCell ref="C27:C29"/>
    <mergeCell ref="C43:C50"/>
    <mergeCell ref="B2:B6"/>
    <mergeCell ref="B7:B12"/>
    <mergeCell ref="B13:B17"/>
    <mergeCell ref="B18:B20"/>
    <mergeCell ref="B21:B23"/>
    <mergeCell ref="D2:D6"/>
    <mergeCell ref="D7:D12"/>
    <mergeCell ref="D13:D17"/>
    <mergeCell ref="D18:D20"/>
    <mergeCell ref="D21:D23"/>
    <mergeCell ref="D24:D26"/>
    <mergeCell ref="D27:D29"/>
    <mergeCell ref="D30:D36"/>
    <mergeCell ref="D37:D42"/>
    <mergeCell ref="D43:D50"/>
    <mergeCell ref="G2:G3"/>
    <mergeCell ref="G7:G8"/>
    <mergeCell ref="G13:G14"/>
    <mergeCell ref="H2:H3"/>
    <mergeCell ref="H7:H8"/>
    <mergeCell ref="H13:H14"/>
    <mergeCell ref="J45:J46"/>
    <mergeCell ref="J47:J50"/>
    <mergeCell ref="K44:K46"/>
    <mergeCell ref="L44:L46"/>
    <mergeCell ref="M2:M6"/>
    <mergeCell ref="M7:M12"/>
    <mergeCell ref="M13:M17"/>
    <mergeCell ref="M30:M36"/>
    <mergeCell ref="M37:M42"/>
    <mergeCell ref="M43:M50"/>
    <mergeCell ref="J4:J6"/>
    <mergeCell ref="J9:J12"/>
    <mergeCell ref="J15:J17"/>
    <mergeCell ref="J33:J36"/>
    <mergeCell ref="J39:J42"/>
    <mergeCell ref="N30:N36"/>
    <mergeCell ref="N37:N42"/>
    <mergeCell ref="N43:N50"/>
    <mergeCell ref="O13:O17"/>
    <mergeCell ref="O18:O20"/>
    <mergeCell ref="O21:O23"/>
    <mergeCell ref="O24:O26"/>
    <mergeCell ref="O27:O29"/>
    <mergeCell ref="P27:P29"/>
    <mergeCell ref="P30:P36"/>
    <mergeCell ref="P37:P42"/>
    <mergeCell ref="P43:P50"/>
    <mergeCell ref="P2:P6"/>
    <mergeCell ref="P7:P12"/>
    <mergeCell ref="P13:P17"/>
    <mergeCell ref="P18:P23"/>
    <mergeCell ref="P24:P26"/>
  </mergeCells>
  <pageMargins left="0.7" right="0.7" top="0.75" bottom="0.75" header="0.3" footer="0.3"/>
  <pageSetup paperSize="9" orientation="portrait"/>
  <ignoredErrors>
    <ignoredError sqref="F14 I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02</vt:lpstr>
      <vt:lpstr>03</vt:lpstr>
      <vt:lpstr>03b</vt:lpstr>
      <vt:lpstr>Sheet1</vt:lpstr>
      <vt:lpstr>'02'!Print_Area</vt:lpstr>
      <vt:lpstr>'03'!Print_Area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2024-02-17T01:12:00Z</cp:lastPrinted>
  <dcterms:created xsi:type="dcterms:W3CDTF">2024-02-01T04:10:00Z</dcterms:created>
  <dcterms:modified xsi:type="dcterms:W3CDTF">2024-03-14T06:32:21Z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6C74F1BEE8C04F04AEBF96B2946919A1_12</vt:lpwstr>
  </property>
  <property fmtid="{D5CDD505-2E9C-101B-9397-08002B2CF9AE}" pid="3" name="KSOProductBuildVer">
    <vt:lpwstr>2052-12.1.0.16388</vt:lpwstr>
  </property>
</Properties>
</file>