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5"/>
  </bookViews>
  <sheets>
    <sheet name="28+24" sheetId="1" r:id="rId1"/>
    <sheet name="MM38" sheetId="4" r:id="rId2"/>
    <sheet name="AX88" sheetId="5" r:id="rId3"/>
    <sheet name="MK83" sheetId="6" r:id="rId4"/>
    <sheet name="MK09" sheetId="7" r:id="rId5"/>
    <sheet name="MB50" sheetId="9" r:id="rId6"/>
  </sheets>
  <calcPr calcId="144525"/>
</workbook>
</file>

<file path=xl/calcChain.xml><?xml version="1.0" encoding="utf-8"?>
<calcChain xmlns="http://schemas.openxmlformats.org/spreadsheetml/2006/main">
  <c r="C17" i="9" l="1"/>
  <c r="J10" i="9"/>
  <c r="C10" i="9"/>
  <c r="J8" i="9"/>
  <c r="M7" i="9" s="1"/>
  <c r="K5" i="9"/>
  <c r="K4" i="9"/>
  <c r="J9" i="9" s="1"/>
  <c r="M6" i="9" s="1"/>
  <c r="K3" i="9"/>
  <c r="D3" i="9"/>
  <c r="C16" i="9" s="1"/>
  <c r="C5" i="9" l="1"/>
  <c r="C7" i="9"/>
  <c r="C11" i="9"/>
  <c r="F13" i="9" s="1"/>
  <c r="C15" i="9"/>
  <c r="C12" i="9"/>
  <c r="F14" i="9" s="1"/>
  <c r="F4" i="7"/>
  <c r="F9" i="9" l="1"/>
  <c r="F8" i="9"/>
  <c r="F6" i="9"/>
  <c r="F4" i="9"/>
  <c r="D3" i="7"/>
  <c r="C15" i="7" s="1"/>
  <c r="K5" i="7" l="1"/>
  <c r="J10" i="7" s="1"/>
  <c r="K4" i="7"/>
  <c r="J9" i="7" s="1"/>
  <c r="K3" i="7"/>
  <c r="J8" i="7" s="1"/>
  <c r="C16" i="7"/>
  <c r="C12" i="7"/>
  <c r="C11" i="7"/>
  <c r="C10" i="7"/>
  <c r="C7" i="7"/>
  <c r="C5" i="7"/>
  <c r="C17" i="7"/>
  <c r="K3" i="6"/>
  <c r="J8" i="6" s="1"/>
  <c r="K4" i="6"/>
  <c r="J9" i="6" s="1"/>
  <c r="K5" i="6"/>
  <c r="J10" i="6" s="1"/>
  <c r="M6" i="7" l="1"/>
  <c r="F6" i="7"/>
  <c r="M6" i="6"/>
  <c r="M7" i="6"/>
  <c r="M7" i="7"/>
  <c r="F14" i="7" l="1"/>
  <c r="F13" i="7"/>
  <c r="F8" i="7"/>
  <c r="F9" i="7"/>
  <c r="D3" i="6" l="1"/>
  <c r="C14" i="6" l="1"/>
  <c r="C8" i="6"/>
  <c r="C13" i="6"/>
  <c r="C9" i="6"/>
  <c r="C5" i="6"/>
  <c r="C15" i="6"/>
  <c r="C10" i="6"/>
  <c r="F12" i="6" l="1"/>
  <c r="F11" i="6"/>
  <c r="F7" i="6"/>
  <c r="F6" i="6"/>
  <c r="D3" i="5"/>
  <c r="C9" i="5" s="1"/>
  <c r="F4" i="6" l="1"/>
  <c r="C5" i="5"/>
  <c r="C7" i="5"/>
  <c r="F8" i="5" s="1"/>
  <c r="K22" i="4"/>
  <c r="J28" i="4" s="1"/>
  <c r="K21" i="4"/>
  <c r="J27" i="4" s="1"/>
  <c r="K20" i="4"/>
  <c r="J26" i="4" s="1"/>
  <c r="K19" i="4"/>
  <c r="J25" i="4" s="1"/>
  <c r="K3" i="4"/>
  <c r="F6" i="5" l="1"/>
  <c r="J7" i="4"/>
  <c r="J15" i="4"/>
  <c r="J8" i="4"/>
  <c r="J12" i="4"/>
  <c r="J9" i="4"/>
  <c r="J13" i="4"/>
  <c r="M24" i="4"/>
  <c r="J6" i="4"/>
  <c r="J14" i="4"/>
  <c r="D3" i="4"/>
  <c r="K24" i="1"/>
  <c r="J32" i="1" s="1"/>
  <c r="M28" i="1" s="1"/>
  <c r="K23" i="1"/>
  <c r="J31" i="1" s="1"/>
  <c r="M27" i="1" s="1"/>
  <c r="K22" i="1"/>
  <c r="J30" i="1" s="1"/>
  <c r="M26" i="1" s="1"/>
  <c r="K21" i="1"/>
  <c r="J29" i="1" s="1"/>
  <c r="M25" i="1" s="1"/>
  <c r="K3" i="1"/>
  <c r="J17" i="1" s="1"/>
  <c r="J6" i="1" l="1"/>
  <c r="J8" i="1"/>
  <c r="J16" i="1"/>
  <c r="J14" i="1"/>
  <c r="M10" i="1" s="1"/>
  <c r="F4" i="5"/>
  <c r="M4" i="4"/>
  <c r="M5" i="4"/>
  <c r="M23" i="4"/>
  <c r="C8" i="4"/>
  <c r="C14" i="4"/>
  <c r="C11" i="4"/>
  <c r="C17" i="4"/>
  <c r="C10" i="4"/>
  <c r="C16" i="4"/>
  <c r="C9" i="4"/>
  <c r="C15" i="4"/>
  <c r="C5" i="4"/>
  <c r="J7" i="1"/>
  <c r="J15" i="1"/>
  <c r="J9" i="1"/>
  <c r="M13" i="1" s="1"/>
  <c r="M12" i="1" l="1"/>
  <c r="M11" i="4"/>
  <c r="M10" i="4"/>
  <c r="F13" i="4"/>
  <c r="F12" i="4"/>
  <c r="F6" i="4"/>
  <c r="F7" i="4"/>
  <c r="F4" i="4"/>
  <c r="M4" i="1"/>
  <c r="M5" i="1"/>
  <c r="M11" i="1"/>
  <c r="D3" i="1" l="1"/>
  <c r="C7" i="1" l="1"/>
  <c r="C21" i="1"/>
  <c r="C18" i="1"/>
  <c r="C20" i="1"/>
  <c r="C19" i="1"/>
  <c r="C10" i="1"/>
  <c r="C13" i="1"/>
  <c r="F17" i="1" s="1"/>
  <c r="C12" i="1"/>
  <c r="C11" i="1"/>
  <c r="F15" i="1" s="1"/>
  <c r="C5" i="1"/>
  <c r="F16" i="1" l="1"/>
  <c r="F14" i="1"/>
  <c r="F8" i="1"/>
  <c r="F9" i="1"/>
  <c r="F4" i="1"/>
  <c r="F6" i="1"/>
</calcChain>
</file>

<file path=xl/sharedStrings.xml><?xml version="1.0" encoding="utf-8"?>
<sst xmlns="http://schemas.openxmlformats.org/spreadsheetml/2006/main" count="360" uniqueCount="65">
  <si>
    <t>Kabel</t>
  </si>
  <si>
    <t>Berat</t>
  </si>
  <si>
    <t>Panjang</t>
  </si>
  <si>
    <t>Braiding</t>
  </si>
  <si>
    <t>Proses</t>
  </si>
  <si>
    <t>M02-01055004</t>
  </si>
  <si>
    <t>W01-04040043</t>
  </si>
  <si>
    <t>Twisting</t>
  </si>
  <si>
    <t>Ekstrusi</t>
  </si>
  <si>
    <t>Merah</t>
  </si>
  <si>
    <t>Hitam</t>
  </si>
  <si>
    <t>Hijau</t>
  </si>
  <si>
    <t>Putih</t>
  </si>
  <si>
    <t>M02-01035010</t>
  </si>
  <si>
    <t>M02-01235003</t>
  </si>
  <si>
    <t>M02-02000003 + M13-05300004</t>
  </si>
  <si>
    <t>M02-02000003 + M13-05600001</t>
  </si>
  <si>
    <t>M14-07012001</t>
  </si>
  <si>
    <t>W01-03000013</t>
  </si>
  <si>
    <t>Stranding</t>
  </si>
  <si>
    <t>7 / 0,200A</t>
  </si>
  <si>
    <t>7 / 0,127A</t>
  </si>
  <si>
    <t>Description</t>
  </si>
  <si>
    <t>PVC Hitam</t>
  </si>
  <si>
    <t>Alumunium Magnesium</t>
  </si>
  <si>
    <t>Mylar</t>
  </si>
  <si>
    <t>Tembaga 0,120A</t>
  </si>
  <si>
    <t>PVC Core Hitam</t>
  </si>
  <si>
    <t>PVC Core Merah</t>
  </si>
  <si>
    <t>HDPE + Master Putih</t>
  </si>
  <si>
    <t>HDPE + Master Hijau</t>
  </si>
  <si>
    <t>Tembaga 0,200A</t>
  </si>
  <si>
    <t>Tembaga 0,127A</t>
  </si>
  <si>
    <t>Jacket Ektrusi</t>
  </si>
  <si>
    <t>Core</t>
  </si>
  <si>
    <t>M02-01965005</t>
  </si>
  <si>
    <t>PVC Putih</t>
  </si>
  <si>
    <t>M14-02020009</t>
  </si>
  <si>
    <t>M14-03010003</t>
  </si>
  <si>
    <t>Benang</t>
  </si>
  <si>
    <t>Kertas 10mm</t>
  </si>
  <si>
    <t>Kuning</t>
  </si>
  <si>
    <t>M02-03900004</t>
  </si>
  <si>
    <t>M02-08900001</t>
  </si>
  <si>
    <t>70 / 0,080A</t>
  </si>
  <si>
    <t>11 / 0,080A</t>
  </si>
  <si>
    <t>Tembaga 0,080A</t>
  </si>
  <si>
    <t>PP</t>
  </si>
  <si>
    <t>KS EVA</t>
  </si>
  <si>
    <t>Winding</t>
  </si>
  <si>
    <t>M02-01055065-KTY</t>
  </si>
  <si>
    <t>PVC Core Putih</t>
  </si>
  <si>
    <t>M02-05935005-KTY</t>
  </si>
  <si>
    <t>11 / 0,160A</t>
  </si>
  <si>
    <t>Tembaga 0,160A</t>
  </si>
  <si>
    <t>M14-02020004</t>
  </si>
  <si>
    <t>M14-03010001</t>
  </si>
  <si>
    <t>Kertas 12mm</t>
  </si>
  <si>
    <t>35 / 0,080A</t>
  </si>
  <si>
    <t>M02-01865001</t>
  </si>
  <si>
    <t>W01-03000004</t>
  </si>
  <si>
    <t>M14-02020007</t>
  </si>
  <si>
    <t>Abu-abu</t>
  </si>
  <si>
    <t>95 / 0,080A</t>
  </si>
  <si>
    <t>0,080A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</si>
</sst>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/>
    <xf numFmtId="2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Normal="100" workbookViewId="0">
      <selection activeCell="J16" sqref="J16:J17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9.140625" style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9.140625" style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7</v>
      </c>
    </row>
    <row r="2" spans="2:14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x14ac:dyDescent="0.25">
      <c r="B3" s="2" t="s">
        <v>33</v>
      </c>
      <c r="C3" s="3">
        <v>84.86</v>
      </c>
      <c r="D3" s="4">
        <f>C3*1000/26.744</f>
        <v>3173.0481603350286</v>
      </c>
      <c r="E3" s="2"/>
      <c r="F3" s="2"/>
      <c r="G3" s="2"/>
      <c r="I3" s="2" t="s">
        <v>7</v>
      </c>
      <c r="J3" s="4">
        <v>44.66</v>
      </c>
      <c r="K3" s="4">
        <f>J3*1000/9.45</f>
        <v>4725.9259259259261</v>
      </c>
      <c r="L3" s="2"/>
      <c r="M3" s="2"/>
      <c r="N3" s="5"/>
    </row>
    <row r="4" spans="2:14" x14ac:dyDescent="0.25">
      <c r="B4" s="12" t="s">
        <v>5</v>
      </c>
      <c r="C4" s="12"/>
      <c r="D4" s="12"/>
      <c r="E4" s="12"/>
      <c r="F4" s="4">
        <f>C3-C5</f>
        <v>48.573973152856716</v>
      </c>
      <c r="G4" s="5" t="s">
        <v>23</v>
      </c>
      <c r="I4" s="12" t="s">
        <v>17</v>
      </c>
      <c r="J4" s="12"/>
      <c r="K4" s="12"/>
      <c r="L4" s="12"/>
      <c r="M4" s="4">
        <f>($J$3-$J$6-$J$7-$J$8-$J$9)*0.42</f>
        <v>2.3397870222222195</v>
      </c>
      <c r="N4" s="5" t="s">
        <v>25</v>
      </c>
    </row>
    <row r="5" spans="2:14" x14ac:dyDescent="0.25">
      <c r="B5" s="2" t="s">
        <v>3</v>
      </c>
      <c r="C5" s="4">
        <f>D3*11.4357/1000</f>
        <v>36.286026847143283</v>
      </c>
      <c r="D5" s="2"/>
      <c r="E5" s="2"/>
      <c r="F5" s="2"/>
      <c r="G5" s="5"/>
      <c r="I5" s="12" t="s">
        <v>18</v>
      </c>
      <c r="J5" s="12"/>
      <c r="K5" s="12"/>
      <c r="L5" s="12"/>
      <c r="M5" s="4">
        <f>($J$3-$J$6-$J$7-$J$8-$J$9)*0.58</f>
        <v>3.2311344592592555</v>
      </c>
      <c r="N5" s="5" t="s">
        <v>26</v>
      </c>
    </row>
    <row r="6" spans="2:14" x14ac:dyDescent="0.25">
      <c r="B6" s="12" t="s">
        <v>6</v>
      </c>
      <c r="C6" s="12"/>
      <c r="D6" s="12"/>
      <c r="E6" s="12"/>
      <c r="F6" s="4">
        <f>C5-C7</f>
        <v>6.3007217319772657</v>
      </c>
      <c r="G6" s="5" t="s">
        <v>24</v>
      </c>
      <c r="I6" s="2" t="s">
        <v>8</v>
      </c>
      <c r="J6" s="4">
        <f>$K$3*2.9077/1000</f>
        <v>13.741574814814816</v>
      </c>
      <c r="K6" s="2"/>
      <c r="L6" s="2" t="s">
        <v>9</v>
      </c>
      <c r="M6" s="2"/>
      <c r="N6" s="5"/>
    </row>
    <row r="7" spans="2:14" x14ac:dyDescent="0.25">
      <c r="B7" s="2" t="s">
        <v>7</v>
      </c>
      <c r="C7" s="4">
        <f>D3*9.45/1000</f>
        <v>29.985305115166017</v>
      </c>
      <c r="D7" s="2"/>
      <c r="E7" s="2"/>
      <c r="F7" s="2"/>
      <c r="G7" s="5"/>
      <c r="I7" s="2"/>
      <c r="J7" s="4">
        <f>$K$3*2.9152/1000</f>
        <v>13.777019259259259</v>
      </c>
      <c r="K7" s="2"/>
      <c r="L7" s="2" t="s">
        <v>10</v>
      </c>
      <c r="M7" s="2"/>
      <c r="N7" s="5"/>
    </row>
    <row r="8" spans="2:14" x14ac:dyDescent="0.25">
      <c r="B8" s="12" t="s">
        <v>17</v>
      </c>
      <c r="C8" s="12"/>
      <c r="D8" s="12"/>
      <c r="E8" s="12"/>
      <c r="F8" s="4">
        <f>($C$7-$C$10-$C$11-$C$12-$C$13)*0.42</f>
        <v>1.5709634519892308</v>
      </c>
      <c r="G8" s="5" t="s">
        <v>25</v>
      </c>
      <c r="I8" s="2"/>
      <c r="J8" s="4">
        <f>$K$3*1.2238/1000</f>
        <v>5.7835881481481479</v>
      </c>
      <c r="K8" s="2"/>
      <c r="L8" s="2" t="s">
        <v>12</v>
      </c>
      <c r="M8" s="2"/>
      <c r="N8" s="5"/>
    </row>
    <row r="9" spans="2:14" x14ac:dyDescent="0.25">
      <c r="B9" s="12" t="s">
        <v>18</v>
      </c>
      <c r="C9" s="12"/>
      <c r="D9" s="12"/>
      <c r="E9" s="12"/>
      <c r="F9" s="4">
        <f>($C$7-$C$10-$C$11-$C$12-$C$13)*0.58</f>
        <v>2.1694257194136997</v>
      </c>
      <c r="G9" s="5" t="s">
        <v>26</v>
      </c>
      <c r="I9" s="2"/>
      <c r="J9" s="4">
        <f>$K$3*1.2245/1000</f>
        <v>5.7868962962962964</v>
      </c>
      <c r="K9" s="2"/>
      <c r="L9" s="2" t="s">
        <v>11</v>
      </c>
      <c r="M9" s="2"/>
      <c r="N9" s="5"/>
    </row>
    <row r="10" spans="2:14" x14ac:dyDescent="0.25">
      <c r="B10" s="2" t="s">
        <v>8</v>
      </c>
      <c r="C10" s="4">
        <f>$D$3*2.9077/1000</f>
        <v>9.2262721358061626</v>
      </c>
      <c r="D10" s="2"/>
      <c r="E10" s="2" t="s">
        <v>9</v>
      </c>
      <c r="F10" s="2"/>
      <c r="G10" s="5"/>
      <c r="I10" s="13" t="s">
        <v>13</v>
      </c>
      <c r="J10" s="13"/>
      <c r="K10" s="13"/>
      <c r="L10" s="13"/>
      <c r="M10" s="4">
        <f>J6-J14</f>
        <v>4.308626666666667</v>
      </c>
      <c r="N10" s="5" t="s">
        <v>27</v>
      </c>
    </row>
    <row r="11" spans="2:14" x14ac:dyDescent="0.25">
      <c r="B11" s="2"/>
      <c r="C11" s="4">
        <f>$D$3*2.9152/1000</f>
        <v>9.2500699970086746</v>
      </c>
      <c r="D11" s="2"/>
      <c r="E11" s="2" t="s">
        <v>10</v>
      </c>
      <c r="F11" s="2"/>
      <c r="G11" s="5"/>
      <c r="I11" s="13" t="s">
        <v>14</v>
      </c>
      <c r="J11" s="13"/>
      <c r="K11" s="13"/>
      <c r="L11" s="13"/>
      <c r="M11" s="4">
        <f t="shared" ref="M11:M13" si="0">J7-J15</f>
        <v>4.3440711111111092</v>
      </c>
      <c r="N11" s="5" t="s">
        <v>28</v>
      </c>
    </row>
    <row r="12" spans="2:14" x14ac:dyDescent="0.25">
      <c r="B12" s="2"/>
      <c r="C12" s="4">
        <f>$D$3*1.2238/1000</f>
        <v>3.8831763386180076</v>
      </c>
      <c r="D12" s="2"/>
      <c r="E12" s="2" t="s">
        <v>12</v>
      </c>
      <c r="F12" s="2"/>
      <c r="G12" s="5"/>
      <c r="I12" s="12" t="s">
        <v>15</v>
      </c>
      <c r="J12" s="12"/>
      <c r="K12" s="12"/>
      <c r="L12" s="12"/>
      <c r="M12" s="4">
        <f t="shared" si="0"/>
        <v>1.9792177777777771</v>
      </c>
      <c r="N12" s="5" t="s">
        <v>29</v>
      </c>
    </row>
    <row r="13" spans="2:14" x14ac:dyDescent="0.25">
      <c r="B13" s="2"/>
      <c r="C13" s="4">
        <f>$D$3*1.2245/1000</f>
        <v>3.8853974723302422</v>
      </c>
      <c r="D13" s="2"/>
      <c r="E13" s="2" t="s">
        <v>11</v>
      </c>
      <c r="F13" s="2"/>
      <c r="G13" s="5"/>
      <c r="I13" s="12" t="s">
        <v>16</v>
      </c>
      <c r="J13" s="12"/>
      <c r="K13" s="12"/>
      <c r="L13" s="12"/>
      <c r="M13" s="4">
        <f t="shared" si="0"/>
        <v>1.9825259259259256</v>
      </c>
      <c r="N13" s="5" t="s">
        <v>30</v>
      </c>
    </row>
    <row r="14" spans="2:14" x14ac:dyDescent="0.25">
      <c r="B14" s="13" t="s">
        <v>13</v>
      </c>
      <c r="C14" s="13"/>
      <c r="D14" s="13"/>
      <c r="E14" s="13"/>
      <c r="F14" s="4">
        <f>C10-C18</f>
        <v>2.8928680077774453</v>
      </c>
      <c r="G14" s="5" t="s">
        <v>27</v>
      </c>
      <c r="I14" s="2" t="s">
        <v>19</v>
      </c>
      <c r="J14" s="4">
        <f>$K$3*1.996/1000</f>
        <v>9.4329481481481494</v>
      </c>
      <c r="K14" s="2"/>
      <c r="L14" s="2" t="s">
        <v>20</v>
      </c>
      <c r="M14" s="2"/>
      <c r="N14" s="5" t="s">
        <v>31</v>
      </c>
    </row>
    <row r="15" spans="2:14" x14ac:dyDescent="0.25">
      <c r="B15" s="13" t="s">
        <v>14</v>
      </c>
      <c r="C15" s="13"/>
      <c r="D15" s="13"/>
      <c r="E15" s="13"/>
      <c r="F15" s="4">
        <f t="shared" ref="F15:F17" si="1">C11-C19</f>
        <v>2.9166658689799574</v>
      </c>
      <c r="G15" s="5" t="s">
        <v>28</v>
      </c>
      <c r="I15" s="2"/>
      <c r="J15" s="4">
        <f>$K$3*1.996/1000</f>
        <v>9.4329481481481494</v>
      </c>
      <c r="K15" s="2"/>
      <c r="L15" s="2" t="s">
        <v>20</v>
      </c>
      <c r="M15" s="2"/>
      <c r="N15" s="5" t="s">
        <v>31</v>
      </c>
    </row>
    <row r="16" spans="2:14" x14ac:dyDescent="0.25">
      <c r="B16" s="12" t="s">
        <v>15</v>
      </c>
      <c r="C16" s="12"/>
      <c r="D16" s="12"/>
      <c r="E16" s="12"/>
      <c r="F16" s="4">
        <f t="shared" si="1"/>
        <v>1.3288725695483095</v>
      </c>
      <c r="G16" s="5" t="s">
        <v>29</v>
      </c>
      <c r="I16" s="2"/>
      <c r="J16" s="4">
        <f>$K$3*0.805/1000</f>
        <v>3.8043703703703708</v>
      </c>
      <c r="K16" s="2"/>
      <c r="L16" s="2" t="s">
        <v>21</v>
      </c>
      <c r="M16" s="2"/>
      <c r="N16" s="5" t="s">
        <v>32</v>
      </c>
    </row>
    <row r="17" spans="2:14" x14ac:dyDescent="0.25">
      <c r="B17" s="12" t="s">
        <v>16</v>
      </c>
      <c r="C17" s="12"/>
      <c r="D17" s="12"/>
      <c r="E17" s="12"/>
      <c r="F17" s="4">
        <f t="shared" si="1"/>
        <v>1.3310937032605441</v>
      </c>
      <c r="G17" s="5" t="s">
        <v>30</v>
      </c>
      <c r="I17" s="2"/>
      <c r="J17" s="4">
        <f>$K$3*0.805/1000</f>
        <v>3.8043703703703708</v>
      </c>
      <c r="K17" s="2"/>
      <c r="L17" s="2" t="s">
        <v>21</v>
      </c>
      <c r="M17" s="2"/>
      <c r="N17" s="5" t="s">
        <v>32</v>
      </c>
    </row>
    <row r="18" spans="2:14" x14ac:dyDescent="0.25">
      <c r="B18" s="2" t="s">
        <v>19</v>
      </c>
      <c r="C18" s="4">
        <f>$D$3*1.996/1000</f>
        <v>6.3334041280287172</v>
      </c>
      <c r="D18" s="2"/>
      <c r="E18" s="2" t="s">
        <v>20</v>
      </c>
      <c r="F18" s="2"/>
      <c r="G18" s="5" t="s">
        <v>31</v>
      </c>
    </row>
    <row r="19" spans="2:14" ht="15.75" x14ac:dyDescent="0.25">
      <c r="B19" s="2"/>
      <c r="C19" s="4">
        <f>$D$3*1.996/1000</f>
        <v>6.3334041280287172</v>
      </c>
      <c r="D19" s="2"/>
      <c r="E19" s="2" t="s">
        <v>20</v>
      </c>
      <c r="F19" s="2"/>
      <c r="G19" s="5" t="s">
        <v>31</v>
      </c>
      <c r="I19" s="7" t="s">
        <v>34</v>
      </c>
    </row>
    <row r="20" spans="2:14" x14ac:dyDescent="0.25">
      <c r="B20" s="2"/>
      <c r="C20" s="4">
        <f>$D$3*0.805/1000</f>
        <v>2.5543037690696981</v>
      </c>
      <c r="D20" s="2"/>
      <c r="E20" s="2" t="s">
        <v>21</v>
      </c>
      <c r="F20" s="2"/>
      <c r="G20" s="5" t="s">
        <v>32</v>
      </c>
      <c r="I20" s="6" t="s">
        <v>4</v>
      </c>
      <c r="J20" s="6" t="s">
        <v>1</v>
      </c>
      <c r="K20" s="6" t="s">
        <v>2</v>
      </c>
      <c r="L20" s="6"/>
      <c r="M20" s="6" t="s">
        <v>1</v>
      </c>
      <c r="N20" s="6" t="s">
        <v>22</v>
      </c>
    </row>
    <row r="21" spans="2:14" x14ac:dyDescent="0.25">
      <c r="B21" s="2"/>
      <c r="C21" s="4">
        <f>$D$3*0.805/1000</f>
        <v>2.5543037690696981</v>
      </c>
      <c r="D21" s="2"/>
      <c r="E21" s="2" t="s">
        <v>21</v>
      </c>
      <c r="F21" s="2"/>
      <c r="G21" s="5" t="s">
        <v>32</v>
      </c>
      <c r="I21" s="2" t="s">
        <v>8</v>
      </c>
      <c r="J21" s="4">
        <v>4.6500000000000004</v>
      </c>
      <c r="K21" s="4">
        <f>J21*1000/2.9077</f>
        <v>1599.2021185129138</v>
      </c>
      <c r="L21" s="2" t="s">
        <v>9</v>
      </c>
      <c r="M21" s="2"/>
      <c r="N21" s="5"/>
    </row>
    <row r="22" spans="2:14" x14ac:dyDescent="0.25">
      <c r="I22" s="2"/>
      <c r="J22" s="4">
        <v>4.6500000000000004</v>
      </c>
      <c r="K22" s="4">
        <f>J22*1000/2.9152</f>
        <v>1595.0878155872667</v>
      </c>
      <c r="L22" s="2" t="s">
        <v>10</v>
      </c>
      <c r="M22" s="2"/>
      <c r="N22" s="5"/>
    </row>
    <row r="23" spans="2:14" x14ac:dyDescent="0.25">
      <c r="I23" s="2"/>
      <c r="J23" s="4">
        <v>4.66</v>
      </c>
      <c r="K23" s="4">
        <f>J23*1000/1.2238</f>
        <v>3807.8117339434548</v>
      </c>
      <c r="L23" s="2" t="s">
        <v>12</v>
      </c>
      <c r="M23" s="2"/>
      <c r="N23" s="5"/>
    </row>
    <row r="24" spans="2:14" x14ac:dyDescent="0.25">
      <c r="I24" s="2"/>
      <c r="J24" s="4">
        <v>4.66</v>
      </c>
      <c r="K24" s="4">
        <f>J24*1000/1.2245</f>
        <v>3805.6349530420584</v>
      </c>
      <c r="L24" s="2" t="s">
        <v>11</v>
      </c>
      <c r="M24" s="2"/>
      <c r="N24" s="5"/>
    </row>
    <row r="25" spans="2:14" x14ac:dyDescent="0.25">
      <c r="I25" s="13" t="s">
        <v>13</v>
      </c>
      <c r="J25" s="13"/>
      <c r="K25" s="13"/>
      <c r="L25" s="13"/>
      <c r="M25" s="4">
        <f>J21-J29</f>
        <v>1.4579925714482247</v>
      </c>
      <c r="N25" s="5" t="s">
        <v>27</v>
      </c>
    </row>
    <row r="26" spans="2:14" x14ac:dyDescent="0.25">
      <c r="I26" s="13" t="s">
        <v>14</v>
      </c>
      <c r="J26" s="13"/>
      <c r="K26" s="13"/>
      <c r="L26" s="13"/>
      <c r="M26" s="4">
        <f t="shared" ref="M26:M28" si="2">J22-J30</f>
        <v>1.4662047200878159</v>
      </c>
      <c r="N26" s="5" t="s">
        <v>28</v>
      </c>
    </row>
    <row r="27" spans="2:14" x14ac:dyDescent="0.25">
      <c r="I27" s="12" t="s">
        <v>15</v>
      </c>
      <c r="J27" s="12"/>
      <c r="K27" s="12"/>
      <c r="L27" s="12"/>
      <c r="M27" s="4">
        <f t="shared" si="2"/>
        <v>1.594711554175519</v>
      </c>
      <c r="N27" s="5" t="s">
        <v>29</v>
      </c>
    </row>
    <row r="28" spans="2:14" x14ac:dyDescent="0.25">
      <c r="I28" s="12" t="s">
        <v>16</v>
      </c>
      <c r="J28" s="12"/>
      <c r="K28" s="12"/>
      <c r="L28" s="12"/>
      <c r="M28" s="4">
        <f t="shared" si="2"/>
        <v>1.5964638628011425</v>
      </c>
      <c r="N28" s="5" t="s">
        <v>30</v>
      </c>
    </row>
    <row r="29" spans="2:14" x14ac:dyDescent="0.25">
      <c r="I29" s="2" t="s">
        <v>19</v>
      </c>
      <c r="J29" s="4">
        <f>K21*1.996/1000</f>
        <v>3.1920074285517757</v>
      </c>
      <c r="K29" s="2"/>
      <c r="L29" s="2" t="s">
        <v>20</v>
      </c>
      <c r="M29" s="2"/>
      <c r="N29" s="5" t="s">
        <v>31</v>
      </c>
    </row>
    <row r="30" spans="2:14" x14ac:dyDescent="0.25">
      <c r="I30" s="2"/>
      <c r="J30" s="4">
        <f>K22*1.996/1000</f>
        <v>3.1837952799121845</v>
      </c>
      <c r="K30" s="2"/>
      <c r="L30" s="2" t="s">
        <v>20</v>
      </c>
      <c r="M30" s="2"/>
      <c r="N30" s="5" t="s">
        <v>31</v>
      </c>
    </row>
    <row r="31" spans="2:14" x14ac:dyDescent="0.25">
      <c r="I31" s="2"/>
      <c r="J31" s="4">
        <f>K23*0.805/1000</f>
        <v>3.0652884458244811</v>
      </c>
      <c r="K31" s="2"/>
      <c r="L31" s="2" t="s">
        <v>21</v>
      </c>
      <c r="M31" s="2"/>
      <c r="N31" s="5" t="s">
        <v>32</v>
      </c>
    </row>
    <row r="32" spans="2:14" x14ac:dyDescent="0.25">
      <c r="I32" s="2"/>
      <c r="J32" s="4">
        <f>K24*0.805/1000</f>
        <v>3.0635361371988576</v>
      </c>
      <c r="K32" s="2"/>
      <c r="L32" s="2" t="s">
        <v>21</v>
      </c>
      <c r="M32" s="2"/>
      <c r="N32" s="5" t="s">
        <v>32</v>
      </c>
    </row>
  </sheetData>
  <mergeCells count="18">
    <mergeCell ref="I13:L13"/>
    <mergeCell ref="I25:L25"/>
    <mergeCell ref="I26:L26"/>
    <mergeCell ref="I27:L27"/>
    <mergeCell ref="I28:L28"/>
    <mergeCell ref="I4:L4"/>
    <mergeCell ref="I5:L5"/>
    <mergeCell ref="I10:L10"/>
    <mergeCell ref="I11:L11"/>
    <mergeCell ref="I12:L12"/>
    <mergeCell ref="B17:E17"/>
    <mergeCell ref="B8:E8"/>
    <mergeCell ref="B9:E9"/>
    <mergeCell ref="B4:E4"/>
    <mergeCell ref="B6:E6"/>
    <mergeCell ref="B14:E14"/>
    <mergeCell ref="B15:E15"/>
    <mergeCell ref="B16:E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>
      <selection activeCell="G25" sqref="G2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7</v>
      </c>
    </row>
    <row r="2" spans="2:14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x14ac:dyDescent="0.25">
      <c r="B3" s="2" t="s">
        <v>33</v>
      </c>
      <c r="C3" s="3">
        <v>211.02</v>
      </c>
      <c r="D3" s="4">
        <f>C3*1000/18.008</f>
        <v>11718.125277654377</v>
      </c>
      <c r="E3" s="2"/>
      <c r="F3" s="2"/>
      <c r="G3" s="2"/>
      <c r="I3" s="2" t="s">
        <v>7</v>
      </c>
      <c r="J3" s="4">
        <v>12.8</v>
      </c>
      <c r="K3" s="4">
        <f>J3*1000/9.8816</f>
        <v>1295.3367875647668</v>
      </c>
      <c r="L3" s="2"/>
      <c r="M3" s="2"/>
      <c r="N3" s="5"/>
    </row>
    <row r="4" spans="2:14" x14ac:dyDescent="0.25">
      <c r="B4" s="12" t="s">
        <v>35</v>
      </c>
      <c r="C4" s="12"/>
      <c r="D4" s="12"/>
      <c r="E4" s="12"/>
      <c r="F4" s="4">
        <f>C3-C5</f>
        <v>95.226173256330512</v>
      </c>
      <c r="G4" s="5" t="s">
        <v>36</v>
      </c>
      <c r="I4" s="12" t="s">
        <v>37</v>
      </c>
      <c r="J4" s="12"/>
      <c r="K4" s="12"/>
      <c r="L4" s="12"/>
      <c r="M4" s="4">
        <f>(J3-J6-J7-J8-J9)*0.6</f>
        <v>0.85290155440414572</v>
      </c>
      <c r="N4" s="5" t="s">
        <v>39</v>
      </c>
    </row>
    <row r="5" spans="2:14" x14ac:dyDescent="0.25">
      <c r="B5" s="2" t="s">
        <v>7</v>
      </c>
      <c r="C5" s="4">
        <f>D3*9.8816/1000</f>
        <v>115.7938267436695</v>
      </c>
      <c r="D5" s="2"/>
      <c r="E5" s="2"/>
      <c r="F5" s="2"/>
      <c r="G5" s="5"/>
      <c r="I5" s="12" t="s">
        <v>38</v>
      </c>
      <c r="J5" s="12"/>
      <c r="K5" s="12"/>
      <c r="L5" s="12"/>
      <c r="M5" s="4">
        <f>(J3-J6-J7-J8-J9)*0.4</f>
        <v>0.56860103626943059</v>
      </c>
      <c r="N5" s="5" t="s">
        <v>40</v>
      </c>
    </row>
    <row r="6" spans="2:14" x14ac:dyDescent="0.25">
      <c r="B6" s="12" t="s">
        <v>37</v>
      </c>
      <c r="C6" s="12"/>
      <c r="D6" s="12"/>
      <c r="E6" s="12"/>
      <c r="F6" s="4">
        <f>($C$5-$C$8-$C$9-$C$10-$C$11)*0.6</f>
        <v>7.7156824078187567</v>
      </c>
      <c r="G6" s="5" t="s">
        <v>39</v>
      </c>
      <c r="H6" s="8"/>
      <c r="I6" s="2" t="s">
        <v>8</v>
      </c>
      <c r="J6" s="4">
        <f>$K$3*3.6328/1000</f>
        <v>4.7056994818652846</v>
      </c>
      <c r="K6" s="2"/>
      <c r="L6" s="2" t="s">
        <v>9</v>
      </c>
      <c r="M6" s="2"/>
      <c r="N6" s="5"/>
    </row>
    <row r="7" spans="2:14" x14ac:dyDescent="0.25">
      <c r="B7" s="12" t="s">
        <v>38</v>
      </c>
      <c r="C7" s="12"/>
      <c r="D7" s="12"/>
      <c r="E7" s="12"/>
      <c r="F7" s="4">
        <f>($C$5-$C$8-$C$9-$C$10-$C$11)*0.4</f>
        <v>5.1437882718791714</v>
      </c>
      <c r="G7" s="5" t="s">
        <v>40</v>
      </c>
      <c r="I7" s="2"/>
      <c r="J7" s="4">
        <f>$K$3*3.6328/1000</f>
        <v>4.7056994818652846</v>
      </c>
      <c r="K7" s="2"/>
      <c r="L7" s="2" t="s">
        <v>10</v>
      </c>
      <c r="M7" s="2"/>
      <c r="N7" s="5"/>
    </row>
    <row r="8" spans="2:14" x14ac:dyDescent="0.25">
      <c r="B8" s="2" t="s">
        <v>8</v>
      </c>
      <c r="C8" s="4">
        <f>$D$3*3.6328/1000</f>
        <v>42.569605508662818</v>
      </c>
      <c r="D8" s="2"/>
      <c r="E8" s="2" t="s">
        <v>9</v>
      </c>
      <c r="F8" s="2"/>
      <c r="G8" s="5"/>
      <c r="I8" s="2"/>
      <c r="J8" s="4">
        <f>$K$3*0.7593/1000</f>
        <v>0.98354922279792745</v>
      </c>
      <c r="K8" s="2"/>
      <c r="L8" s="2" t="s">
        <v>12</v>
      </c>
      <c r="M8" s="2"/>
      <c r="N8" s="5"/>
    </row>
    <row r="9" spans="2:14" x14ac:dyDescent="0.25">
      <c r="B9" s="2"/>
      <c r="C9" s="4">
        <f>$D$3*3.6328/1000</f>
        <v>42.569605508662818</v>
      </c>
      <c r="D9" s="2"/>
      <c r="E9" s="2" t="s">
        <v>10</v>
      </c>
      <c r="F9" s="2"/>
      <c r="G9" s="5"/>
      <c r="I9" s="2"/>
      <c r="J9" s="4">
        <f>$K$3*0.7593/1000</f>
        <v>0.98354922279792745</v>
      </c>
      <c r="K9" s="2"/>
      <c r="L9" s="2" t="s">
        <v>41</v>
      </c>
      <c r="M9" s="2"/>
      <c r="N9" s="5"/>
    </row>
    <row r="10" spans="2:14" x14ac:dyDescent="0.25">
      <c r="B10" s="2"/>
      <c r="C10" s="4">
        <f>$D$3*0.7593/1000</f>
        <v>8.8975725233229674</v>
      </c>
      <c r="D10" s="2"/>
      <c r="E10" s="2" t="s">
        <v>12</v>
      </c>
      <c r="F10" s="2"/>
      <c r="G10" s="5"/>
      <c r="I10" s="13" t="s">
        <v>42</v>
      </c>
      <c r="J10" s="13"/>
      <c r="K10" s="13"/>
      <c r="L10" s="13"/>
      <c r="M10" s="4">
        <f>((J6+J7+J8+J9)-(J12+J13+J14+J15))*0.94</f>
        <v>1.6954093264248717</v>
      </c>
      <c r="N10" s="5" t="s">
        <v>47</v>
      </c>
    </row>
    <row r="11" spans="2:14" x14ac:dyDescent="0.25">
      <c r="B11" s="2"/>
      <c r="C11" s="4">
        <f>$D$3*0.7593/1000</f>
        <v>8.8975725233229674</v>
      </c>
      <c r="D11" s="2"/>
      <c r="E11" s="2" t="s">
        <v>41</v>
      </c>
      <c r="F11" s="2"/>
      <c r="G11" s="5"/>
      <c r="I11" s="13" t="s">
        <v>43</v>
      </c>
      <c r="J11" s="13"/>
      <c r="K11" s="13"/>
      <c r="L11" s="13"/>
      <c r="M11" s="4">
        <f>((J6+J7+J8+J9)-(J12+J13+J14+J15))*0.06</f>
        <v>0.10821761658031097</v>
      </c>
      <c r="N11" s="5" t="s">
        <v>48</v>
      </c>
    </row>
    <row r="12" spans="2:14" x14ac:dyDescent="0.25">
      <c r="B12" s="13" t="s">
        <v>42</v>
      </c>
      <c r="C12" s="13"/>
      <c r="D12" s="13"/>
      <c r="E12" s="13"/>
      <c r="F12" s="4">
        <f>((C8+C9+C10+C11)-(C14+C15+C16+C17))*0.94</f>
        <v>15.337338578409573</v>
      </c>
      <c r="G12" s="5" t="s">
        <v>47</v>
      </c>
      <c r="I12" s="2" t="s">
        <v>19</v>
      </c>
      <c r="J12" s="4">
        <f>$K$3*3.194/1000</f>
        <v>4.1373056994818649</v>
      </c>
      <c r="K12" s="2"/>
      <c r="L12" s="2" t="s">
        <v>44</v>
      </c>
      <c r="M12" s="2"/>
      <c r="N12" s="5" t="s">
        <v>46</v>
      </c>
    </row>
    <row r="13" spans="2:14" x14ac:dyDescent="0.25">
      <c r="B13" s="13" t="s">
        <v>43</v>
      </c>
      <c r="C13" s="13"/>
      <c r="D13" s="13"/>
      <c r="E13" s="13"/>
      <c r="F13" s="4">
        <f>((C8+C9+C10+C11)-(C14+C15+C16+C17))*0.06</f>
        <v>0.97897905819635578</v>
      </c>
      <c r="G13" s="5" t="s">
        <v>48</v>
      </c>
      <c r="I13" s="2"/>
      <c r="J13" s="4">
        <f>$K$3*3.194/1000</f>
        <v>4.1373056994818649</v>
      </c>
      <c r="K13" s="2"/>
      <c r="L13" s="2" t="s">
        <v>44</v>
      </c>
      <c r="M13" s="2"/>
      <c r="N13" s="5" t="s">
        <v>46</v>
      </c>
    </row>
    <row r="14" spans="2:14" x14ac:dyDescent="0.25">
      <c r="B14" s="2" t="s">
        <v>19</v>
      </c>
      <c r="C14" s="4">
        <f>$D$3*3.194/1000</f>
        <v>37.427692136828085</v>
      </c>
      <c r="D14" s="2"/>
      <c r="E14" s="2" t="s">
        <v>44</v>
      </c>
      <c r="F14" s="2"/>
      <c r="G14" s="5" t="s">
        <v>46</v>
      </c>
      <c r="I14" s="2"/>
      <c r="J14" s="4">
        <f>$K$3*0.5019/1000</f>
        <v>0.65012953367875648</v>
      </c>
      <c r="K14" s="2"/>
      <c r="L14" s="2" t="s">
        <v>45</v>
      </c>
      <c r="M14" s="2"/>
      <c r="N14" s="5" t="s">
        <v>46</v>
      </c>
    </row>
    <row r="15" spans="2:14" x14ac:dyDescent="0.25">
      <c r="B15" s="2"/>
      <c r="C15" s="4">
        <f>$D$3*3.194/1000</f>
        <v>37.427692136828085</v>
      </c>
      <c r="D15" s="2"/>
      <c r="E15" s="2" t="s">
        <v>44</v>
      </c>
      <c r="F15" s="2"/>
      <c r="G15" s="5" t="s">
        <v>46</v>
      </c>
      <c r="I15" s="2"/>
      <c r="J15" s="4">
        <f>$K$3*0.5019/1000</f>
        <v>0.65012953367875648</v>
      </c>
      <c r="K15" s="2"/>
      <c r="L15" s="2" t="s">
        <v>45</v>
      </c>
      <c r="M15" s="2"/>
      <c r="N15" s="5" t="s">
        <v>46</v>
      </c>
    </row>
    <row r="16" spans="2:14" x14ac:dyDescent="0.25">
      <c r="B16" s="2"/>
      <c r="C16" s="4">
        <f>$D$3*0.5019/1000</f>
        <v>5.8813270768547321</v>
      </c>
      <c r="D16" s="2"/>
      <c r="E16" s="2" t="s">
        <v>45</v>
      </c>
      <c r="F16" s="2"/>
      <c r="G16" s="5" t="s">
        <v>46</v>
      </c>
    </row>
    <row r="17" spans="2:14" ht="15.75" x14ac:dyDescent="0.25">
      <c r="B17" s="2"/>
      <c r="C17" s="4">
        <f>$D$3*0.5019/1000</f>
        <v>5.8813270768547321</v>
      </c>
      <c r="D17" s="2"/>
      <c r="E17" s="2" t="s">
        <v>45</v>
      </c>
      <c r="F17" s="2"/>
      <c r="G17" s="5" t="s">
        <v>46</v>
      </c>
      <c r="I17" s="7" t="s">
        <v>34</v>
      </c>
    </row>
    <row r="18" spans="2:14" x14ac:dyDescent="0.25">
      <c r="I18" s="6" t="s">
        <v>4</v>
      </c>
      <c r="J18" s="6" t="s">
        <v>1</v>
      </c>
      <c r="K18" s="6" t="s">
        <v>2</v>
      </c>
      <c r="L18" s="6"/>
      <c r="M18" s="6" t="s">
        <v>1</v>
      </c>
      <c r="N18" s="6" t="s">
        <v>22</v>
      </c>
    </row>
    <row r="19" spans="2:14" x14ac:dyDescent="0.25">
      <c r="I19" s="2" t="s">
        <v>8</v>
      </c>
      <c r="J19" s="4">
        <v>16.52</v>
      </c>
      <c r="K19" s="4">
        <f>J19*1000/3.6328</f>
        <v>4547.4565073772301</v>
      </c>
      <c r="L19" s="2" t="s">
        <v>9</v>
      </c>
      <c r="M19" s="2"/>
      <c r="N19" s="5"/>
    </row>
    <row r="20" spans="2:14" x14ac:dyDescent="0.25">
      <c r="I20" s="2"/>
      <c r="J20" s="4">
        <v>16.52</v>
      </c>
      <c r="K20" s="4">
        <f>J20*1000/3.6328</f>
        <v>4547.4565073772301</v>
      </c>
      <c r="L20" s="2" t="s">
        <v>10</v>
      </c>
      <c r="M20" s="2"/>
      <c r="N20" s="5"/>
    </row>
    <row r="21" spans="2:14" x14ac:dyDescent="0.25">
      <c r="I21" s="2"/>
      <c r="J21" s="4">
        <v>16.52</v>
      </c>
      <c r="K21" s="4">
        <f>J21*1000/0.7593</f>
        <v>21756.881338074541</v>
      </c>
      <c r="L21" s="2" t="s">
        <v>12</v>
      </c>
      <c r="M21" s="2"/>
      <c r="N21" s="5"/>
    </row>
    <row r="22" spans="2:14" x14ac:dyDescent="0.25">
      <c r="I22" s="2"/>
      <c r="J22" s="4">
        <v>16.52</v>
      </c>
      <c r="K22" s="4">
        <f>J22*1000/0.7593</f>
        <v>21756.881338074541</v>
      </c>
      <c r="L22" s="2" t="s">
        <v>41</v>
      </c>
      <c r="M22" s="2"/>
      <c r="N22" s="5"/>
    </row>
    <row r="23" spans="2:14" x14ac:dyDescent="0.25">
      <c r="I23" s="13" t="s">
        <v>42</v>
      </c>
      <c r="J23" s="13"/>
      <c r="K23" s="13"/>
      <c r="L23" s="13"/>
      <c r="M23" s="4">
        <f>((J19+J20+J21+J22)-(J25+J26+J27+J28))*0.94</f>
        <v>14.279812923092123</v>
      </c>
      <c r="N23" s="5" t="s">
        <v>47</v>
      </c>
    </row>
    <row r="24" spans="2:14" x14ac:dyDescent="0.25">
      <c r="I24" s="13" t="s">
        <v>43</v>
      </c>
      <c r="J24" s="13"/>
      <c r="K24" s="13"/>
      <c r="L24" s="13"/>
      <c r="M24" s="4">
        <f>((J19+J20+J21+J22)-(J25+J26+J27+J28))*0.06</f>
        <v>0.91147742062290149</v>
      </c>
      <c r="N24" s="5" t="s">
        <v>48</v>
      </c>
    </row>
    <row r="25" spans="2:14" x14ac:dyDescent="0.25">
      <c r="I25" s="2" t="s">
        <v>19</v>
      </c>
      <c r="J25" s="4">
        <f>K19*3.194/1000</f>
        <v>14.524576084562872</v>
      </c>
      <c r="K25" s="2"/>
      <c r="L25" s="2" t="s">
        <v>44</v>
      </c>
      <c r="M25" s="2"/>
      <c r="N25" s="5" t="s">
        <v>46</v>
      </c>
    </row>
    <row r="26" spans="2:14" x14ac:dyDescent="0.25">
      <c r="I26" s="2"/>
      <c r="J26" s="4">
        <f>K20*3.194/1000</f>
        <v>14.524576084562872</v>
      </c>
      <c r="K26" s="2"/>
      <c r="L26" s="2" t="s">
        <v>44</v>
      </c>
      <c r="M26" s="2"/>
      <c r="N26" s="5" t="s">
        <v>46</v>
      </c>
    </row>
    <row r="27" spans="2:14" x14ac:dyDescent="0.25">
      <c r="I27" s="2"/>
      <c r="J27" s="4">
        <f>K21*0.5019/1000</f>
        <v>10.919778743579613</v>
      </c>
      <c r="K27" s="2"/>
      <c r="L27" s="2" t="s">
        <v>45</v>
      </c>
      <c r="M27" s="2"/>
      <c r="N27" s="5" t="s">
        <v>46</v>
      </c>
    </row>
    <row r="28" spans="2:14" x14ac:dyDescent="0.25">
      <c r="I28" s="2"/>
      <c r="J28" s="4">
        <f>K22*0.5019/1000</f>
        <v>10.919778743579613</v>
      </c>
      <c r="K28" s="2"/>
      <c r="L28" s="2" t="s">
        <v>45</v>
      </c>
      <c r="M28" s="2"/>
      <c r="N28" s="5" t="s">
        <v>46</v>
      </c>
    </row>
  </sheetData>
  <mergeCells count="11">
    <mergeCell ref="I23:L23"/>
    <mergeCell ref="I24:L24"/>
    <mergeCell ref="I11:L11"/>
    <mergeCell ref="I10:L10"/>
    <mergeCell ref="I5:L5"/>
    <mergeCell ref="I4:L4"/>
    <mergeCell ref="B12:E12"/>
    <mergeCell ref="B13:E13"/>
    <mergeCell ref="B4:E4"/>
    <mergeCell ref="B6:E6"/>
    <mergeCell ref="B7:E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Normal="100" workbookViewId="0">
      <selection activeCell="H18" sqref="H18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16384" width="9.140625" style="1"/>
  </cols>
  <sheetData>
    <row r="1" spans="2:8" ht="15" customHeight="1" x14ac:dyDescent="0.25">
      <c r="B1" s="7" t="s">
        <v>0</v>
      </c>
    </row>
    <row r="2" spans="2:8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</row>
    <row r="3" spans="2:8" x14ac:dyDescent="0.25">
      <c r="B3" s="2" t="s">
        <v>33</v>
      </c>
      <c r="C3" s="3">
        <v>6.28</v>
      </c>
      <c r="D3" s="4">
        <f>C3*1000/10.6615</f>
        <v>589.03531398020914</v>
      </c>
      <c r="E3" s="2"/>
      <c r="F3" s="2"/>
      <c r="G3" s="2"/>
    </row>
    <row r="4" spans="2:8" x14ac:dyDescent="0.25">
      <c r="B4" s="12" t="s">
        <v>50</v>
      </c>
      <c r="C4" s="12"/>
      <c r="D4" s="12"/>
      <c r="E4" s="12"/>
      <c r="F4" s="4">
        <f>C3-C5</f>
        <v>2.8715471556535199</v>
      </c>
      <c r="G4" s="5" t="s">
        <v>23</v>
      </c>
    </row>
    <row r="5" spans="2:8" x14ac:dyDescent="0.25">
      <c r="B5" s="2" t="s">
        <v>49</v>
      </c>
      <c r="C5" s="4">
        <f>D3*5.7865/1000</f>
        <v>3.4084528443464803</v>
      </c>
      <c r="D5" s="2"/>
      <c r="E5" s="2"/>
      <c r="F5" s="2"/>
      <c r="G5" s="5"/>
    </row>
    <row r="6" spans="2:8" x14ac:dyDescent="0.25">
      <c r="B6" s="12" t="s">
        <v>18</v>
      </c>
      <c r="C6" s="12"/>
      <c r="D6" s="12"/>
      <c r="E6" s="12"/>
      <c r="F6" s="4">
        <f>C5-C7</f>
        <v>1.4343598930732075</v>
      </c>
      <c r="G6" s="5" t="s">
        <v>26</v>
      </c>
      <c r="H6" s="8"/>
    </row>
    <row r="7" spans="2:8" x14ac:dyDescent="0.25">
      <c r="B7" s="2" t="s">
        <v>8</v>
      </c>
      <c r="C7" s="4">
        <f>$D$3*3.3514/1000</f>
        <v>1.9740929512732728</v>
      </c>
      <c r="D7" s="2"/>
      <c r="E7" s="2" t="s">
        <v>12</v>
      </c>
      <c r="F7" s="2"/>
      <c r="G7" s="5"/>
    </row>
    <row r="8" spans="2:8" x14ac:dyDescent="0.25">
      <c r="B8" s="13" t="s">
        <v>52</v>
      </c>
      <c r="C8" s="13"/>
      <c r="D8" s="13"/>
      <c r="E8" s="13"/>
      <c r="F8" s="4">
        <f>C7-C9</f>
        <v>0.79189907611499311</v>
      </c>
      <c r="G8" s="5" t="s">
        <v>51</v>
      </c>
    </row>
    <row r="9" spans="2:8" x14ac:dyDescent="0.25">
      <c r="B9" s="2" t="s">
        <v>19</v>
      </c>
      <c r="C9" s="4">
        <f>$D$3*2.007/1000</f>
        <v>1.1821938751582797</v>
      </c>
      <c r="D9" s="2"/>
      <c r="E9" s="2" t="s">
        <v>53</v>
      </c>
      <c r="F9" s="2"/>
      <c r="G9" s="5" t="s">
        <v>54</v>
      </c>
    </row>
  </sheetData>
  <mergeCells count="3">
    <mergeCell ref="B4:E4"/>
    <mergeCell ref="B6:E6"/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>
      <selection activeCell="G17" sqref="G17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148.28</v>
      </c>
      <c r="D3" s="4">
        <f>C3*1000/20.1406</f>
        <v>7362.2434286962653</v>
      </c>
      <c r="E3" s="2"/>
      <c r="F3" s="2"/>
      <c r="G3" s="2"/>
      <c r="I3" s="2" t="s">
        <v>8</v>
      </c>
      <c r="J3" s="4">
        <v>21.04</v>
      </c>
      <c r="K3" s="4">
        <f>J3*1000/1.9509</f>
        <v>10784.76600543339</v>
      </c>
      <c r="L3" s="2" t="s">
        <v>9</v>
      </c>
      <c r="M3" s="2"/>
      <c r="N3" s="5"/>
    </row>
    <row r="4" spans="2:14" ht="15" customHeight="1" x14ac:dyDescent="0.25">
      <c r="B4" s="12" t="s">
        <v>59</v>
      </c>
      <c r="C4" s="12"/>
      <c r="D4" s="12"/>
      <c r="E4" s="12"/>
      <c r="F4" s="4">
        <f>C3-C5</f>
        <v>75.483609425737072</v>
      </c>
      <c r="G4" s="5" t="s">
        <v>23</v>
      </c>
      <c r="I4" s="2"/>
      <c r="J4" s="4">
        <v>21.03</v>
      </c>
      <c r="K4" s="4">
        <f>J4*1000/1.9509</f>
        <v>10779.640166077195</v>
      </c>
      <c r="L4" s="2" t="s">
        <v>10</v>
      </c>
      <c r="M4" s="2"/>
      <c r="N4" s="5"/>
    </row>
    <row r="5" spans="2:14" ht="15" customHeight="1" x14ac:dyDescent="0.25">
      <c r="B5" s="2" t="s">
        <v>7</v>
      </c>
      <c r="C5" s="4">
        <f>D3*9.8878/1000</f>
        <v>72.796390574262929</v>
      </c>
      <c r="D5" s="2"/>
      <c r="E5" s="2"/>
      <c r="F5" s="2"/>
      <c r="G5" s="5"/>
      <c r="I5" s="2"/>
      <c r="J5" s="4">
        <v>21.03</v>
      </c>
      <c r="K5" s="4">
        <f>J5*1000/0.7332</f>
        <v>28682.487725040919</v>
      </c>
      <c r="L5" s="2" t="s">
        <v>12</v>
      </c>
      <c r="M5" s="2"/>
      <c r="N5" s="5"/>
    </row>
    <row r="6" spans="2:14" ht="15" customHeight="1" x14ac:dyDescent="0.25">
      <c r="B6" s="12" t="s">
        <v>55</v>
      </c>
      <c r="C6" s="12"/>
      <c r="D6" s="12"/>
      <c r="E6" s="12"/>
      <c r="F6" s="4">
        <f>($C$5-$C$8-$C$9-$C$10)*0.6</f>
        <v>5.9678345233011871</v>
      </c>
      <c r="G6" s="5" t="s">
        <v>39</v>
      </c>
      <c r="H6" s="8"/>
      <c r="I6" s="13" t="s">
        <v>42</v>
      </c>
      <c r="J6" s="13"/>
      <c r="K6" s="13"/>
      <c r="L6" s="13"/>
      <c r="M6" s="4">
        <f>((J3+J4+J5)-(J8+J9+J10))*0.95</f>
        <v>13.573093803017516</v>
      </c>
      <c r="N6" s="5" t="s">
        <v>47</v>
      </c>
    </row>
    <row r="7" spans="2:14" ht="15" customHeight="1" x14ac:dyDescent="0.25">
      <c r="B7" s="12" t="s">
        <v>56</v>
      </c>
      <c r="C7" s="12"/>
      <c r="D7" s="12"/>
      <c r="E7" s="12"/>
      <c r="F7" s="4">
        <f>($C$5-$C$8-$C$9-$C$10)*0.4</f>
        <v>3.9785563488674587</v>
      </c>
      <c r="G7" s="5" t="s">
        <v>57</v>
      </c>
      <c r="I7" s="13" t="s">
        <v>43</v>
      </c>
      <c r="J7" s="13"/>
      <c r="K7" s="13"/>
      <c r="L7" s="13"/>
      <c r="M7" s="4">
        <f>((J3+J4+J5)-(J8+J9+J10))*0.05</f>
        <v>0.71437335805355362</v>
      </c>
      <c r="N7" s="5" t="s">
        <v>48</v>
      </c>
    </row>
    <row r="8" spans="2:14" ht="15" customHeight="1" x14ac:dyDescent="0.25">
      <c r="B8" s="2" t="s">
        <v>8</v>
      </c>
      <c r="C8" s="4">
        <f>$D$3*1.9509/1000*2</f>
        <v>28.72600141008709</v>
      </c>
      <c r="D8" s="2"/>
      <c r="E8" s="2" t="s">
        <v>9</v>
      </c>
      <c r="F8" s="2"/>
      <c r="G8" s="5"/>
      <c r="I8" s="2" t="s">
        <v>19</v>
      </c>
      <c r="J8" s="4">
        <f>$K$3*1.596/1000</f>
        <v>17.212486544671691</v>
      </c>
      <c r="K8" s="2"/>
      <c r="L8" s="2" t="s">
        <v>58</v>
      </c>
      <c r="M8" s="2"/>
      <c r="N8" s="5" t="s">
        <v>46</v>
      </c>
    </row>
    <row r="9" spans="2:14" ht="15" customHeight="1" x14ac:dyDescent="0.25">
      <c r="B9" s="2"/>
      <c r="C9" s="4">
        <f>$D$3*1.9509/1000*2</f>
        <v>28.72600141008709</v>
      </c>
      <c r="D9" s="2"/>
      <c r="E9" s="2" t="s">
        <v>10</v>
      </c>
      <c r="F9" s="2"/>
      <c r="G9" s="5"/>
      <c r="I9" s="2"/>
      <c r="J9" s="4">
        <f>$K$4*1.596/1000</f>
        <v>17.204305705059202</v>
      </c>
      <c r="K9" s="2"/>
      <c r="L9" s="2" t="s">
        <v>58</v>
      </c>
      <c r="M9" s="2"/>
      <c r="N9" s="5" t="s">
        <v>46</v>
      </c>
    </row>
    <row r="10" spans="2:14" ht="15" customHeight="1" x14ac:dyDescent="0.25">
      <c r="B10" s="2"/>
      <c r="C10" s="4">
        <f>$D$3*0.7332/1000</f>
        <v>5.3979968819201014</v>
      </c>
      <c r="D10" s="2"/>
      <c r="E10" s="2" t="s">
        <v>12</v>
      </c>
      <c r="F10" s="2"/>
      <c r="G10" s="5"/>
      <c r="I10" s="2"/>
      <c r="J10" s="4">
        <f>$K$5*0.5019/1000</f>
        <v>14.395740589198038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13" t="s">
        <v>42</v>
      </c>
      <c r="C11" s="13"/>
      <c r="D11" s="13"/>
      <c r="E11" s="13"/>
      <c r="F11" s="4">
        <f>((C8+C9+C10)-(C13+C14+C15))*0.95</f>
        <v>11.546611292612935</v>
      </c>
      <c r="G11" s="5" t="s">
        <v>47</v>
      </c>
      <c r="I11" s="9"/>
      <c r="J11" s="9"/>
      <c r="K11" s="9"/>
      <c r="L11" s="9"/>
      <c r="M11" s="9"/>
      <c r="N11" s="9"/>
    </row>
    <row r="12" spans="2:14" ht="15" customHeight="1" x14ac:dyDescent="0.25">
      <c r="B12" s="13" t="s">
        <v>43</v>
      </c>
      <c r="C12" s="13"/>
      <c r="D12" s="13"/>
      <c r="E12" s="13"/>
      <c r="F12" s="4">
        <f>((C8+C9+C10)-(C13+C14+C15))*0.05</f>
        <v>0.60771638382173343</v>
      </c>
      <c r="G12" s="5" t="s">
        <v>48</v>
      </c>
      <c r="I12" s="9"/>
      <c r="J12" s="9"/>
      <c r="K12" s="9"/>
      <c r="L12" s="9"/>
      <c r="M12" s="9"/>
      <c r="N12" s="9"/>
    </row>
    <row r="13" spans="2:14" ht="15" customHeight="1" x14ac:dyDescent="0.25">
      <c r="B13" s="2" t="s">
        <v>19</v>
      </c>
      <c r="C13" s="4">
        <f>$D$3*1.596/1000*2</f>
        <v>23.500281024398479</v>
      </c>
      <c r="D13" s="2"/>
      <c r="E13" s="2" t="s">
        <v>58</v>
      </c>
      <c r="F13" s="2"/>
      <c r="G13" s="5" t="s">
        <v>46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2"/>
      <c r="C14" s="4">
        <f>$D$3*1.596/1000*2</f>
        <v>23.500281024398479</v>
      </c>
      <c r="D14" s="2"/>
      <c r="E14" s="2" t="s">
        <v>58</v>
      </c>
      <c r="F14" s="2"/>
      <c r="G14" s="5" t="s">
        <v>46</v>
      </c>
    </row>
    <row r="15" spans="2:14" ht="15" customHeight="1" x14ac:dyDescent="0.25">
      <c r="B15" s="2"/>
      <c r="C15" s="4">
        <f>$D$3*0.5019/1000</f>
        <v>3.6951099768626556</v>
      </c>
      <c r="D15" s="2"/>
      <c r="E15" s="2" t="s">
        <v>45</v>
      </c>
      <c r="F15" s="2"/>
      <c r="G15" s="5" t="s">
        <v>46</v>
      </c>
    </row>
  </sheetData>
  <mergeCells count="7">
    <mergeCell ref="B12:E12"/>
    <mergeCell ref="I7:L7"/>
    <mergeCell ref="I6:L6"/>
    <mergeCell ref="B4:E4"/>
    <mergeCell ref="B6:E6"/>
    <mergeCell ref="B7:E7"/>
    <mergeCell ref="B11:E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zoomScaleNormal="100" workbookViewId="0">
      <selection activeCell="I15" sqref="I1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44.32</v>
      </c>
      <c r="D3" s="4">
        <f>C3*1000/21.9</f>
        <v>2023.744292237443</v>
      </c>
      <c r="E3" s="2"/>
      <c r="F3" s="2"/>
      <c r="G3" s="2"/>
      <c r="I3" s="2" t="s">
        <v>8</v>
      </c>
      <c r="J3" s="2">
        <v>20</v>
      </c>
      <c r="K3" s="4">
        <f>J3*1000/5.4304</f>
        <v>3682.9699469652328</v>
      </c>
      <c r="L3" s="2" t="s">
        <v>9</v>
      </c>
      <c r="M3" s="2"/>
      <c r="N3" s="5"/>
    </row>
    <row r="4" spans="2:14" ht="15" customHeight="1" x14ac:dyDescent="0.25">
      <c r="B4" s="12" t="s">
        <v>35</v>
      </c>
      <c r="C4" s="12"/>
      <c r="D4" s="12"/>
      <c r="E4" s="12"/>
      <c r="F4" s="4">
        <f>C3-C5</f>
        <v>18.966531506849314</v>
      </c>
      <c r="G4" s="5" t="s">
        <v>36</v>
      </c>
      <c r="I4" s="2"/>
      <c r="J4" s="2">
        <v>16.32</v>
      </c>
      <c r="K4" s="4">
        <f>J4*1000/0.8</f>
        <v>20400</v>
      </c>
      <c r="L4" s="2" t="s">
        <v>62</v>
      </c>
      <c r="M4" s="2"/>
      <c r="N4" s="5"/>
    </row>
    <row r="5" spans="2:14" ht="15" customHeight="1" x14ac:dyDescent="0.25">
      <c r="B5" s="2" t="s">
        <v>49</v>
      </c>
      <c r="C5" s="4">
        <f>D3*12.528/1000</f>
        <v>25.353468493150686</v>
      </c>
      <c r="D5" s="2"/>
      <c r="E5" s="2"/>
      <c r="F5" s="2"/>
      <c r="G5" s="2"/>
      <c r="I5" s="2"/>
      <c r="J5" s="2">
        <v>16.32</v>
      </c>
      <c r="K5" s="4">
        <f>J5*1000/0.8</f>
        <v>20400</v>
      </c>
      <c r="L5" s="2" t="s">
        <v>12</v>
      </c>
      <c r="M5" s="2"/>
      <c r="N5" s="5"/>
    </row>
    <row r="6" spans="2:14" ht="15" customHeight="1" x14ac:dyDescent="0.25">
      <c r="B6" s="17" t="s">
        <v>60</v>
      </c>
      <c r="C6" s="18"/>
      <c r="D6" s="18"/>
      <c r="E6" s="19"/>
      <c r="F6" s="4">
        <f>C5-C7</f>
        <v>9.2578206392694078</v>
      </c>
      <c r="G6" s="2" t="s">
        <v>64</v>
      </c>
      <c r="H6" s="8"/>
      <c r="I6" s="14" t="s">
        <v>42</v>
      </c>
      <c r="J6" s="15"/>
      <c r="K6" s="15"/>
      <c r="L6" s="16"/>
      <c r="M6" s="4">
        <f>((J3+J4+J5)-(J8+J9+J10))*0.945</f>
        <v>14.694125509251618</v>
      </c>
      <c r="N6" s="5" t="s">
        <v>47</v>
      </c>
    </row>
    <row r="7" spans="2:14" ht="15" customHeight="1" x14ac:dyDescent="0.25">
      <c r="B7" s="2" t="s">
        <v>7</v>
      </c>
      <c r="C7" s="4">
        <f>D3*7.9534/1000</f>
        <v>16.095647853881278</v>
      </c>
      <c r="D7" s="2"/>
      <c r="E7" s="2"/>
      <c r="F7" s="2"/>
      <c r="G7" s="5"/>
      <c r="I7" s="14" t="s">
        <v>43</v>
      </c>
      <c r="J7" s="15"/>
      <c r="K7" s="15"/>
      <c r="L7" s="16"/>
      <c r="M7" s="4">
        <f>((J3+J4+J5)-(J8+J9+J10))*0.055</f>
        <v>0.85521365397760751</v>
      </c>
      <c r="N7" s="5" t="s">
        <v>48</v>
      </c>
    </row>
    <row r="8" spans="2:14" ht="15" customHeight="1" x14ac:dyDescent="0.25">
      <c r="B8" s="12" t="s">
        <v>61</v>
      </c>
      <c r="C8" s="12"/>
      <c r="D8" s="12"/>
      <c r="E8" s="12"/>
      <c r="F8" s="4">
        <f>($C$7-$C$10-$C$11-$C$12)*0.6</f>
        <v>1.1207495890410963</v>
      </c>
      <c r="G8" s="5" t="s">
        <v>39</v>
      </c>
      <c r="I8" s="2" t="s">
        <v>19</v>
      </c>
      <c r="J8" s="11">
        <f>$K$3*4.5108/1000</f>
        <v>16.613140836770771</v>
      </c>
      <c r="K8" s="2"/>
      <c r="L8" s="2" t="s">
        <v>63</v>
      </c>
      <c r="M8" s="2"/>
      <c r="N8" s="5" t="s">
        <v>46</v>
      </c>
    </row>
    <row r="9" spans="2:14" ht="15" customHeight="1" x14ac:dyDescent="0.25">
      <c r="B9" s="17" t="s">
        <v>38</v>
      </c>
      <c r="C9" s="18"/>
      <c r="D9" s="18"/>
      <c r="E9" s="19"/>
      <c r="F9" s="4">
        <f>($C$7-$C$10-$C$11-$C$12)*0.4</f>
        <v>0.74716639269406426</v>
      </c>
      <c r="G9" s="5" t="s">
        <v>40</v>
      </c>
      <c r="I9" s="2"/>
      <c r="J9" s="4">
        <f>$K$4*0.5019/1000</f>
        <v>10.238760000000001</v>
      </c>
      <c r="K9" s="2"/>
      <c r="L9" s="2" t="s">
        <v>45</v>
      </c>
      <c r="M9" s="2"/>
      <c r="N9" s="5" t="s">
        <v>46</v>
      </c>
    </row>
    <row r="10" spans="2:14" ht="15" customHeight="1" x14ac:dyDescent="0.25">
      <c r="B10" s="2" t="s">
        <v>8</v>
      </c>
      <c r="C10" s="4">
        <f>$D$3*5.4304/1000</f>
        <v>10.989741004566209</v>
      </c>
      <c r="D10" s="2"/>
      <c r="E10" s="2" t="s">
        <v>9</v>
      </c>
      <c r="F10" s="2"/>
      <c r="G10" s="5"/>
      <c r="I10" s="2"/>
      <c r="J10" s="4">
        <f>$K$5*0.5019/1000</f>
        <v>10.238760000000001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2"/>
      <c r="C11" s="4">
        <f>$D$3*0.8/1000</f>
        <v>1.6189954337899544</v>
      </c>
      <c r="D11" s="2"/>
      <c r="E11" s="2" t="s">
        <v>62</v>
      </c>
      <c r="F11" s="2"/>
      <c r="G11" s="5"/>
      <c r="I11" s="9"/>
      <c r="J11" s="9"/>
      <c r="K11" s="9"/>
      <c r="L11" s="9"/>
      <c r="M11" s="9"/>
      <c r="N11" s="9"/>
    </row>
    <row r="12" spans="2:14" ht="15" customHeight="1" x14ac:dyDescent="0.25">
      <c r="B12" s="2"/>
      <c r="C12" s="4">
        <f>$D$3*0.8/1000</f>
        <v>1.6189954337899544</v>
      </c>
      <c r="D12" s="2"/>
      <c r="E12" s="2" t="s">
        <v>12</v>
      </c>
      <c r="F12" s="2"/>
      <c r="G12" s="5"/>
      <c r="I12" s="9"/>
      <c r="J12" s="9"/>
      <c r="K12" s="9"/>
      <c r="L12" s="9"/>
      <c r="M12" s="9"/>
      <c r="N12" s="9"/>
    </row>
    <row r="13" spans="2:14" ht="15" customHeight="1" x14ac:dyDescent="0.25">
      <c r="B13" s="14" t="s">
        <v>42</v>
      </c>
      <c r="C13" s="15"/>
      <c r="D13" s="15"/>
      <c r="E13" s="16"/>
      <c r="F13" s="4">
        <f>((C10+C11+C12)-(C15+C16+C17))*0.945</f>
        <v>2.8988740602739709</v>
      </c>
      <c r="G13" s="5" t="s">
        <v>47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14" t="s">
        <v>43</v>
      </c>
      <c r="C14" s="15"/>
      <c r="D14" s="15"/>
      <c r="E14" s="16"/>
      <c r="F14" s="4">
        <f>((C10+C11+C12)-(C15+C16+C17))*0.055</f>
        <v>0.1687175378995433</v>
      </c>
      <c r="G14" s="5" t="s">
        <v>48</v>
      </c>
    </row>
    <row r="15" spans="2:14" ht="15" customHeight="1" x14ac:dyDescent="0.25">
      <c r="B15" s="2" t="s">
        <v>19</v>
      </c>
      <c r="C15" s="11">
        <f>$D$3*4.5108/1000</f>
        <v>9.1287057534246578</v>
      </c>
      <c r="D15" s="2"/>
      <c r="E15" s="2" t="s">
        <v>63</v>
      </c>
      <c r="F15" s="2"/>
      <c r="G15" s="5" t="s">
        <v>46</v>
      </c>
    </row>
    <row r="16" spans="2:14" x14ac:dyDescent="0.25">
      <c r="B16" s="2"/>
      <c r="C16" s="4">
        <f>$D$3*0.5019/1000</f>
        <v>1.0157172602739726</v>
      </c>
      <c r="D16" s="2"/>
      <c r="E16" s="2" t="s">
        <v>45</v>
      </c>
      <c r="F16" s="2"/>
      <c r="G16" s="5" t="s">
        <v>46</v>
      </c>
    </row>
    <row r="17" spans="2:7" x14ac:dyDescent="0.25">
      <c r="B17" s="2"/>
      <c r="C17" s="4">
        <f>$D$3*0.5019/1000</f>
        <v>1.0157172602739726</v>
      </c>
      <c r="D17" s="2"/>
      <c r="E17" s="2" t="s">
        <v>45</v>
      </c>
      <c r="F17" s="2"/>
      <c r="G17" s="5" t="s">
        <v>46</v>
      </c>
    </row>
  </sheetData>
  <mergeCells count="8">
    <mergeCell ref="B4:E4"/>
    <mergeCell ref="B8:E8"/>
    <mergeCell ref="I6:L6"/>
    <mergeCell ref="I7:L7"/>
    <mergeCell ref="B9:E9"/>
    <mergeCell ref="B13:E13"/>
    <mergeCell ref="B14:E14"/>
    <mergeCell ref="B6:E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zoomScaleNormal="100" workbookViewId="0">
      <selection activeCell="I15" sqref="I1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44.32</v>
      </c>
      <c r="D3" s="4">
        <f>C3*1000/21.9</f>
        <v>2023.744292237443</v>
      </c>
      <c r="E3" s="2"/>
      <c r="F3" s="2"/>
      <c r="G3" s="2"/>
      <c r="I3" s="2" t="s">
        <v>8</v>
      </c>
      <c r="J3" s="2">
        <v>20</v>
      </c>
      <c r="K3" s="4">
        <f>J3*1000/5.4304</f>
        <v>3682.9699469652328</v>
      </c>
      <c r="L3" s="2" t="s">
        <v>9</v>
      </c>
      <c r="M3" s="2"/>
      <c r="N3" s="5"/>
    </row>
    <row r="4" spans="2:14" ht="15" customHeight="1" x14ac:dyDescent="0.25">
      <c r="B4" s="12" t="s">
        <v>35</v>
      </c>
      <c r="C4" s="12"/>
      <c r="D4" s="12"/>
      <c r="E4" s="12"/>
      <c r="F4" s="4">
        <f>C3-C5</f>
        <v>18.966531506849314</v>
      </c>
      <c r="G4" s="5" t="s">
        <v>36</v>
      </c>
      <c r="I4" s="2"/>
      <c r="J4" s="2">
        <v>16.32</v>
      </c>
      <c r="K4" s="4">
        <f>J4*1000/0.8</f>
        <v>20400</v>
      </c>
      <c r="L4" s="2" t="s">
        <v>62</v>
      </c>
      <c r="M4" s="2"/>
      <c r="N4" s="5"/>
    </row>
    <row r="5" spans="2:14" ht="15" customHeight="1" x14ac:dyDescent="0.25">
      <c r="B5" s="2" t="s">
        <v>49</v>
      </c>
      <c r="C5" s="4">
        <f>D3*12.528/1000</f>
        <v>25.353468493150686</v>
      </c>
      <c r="D5" s="2"/>
      <c r="E5" s="2"/>
      <c r="F5" s="2"/>
      <c r="G5" s="2"/>
      <c r="I5" s="2"/>
      <c r="J5" s="2">
        <v>16.32</v>
      </c>
      <c r="K5" s="4">
        <f>J5*1000/0.8</f>
        <v>20400</v>
      </c>
      <c r="L5" s="2" t="s">
        <v>12</v>
      </c>
      <c r="M5" s="2"/>
      <c r="N5" s="5"/>
    </row>
    <row r="6" spans="2:14" ht="15" customHeight="1" x14ac:dyDescent="0.25">
      <c r="B6" s="17" t="s">
        <v>60</v>
      </c>
      <c r="C6" s="18"/>
      <c r="D6" s="18"/>
      <c r="E6" s="19"/>
      <c r="F6" s="4">
        <f>C5-C7</f>
        <v>9.2578206392694078</v>
      </c>
      <c r="G6" s="2" t="s">
        <v>64</v>
      </c>
      <c r="H6" s="8"/>
      <c r="I6" s="14" t="s">
        <v>42</v>
      </c>
      <c r="J6" s="15"/>
      <c r="K6" s="15"/>
      <c r="L6" s="16"/>
      <c r="M6" s="4">
        <f>((J3+J4+J5)-(J8+J9+J10))*0.945</f>
        <v>14.694125509251618</v>
      </c>
      <c r="N6" s="5" t="s">
        <v>47</v>
      </c>
    </row>
    <row r="7" spans="2:14" ht="15" customHeight="1" x14ac:dyDescent="0.25">
      <c r="B7" s="2" t="s">
        <v>7</v>
      </c>
      <c r="C7" s="4">
        <f>D3*7.9534/1000</f>
        <v>16.095647853881278</v>
      </c>
      <c r="D7" s="2"/>
      <c r="E7" s="2"/>
      <c r="F7" s="2"/>
      <c r="G7" s="5"/>
      <c r="I7" s="14" t="s">
        <v>43</v>
      </c>
      <c r="J7" s="15"/>
      <c r="K7" s="15"/>
      <c r="L7" s="16"/>
      <c r="M7" s="4">
        <f>((J3+J4+J5)-(J8+J9+J10))*0.055</f>
        <v>0.85521365397760751</v>
      </c>
      <c r="N7" s="5" t="s">
        <v>48</v>
      </c>
    </row>
    <row r="8" spans="2:14" ht="15" customHeight="1" x14ac:dyDescent="0.25">
      <c r="B8" s="12" t="s">
        <v>61</v>
      </c>
      <c r="C8" s="12"/>
      <c r="D8" s="12"/>
      <c r="E8" s="12"/>
      <c r="F8" s="4">
        <f>($C$7-$C$10-$C$11-$C$12)*0.6</f>
        <v>1.1207495890410963</v>
      </c>
      <c r="G8" s="5" t="s">
        <v>39</v>
      </c>
      <c r="I8" s="2" t="s">
        <v>19</v>
      </c>
      <c r="J8" s="11">
        <f>$K$3*4.5108/1000</f>
        <v>16.613140836770771</v>
      </c>
      <c r="K8" s="2"/>
      <c r="L8" s="2" t="s">
        <v>63</v>
      </c>
      <c r="M8" s="2"/>
      <c r="N8" s="5" t="s">
        <v>46</v>
      </c>
    </row>
    <row r="9" spans="2:14" ht="15" customHeight="1" x14ac:dyDescent="0.25">
      <c r="B9" s="17" t="s">
        <v>38</v>
      </c>
      <c r="C9" s="18"/>
      <c r="D9" s="18"/>
      <c r="E9" s="19"/>
      <c r="F9" s="4">
        <f>($C$7-$C$10-$C$11-$C$12)*0.4</f>
        <v>0.74716639269406426</v>
      </c>
      <c r="G9" s="5" t="s">
        <v>40</v>
      </c>
      <c r="I9" s="2"/>
      <c r="J9" s="4">
        <f>$K$4*0.5019/1000</f>
        <v>10.238760000000001</v>
      </c>
      <c r="K9" s="2"/>
      <c r="L9" s="2" t="s">
        <v>45</v>
      </c>
      <c r="M9" s="2"/>
      <c r="N9" s="5" t="s">
        <v>46</v>
      </c>
    </row>
    <row r="10" spans="2:14" ht="15" customHeight="1" x14ac:dyDescent="0.25">
      <c r="B10" s="2" t="s">
        <v>8</v>
      </c>
      <c r="C10" s="4">
        <f>$D$3*5.4304/1000</f>
        <v>10.989741004566209</v>
      </c>
      <c r="D10" s="2"/>
      <c r="E10" s="2" t="s">
        <v>9</v>
      </c>
      <c r="F10" s="2"/>
      <c r="G10" s="5"/>
      <c r="I10" s="2"/>
      <c r="J10" s="4">
        <f>$K$5*0.5019/1000</f>
        <v>10.238760000000001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2"/>
      <c r="C11" s="4">
        <f>$D$3*0.8/1000</f>
        <v>1.6189954337899544</v>
      </c>
      <c r="D11" s="2"/>
      <c r="E11" s="2" t="s">
        <v>62</v>
      </c>
      <c r="F11" s="2"/>
      <c r="G11" s="5"/>
      <c r="I11" s="9"/>
      <c r="J11" s="9"/>
      <c r="K11" s="9"/>
      <c r="L11" s="9"/>
      <c r="M11" s="9"/>
      <c r="N11" s="9"/>
    </row>
    <row r="12" spans="2:14" ht="15" customHeight="1" x14ac:dyDescent="0.25">
      <c r="B12" s="2"/>
      <c r="C12" s="4">
        <f>$D$3*0.8/1000</f>
        <v>1.6189954337899544</v>
      </c>
      <c r="D12" s="2"/>
      <c r="E12" s="2" t="s">
        <v>12</v>
      </c>
      <c r="F12" s="2"/>
      <c r="G12" s="5"/>
      <c r="I12" s="9"/>
      <c r="J12" s="9"/>
      <c r="K12" s="9"/>
      <c r="L12" s="9"/>
      <c r="M12" s="9"/>
      <c r="N12" s="9"/>
    </row>
    <row r="13" spans="2:14" ht="15" customHeight="1" x14ac:dyDescent="0.25">
      <c r="B13" s="14" t="s">
        <v>42</v>
      </c>
      <c r="C13" s="15"/>
      <c r="D13" s="15"/>
      <c r="E13" s="16"/>
      <c r="F13" s="4">
        <f>((C10+C11+C12)-(C15+C16+C17))*0.945</f>
        <v>2.8988740602739709</v>
      </c>
      <c r="G13" s="5" t="s">
        <v>47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14" t="s">
        <v>43</v>
      </c>
      <c r="C14" s="15"/>
      <c r="D14" s="15"/>
      <c r="E14" s="16"/>
      <c r="F14" s="4">
        <f>((C10+C11+C12)-(C15+C16+C17))*0.055</f>
        <v>0.1687175378995433</v>
      </c>
      <c r="G14" s="5" t="s">
        <v>48</v>
      </c>
    </row>
    <row r="15" spans="2:14" ht="15" customHeight="1" x14ac:dyDescent="0.25">
      <c r="B15" s="2" t="s">
        <v>19</v>
      </c>
      <c r="C15" s="11">
        <f>$D$3*4.5108/1000</f>
        <v>9.1287057534246578</v>
      </c>
      <c r="D15" s="2"/>
      <c r="E15" s="2" t="s">
        <v>63</v>
      </c>
      <c r="F15" s="2"/>
      <c r="G15" s="5" t="s">
        <v>46</v>
      </c>
    </row>
    <row r="16" spans="2:14" x14ac:dyDescent="0.25">
      <c r="B16" s="2"/>
      <c r="C16" s="4">
        <f>$D$3*0.5019/1000</f>
        <v>1.0157172602739726</v>
      </c>
      <c r="D16" s="2"/>
      <c r="E16" s="2" t="s">
        <v>45</v>
      </c>
      <c r="F16" s="2"/>
      <c r="G16" s="5" t="s">
        <v>46</v>
      </c>
    </row>
    <row r="17" spans="2:7" x14ac:dyDescent="0.25">
      <c r="B17" s="2"/>
      <c r="C17" s="4">
        <f>$D$3*0.5019/1000</f>
        <v>1.0157172602739726</v>
      </c>
      <c r="D17" s="2"/>
      <c r="E17" s="2" t="s">
        <v>45</v>
      </c>
      <c r="F17" s="2"/>
      <c r="G17" s="5" t="s">
        <v>46</v>
      </c>
    </row>
  </sheetData>
  <mergeCells count="8">
    <mergeCell ref="B13:E13"/>
    <mergeCell ref="B14:E14"/>
    <mergeCell ref="B4:E4"/>
    <mergeCell ref="B6:E6"/>
    <mergeCell ref="I6:L6"/>
    <mergeCell ref="I7:L7"/>
    <mergeCell ref="B8:E8"/>
    <mergeCell ref="B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28+24</vt:lpstr>
      <vt:lpstr>MM38</vt:lpstr>
      <vt:lpstr>AX88</vt:lpstr>
      <vt:lpstr>MK83</vt:lpstr>
      <vt:lpstr>MK09</vt:lpstr>
      <vt:lpstr>MB50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2024-01-29T05:59:36Z</dcterms:created>
  <dcterms:modified xsi:type="dcterms:W3CDTF">2024-03-07T07:58:17Z</dcterms:modified>
</cp:coreProperties>
</file>