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 activeTab="5"/>
  </bookViews>
  <sheets>
    <sheet name="08" sheetId="1" r:id="rId1"/>
    <sheet name="09" sheetId="2" r:id="rId2"/>
    <sheet name="10" sheetId="3" r:id="rId3"/>
    <sheet name="11" sheetId="4" r:id="rId4"/>
    <sheet name="12" sheetId="5" r:id="rId5"/>
    <sheet name="Rekapan" sheetId="6" r:id="rId6"/>
  </sheets>
  <definedNames>
    <definedName name="_xlnm._FilterDatabase" localSheetId="0" hidden="1">'08'!$A$7:$C$12</definedName>
  </definedNames>
  <calcPr calcId="144525"/>
</workbook>
</file>

<file path=xl/calcChain.xml><?xml version="1.0" encoding="utf-8"?>
<calcChain xmlns="http://schemas.openxmlformats.org/spreadsheetml/2006/main">
  <c r="AK26" i="5" l="1"/>
  <c r="AK25" i="5"/>
  <c r="AL17" i="4"/>
  <c r="AL18" i="4"/>
  <c r="AL19" i="4"/>
  <c r="AL20" i="4"/>
  <c r="AL16" i="4"/>
  <c r="AL15" i="4"/>
  <c r="AK17" i="4"/>
  <c r="AK15" i="4"/>
  <c r="AK16" i="4"/>
  <c r="F17" i="5"/>
  <c r="AK17" i="5" s="1"/>
  <c r="F18" i="5"/>
  <c r="AK18" i="5" s="1"/>
  <c r="AL18" i="5" s="1"/>
  <c r="F19" i="5"/>
  <c r="AK19" i="5" s="1"/>
  <c r="AL19" i="5" s="1"/>
  <c r="F16" i="5"/>
  <c r="AK16" i="5" s="1"/>
  <c r="AL16" i="5" s="1"/>
  <c r="F15" i="5"/>
  <c r="AK15" i="5" s="1"/>
  <c r="AL15" i="5" s="1"/>
  <c r="F14" i="5"/>
  <c r="AK14" i="5" s="1"/>
  <c r="AL14" i="5" s="1"/>
  <c r="F9" i="5"/>
  <c r="AK9" i="5" s="1"/>
  <c r="AL9" i="5" s="1"/>
  <c r="F17" i="4"/>
  <c r="F15" i="4"/>
  <c r="F13" i="3"/>
  <c r="AK13" i="3" s="1"/>
  <c r="AL13" i="3" s="1"/>
  <c r="F11" i="4"/>
  <c r="AK11" i="4" s="1"/>
  <c r="AL11" i="4" s="1"/>
  <c r="F10" i="4"/>
  <c r="AK10" i="4" s="1"/>
  <c r="AL10" i="4" s="1"/>
  <c r="F9" i="4"/>
  <c r="AK9" i="4" s="1"/>
  <c r="AL9" i="4" s="1"/>
  <c r="AL20" i="3"/>
  <c r="AL19" i="3"/>
  <c r="AK19" i="3"/>
  <c r="AK20" i="3"/>
  <c r="AL18" i="3"/>
  <c r="AK18" i="3"/>
  <c r="AK17" i="3"/>
  <c r="AL17" i="3" s="1"/>
  <c r="AL16" i="3"/>
  <c r="AK16" i="3"/>
  <c r="F16" i="3"/>
  <c r="AL15" i="3"/>
  <c r="AK15" i="3"/>
  <c r="AL14" i="3"/>
  <c r="AK14" i="3"/>
  <c r="F17" i="2"/>
  <c r="F15" i="2"/>
  <c r="F14" i="2"/>
  <c r="F18" i="2"/>
  <c r="F10" i="2"/>
  <c r="F9" i="2"/>
  <c r="J5" i="6"/>
  <c r="AA219" i="5" l="1"/>
  <c r="J29" i="6" l="1"/>
  <c r="C32" i="5" l="1"/>
  <c r="AH26" i="5" l="1"/>
  <c r="V209" i="5" l="1"/>
  <c r="AG26" i="5"/>
  <c r="V199" i="5"/>
  <c r="AF26" i="5"/>
  <c r="V189" i="5"/>
  <c r="AA26" i="5"/>
  <c r="V179" i="5"/>
  <c r="AA17" i="5"/>
  <c r="Q179" i="5"/>
  <c r="Z17" i="5" l="1"/>
  <c r="Q169" i="5" l="1"/>
  <c r="Y17" i="5" l="1"/>
  <c r="X19" i="5"/>
  <c r="X17" i="5"/>
  <c r="Q159" i="5"/>
  <c r="T149" i="5"/>
  <c r="Q149" i="5"/>
  <c r="C16" i="1" l="1"/>
  <c r="T139" i="5" l="1"/>
  <c r="T19" i="5" s="1"/>
  <c r="Q139" i="5"/>
  <c r="T17" i="5" s="1"/>
  <c r="T129" i="5" l="1"/>
  <c r="S19" i="5" s="1"/>
  <c r="Q129" i="5"/>
  <c r="S17" i="5" s="1"/>
  <c r="G129" i="5"/>
  <c r="S24" i="5" s="1"/>
  <c r="T119" i="5" l="1"/>
  <c r="R19" i="5" s="1"/>
  <c r="Q119" i="5"/>
  <c r="R17" i="5" s="1"/>
  <c r="G119" i="5"/>
  <c r="R24" i="5" s="1"/>
  <c r="D119" i="5"/>
  <c r="R15" i="5" s="1"/>
  <c r="T109" i="5"/>
  <c r="Q19" i="5" s="1"/>
  <c r="Q109" i="5"/>
  <c r="Q17" i="5" s="1"/>
  <c r="D109" i="5"/>
  <c r="Q15" i="5" s="1"/>
  <c r="B109" i="5"/>
  <c r="Q14" i="5" s="1"/>
  <c r="N15" i="5" l="1"/>
  <c r="Q99" i="5"/>
  <c r="N17" i="5" s="1"/>
  <c r="D99" i="5"/>
  <c r="B99" i="5"/>
  <c r="N14" i="5" s="1"/>
  <c r="Q89" i="5" l="1"/>
  <c r="M17" i="5" s="1"/>
  <c r="AL25" i="5" l="1"/>
  <c r="AL26" i="5"/>
  <c r="E26" i="5"/>
  <c r="E24" i="5"/>
  <c r="G79" i="5"/>
  <c r="L16" i="5" s="1"/>
  <c r="Q79" i="5"/>
  <c r="L17" i="5" s="1"/>
  <c r="B79" i="5"/>
  <c r="L14" i="5" s="1"/>
  <c r="K17" i="5" l="1"/>
  <c r="Q69" i="5"/>
  <c r="B69" i="5"/>
  <c r="K14" i="5" s="1"/>
  <c r="J17" i="5" l="1"/>
  <c r="J14" i="5"/>
  <c r="Q59" i="5"/>
  <c r="D59" i="5"/>
  <c r="J15" i="5" s="1"/>
  <c r="B59" i="5"/>
  <c r="Q49" i="5" l="1"/>
  <c r="G17" i="5" s="1"/>
  <c r="B49" i="5"/>
  <c r="G14" i="5" s="1"/>
  <c r="E17" i="5"/>
  <c r="D17" i="5"/>
  <c r="E15" i="5"/>
  <c r="D15" i="5"/>
  <c r="Q149" i="4" l="1"/>
  <c r="AJ18" i="4" s="1"/>
  <c r="G149" i="4"/>
  <c r="AJ17" i="4" s="1"/>
  <c r="Q139" i="4" l="1"/>
  <c r="AI18" i="4" s="1"/>
  <c r="G139" i="4"/>
  <c r="AI17" i="4" s="1"/>
  <c r="L129" i="4" l="1"/>
  <c r="AH19" i="4" s="1"/>
  <c r="Q129" i="4"/>
  <c r="AH18" i="4" s="1"/>
  <c r="G129" i="4"/>
  <c r="AH17" i="4" s="1"/>
  <c r="G119" i="4"/>
  <c r="AG17" i="4" s="1"/>
  <c r="Q119" i="4"/>
  <c r="AG18" i="4" s="1"/>
  <c r="Q109" i="4" l="1"/>
  <c r="AD18" i="4" s="1"/>
  <c r="G109" i="4"/>
  <c r="AD17" i="4" s="1"/>
  <c r="AK19" i="4" l="1"/>
  <c r="AK20" i="4"/>
  <c r="Q99" i="4" l="1"/>
  <c r="AC18" i="4" s="1"/>
  <c r="G99" i="4"/>
  <c r="AC17" i="4" s="1"/>
  <c r="Q89" i="4" l="1"/>
  <c r="AB18" i="4" s="1"/>
  <c r="D89" i="4"/>
  <c r="AB16" i="4" s="1"/>
  <c r="B89" i="4"/>
  <c r="AB15" i="4" s="1"/>
  <c r="Q79" i="4" l="1"/>
  <c r="AA18" i="4" s="1"/>
  <c r="D79" i="4"/>
  <c r="AA16" i="4" s="1"/>
  <c r="B79" i="4"/>
  <c r="AA15" i="4" s="1"/>
  <c r="Q69" i="4" l="1"/>
  <c r="Z18" i="4" s="1"/>
  <c r="D69" i="4"/>
  <c r="Z16" i="4" s="1"/>
  <c r="B69" i="4" l="1"/>
  <c r="Z15" i="4" s="1"/>
  <c r="Q59" i="4"/>
  <c r="W18" i="4" s="1"/>
  <c r="D59" i="4"/>
  <c r="W16" i="4" s="1"/>
  <c r="B59" i="4"/>
  <c r="W15" i="4" s="1"/>
  <c r="D49" i="4" l="1"/>
  <c r="Q49" i="4"/>
  <c r="V18" i="4" s="1"/>
  <c r="D39" i="4"/>
  <c r="U9" i="4" s="1"/>
  <c r="Q39" i="4" l="1"/>
  <c r="U11" i="4" s="1"/>
  <c r="C22" i="4" s="1"/>
  <c r="E18" i="4" l="1"/>
  <c r="D18" i="4"/>
  <c r="E16" i="4"/>
  <c r="C29" i="5" s="1"/>
  <c r="C30" i="5" s="1"/>
  <c r="D16" i="4"/>
  <c r="V79" i="3" l="1"/>
  <c r="G79" i="3" l="1"/>
  <c r="F91" i="1"/>
  <c r="F81" i="1"/>
  <c r="F72" i="1"/>
  <c r="D48" i="1" l="1"/>
  <c r="B40" i="1"/>
  <c r="AK17" i="2" l="1"/>
  <c r="F18" i="3" l="1"/>
  <c r="AL17" i="2"/>
  <c r="D211" i="3" l="1"/>
  <c r="AG14" i="3" s="1"/>
  <c r="D201" i="3" l="1"/>
  <c r="AE14" i="3" s="1"/>
  <c r="Q201" i="3"/>
  <c r="AE19" i="3" s="1"/>
  <c r="D191" i="3" l="1"/>
  <c r="Q191" i="3"/>
  <c r="AD19" i="3" l="1"/>
  <c r="AD14" i="3"/>
  <c r="B191" i="3"/>
  <c r="AD13" i="3" s="1"/>
  <c r="B179" i="3" l="1"/>
  <c r="AC13" i="3" s="1"/>
  <c r="Q179" i="3"/>
  <c r="AC19" i="3" s="1"/>
  <c r="D179" i="3"/>
  <c r="AC14" i="3" s="1"/>
  <c r="G169" i="3" l="1"/>
  <c r="AA16" i="3" s="1"/>
  <c r="B169" i="3"/>
  <c r="AA13" i="3" s="1"/>
  <c r="Q169" i="3"/>
  <c r="AA19" i="3" s="1"/>
  <c r="G159" i="3"/>
  <c r="Z16" i="3" s="1"/>
  <c r="B159" i="3"/>
  <c r="Z13" i="3" s="1"/>
  <c r="Q159" i="3"/>
  <c r="Z19" i="3" s="1"/>
  <c r="Q149" i="3"/>
  <c r="Y19" i="3" s="1"/>
  <c r="G149" i="3"/>
  <c r="Y15" i="3" s="1"/>
  <c r="G139" i="3"/>
  <c r="X15" i="3" s="1"/>
  <c r="Q139" i="3"/>
  <c r="X19" i="3" s="1"/>
  <c r="V69" i="3" l="1"/>
  <c r="Q129" i="3" l="1"/>
  <c r="W19" i="3" s="1"/>
  <c r="Q119" i="3" l="1"/>
  <c r="V19" i="3" s="1"/>
  <c r="M15" i="3" l="1"/>
  <c r="L20" i="3"/>
  <c r="Q109" i="3"/>
  <c r="Q19" i="3" s="1"/>
  <c r="G109" i="3"/>
  <c r="Q15" i="3" s="1"/>
  <c r="B109" i="3"/>
  <c r="Q13" i="3" s="1"/>
  <c r="Q99" i="3"/>
  <c r="P19" i="3" s="1"/>
  <c r="B99" i="3"/>
  <c r="P13" i="3" s="1"/>
  <c r="M20" i="3"/>
  <c r="V89" i="3"/>
  <c r="O20" i="3" s="1"/>
  <c r="G89" i="3"/>
  <c r="O15" i="3" s="1"/>
  <c r="Q89" i="3"/>
  <c r="O19" i="3" s="1"/>
  <c r="B89" i="3"/>
  <c r="O13" i="3" s="1"/>
  <c r="Q79" i="3"/>
  <c r="M19" i="3" s="1"/>
  <c r="Q69" i="3"/>
  <c r="L19" i="3" s="1"/>
  <c r="G69" i="3"/>
  <c r="L9" i="3" s="1"/>
  <c r="Q59" i="3"/>
  <c r="K19" i="3" s="1"/>
  <c r="B101" i="1" l="1"/>
  <c r="T9" i="1" s="1"/>
  <c r="Q49" i="3" l="1"/>
  <c r="J19" i="3" s="1"/>
  <c r="Q39" i="3" l="1"/>
  <c r="I19" i="3" s="1"/>
  <c r="C22" i="3" l="1"/>
  <c r="P148" i="1"/>
  <c r="D148" i="1"/>
  <c r="D111" i="1"/>
  <c r="B111" i="1"/>
  <c r="D101" i="1"/>
  <c r="K72" i="1"/>
  <c r="D72" i="1"/>
  <c r="B72" i="1"/>
  <c r="D64" i="1"/>
  <c r="B64" i="1"/>
  <c r="D56" i="1"/>
  <c r="B56" i="1"/>
  <c r="B48" i="1"/>
  <c r="B32" i="1"/>
  <c r="Q37" i="2"/>
  <c r="G10" i="2" s="1"/>
  <c r="AK10" i="2" l="1"/>
  <c r="AL10" i="2" s="1"/>
  <c r="AK18" i="2" s="1"/>
  <c r="C20" i="2"/>
  <c r="P180" i="1"/>
  <c r="AL18" i="2" l="1"/>
  <c r="F19" i="3"/>
  <c r="AJ13" i="1"/>
  <c r="F18" i="4" l="1"/>
  <c r="AK18" i="4" s="1"/>
  <c r="D172" i="1"/>
  <c r="AI10" i="1" s="1"/>
  <c r="P172" i="1"/>
  <c r="AI13" i="1" s="1"/>
  <c r="K172" i="1"/>
  <c r="AI12" i="1" s="1"/>
  <c r="B172" i="1"/>
  <c r="AI9" i="1" s="1"/>
  <c r="K81" i="1" l="1"/>
  <c r="K91" i="1"/>
  <c r="P140" i="1"/>
  <c r="P132" i="1"/>
  <c r="B132" i="1"/>
  <c r="J4" i="6" l="1"/>
  <c r="AL17" i="5"/>
  <c r="F164" i="1"/>
  <c r="AH11" i="1" s="1"/>
  <c r="K164" i="1"/>
  <c r="AH12" i="1" s="1"/>
  <c r="P164" i="1"/>
  <c r="AH13" i="1" s="1"/>
  <c r="K156" i="1" l="1"/>
  <c r="P156" i="1" l="1"/>
  <c r="AG12" i="1" l="1"/>
  <c r="AG13" i="1"/>
  <c r="B148" i="1" l="1"/>
  <c r="AD10" i="1"/>
  <c r="AD13" i="1" l="1"/>
  <c r="AK13" i="1" s="1"/>
  <c r="AD9" i="1"/>
  <c r="D140" i="1"/>
  <c r="AC13" i="1" l="1"/>
  <c r="AC10" i="1"/>
  <c r="D132" i="1" l="1"/>
  <c r="AA13" i="1"/>
  <c r="AA10" i="1" l="1"/>
  <c r="AA9" i="1"/>
  <c r="B122" i="1"/>
  <c r="D122" i="1" l="1"/>
  <c r="Z10" i="1" l="1"/>
  <c r="Z9" i="1"/>
  <c r="AL13" i="1" l="1"/>
  <c r="U10" i="1" l="1"/>
  <c r="U9" i="1"/>
  <c r="T10" i="1" l="1"/>
  <c r="S12" i="1" l="1"/>
  <c r="S11" i="1"/>
  <c r="P12" i="1" l="1"/>
  <c r="P11" i="1" l="1"/>
  <c r="H9" i="1" l="1"/>
  <c r="AK9" i="1" l="1"/>
  <c r="I10" i="1"/>
  <c r="M12" i="1" l="1"/>
  <c r="M11" i="1"/>
  <c r="AK11" i="1" s="1"/>
  <c r="M10" i="1"/>
  <c r="M9" i="1"/>
  <c r="AK12" i="1" l="1"/>
  <c r="AL12" i="1" s="1"/>
  <c r="L10" i="1"/>
  <c r="L9" i="1"/>
  <c r="J10" i="1" l="1"/>
  <c r="J9" i="1"/>
  <c r="AL11" i="1"/>
  <c r="AK10" i="1" l="1"/>
  <c r="AL10" i="1" s="1"/>
  <c r="AL9" i="1"/>
  <c r="AK15" i="2" l="1"/>
  <c r="AK14" i="2"/>
  <c r="AL14" i="2" l="1"/>
  <c r="AL15" i="2"/>
  <c r="F14" i="3"/>
  <c r="F16" i="4" s="1"/>
  <c r="AK9" i="2" l="1"/>
  <c r="AL9" i="2" s="1"/>
  <c r="AK16" i="2" s="1"/>
  <c r="AL16" i="2" s="1"/>
  <c r="F9" i="3"/>
  <c r="AK9" i="3" s="1"/>
  <c r="AL9" i="3" s="1"/>
  <c r="F15" i="3" s="1"/>
  <c r="F17" i="3" s="1"/>
  <c r="F24" i="5" s="1"/>
  <c r="AK24" i="5" s="1"/>
  <c r="AL24" i="5" s="1"/>
</calcChain>
</file>

<file path=xl/comments1.xml><?xml version="1.0" encoding="utf-8"?>
<comments xmlns="http://schemas.openxmlformats.org/spreadsheetml/2006/main">
  <authors>
    <author>ADM-B1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8/11 Tembaga M16-00000002 (2.6) = 1994 KG
13/11 Tembaga M16-00000002 (2.6) = 2058 KG</t>
        </r>
      </text>
    </comment>
    <comment ref="V16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115,8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D24" authorId="0">
      <text>
        <r>
          <rPr>
            <b/>
            <sz val="9"/>
            <color indexed="81"/>
            <rFont val="Tahoma"/>
            <family val="2"/>
          </rPr>
          <t>ADM-B1:Tembaga M16-00000002 : 2028 KG (berat asli) 2031 KG (berat gudang)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<sst xmlns="http://schemas.openxmlformats.org/spreadsheetml/2006/main" count="603" uniqueCount="204">
  <si>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</si>
  <si>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</si>
  <si>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</si>
  <si>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</si>
  <si>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</si>
  <si>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</si>
  <si>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</si>
  <si>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</si>
  <si>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</si>
  <si>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</si>
  <si>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</si>
  <si>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</si>
  <si>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</si>
  <si>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</si>
  <si>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</si>
  <si>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</si>
  <si>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</si>
  <si>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</si>
  <si>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</si>
  <si>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</si>
  <si>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</si>
  <si>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</si>
  <si>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</si>
  <si>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</si>
  <si>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t>W01-03000004</t>
  </si>
  <si>
    <t>KURANG (kg)</t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</si>
  <si>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</si>
  <si>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</si>
  <si>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</si>
  <si>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</si>
  <si>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</si>
  <si>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</si>
  <si>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</si>
  <si>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</si>
  <si>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</si>
  <si>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</si>
  <si>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</si>
  <si>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</si>
  <si>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</si>
  <si>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</si>
  <si>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</si>
  <si>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</si>
  <si>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</si>
  <si>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</si>
  <si>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</si>
  <si>
    <t>2,36 + 1,60 + 2,36 + 1,28 + 4,52 + 6,12 + 0,64 + 0,56 + 6,04 + 1,82 + 4,26 + 0,92 + 7,32 + 4,58 + 4,30</t>
  </si>
  <si>
    <t>4,72 + 4,84 + 8,26 + 3,54 + 7,36 + 1,82 + 7,38 + 4,46 + 2,72 + 7,92 + 5,46 + 5,40</t>
  </si>
  <si>
    <t>5,44 + 3,82 + 3,94 + 5,10 + 1,96 + 3,84 + 7,96 + 3,86 + 8,98 + 1,76 + 3,48 + 5,44 + 7,56 + 0,90</t>
  </si>
  <si>
    <r>
      <t xml:space="preserve">1,82 + 2,60 + 2,16 + 2,42 + 2,30 + 2,62 + 3,12 + 2,72 + 1,94 + </t>
    </r>
    <r>
      <rPr>
        <sz val="11"/>
        <color rgb="FF00CC00"/>
        <rFont val="Calibri"/>
        <family val="2"/>
        <scheme val="minor"/>
      </rPr>
      <t>2,30</t>
    </r>
    <r>
      <rPr>
        <sz val="11"/>
        <color theme="1"/>
        <rFont val="Calibri"/>
        <family val="2"/>
        <scheme val="minor"/>
      </rPr>
      <t xml:space="preserve"> + 2,28</t>
    </r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</si>
  <si>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00CC00"/>
        <rFont val="Calibri"/>
        <family val="2"/>
        <scheme val="minor"/>
      </rPr>
      <t>1,90</t>
    </r>
    <r>
      <rPr>
        <sz val="11"/>
        <color theme="1"/>
        <rFont val="Calibri"/>
        <family val="2"/>
        <scheme val="minor"/>
      </rPr>
      <t xml:space="preserve"> + 2,48 + 1,94</t>
    </r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</si>
  <si>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00CC00"/>
        <rFont val="Calibri"/>
        <family val="2"/>
        <scheme val="minor"/>
      </rPr>
      <t>1,60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</si>
  <si>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00CC00"/>
        <rFont val="Calibri"/>
        <family val="2"/>
        <scheme val="minor"/>
      </rPr>
      <t>4,56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</si>
  <si>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00CC00"/>
        <rFont val="Calibri"/>
        <family val="2"/>
        <scheme val="minor"/>
      </rPr>
      <t>3,70</t>
    </r>
    <r>
      <rPr>
        <sz val="11"/>
        <color theme="1"/>
        <rFont val="Calibri"/>
        <family val="2"/>
        <scheme val="minor"/>
      </rPr>
      <t xml:space="preserve"> + 4,28 + 6,14 + 8,78</t>
    </r>
  </si>
  <si>
    <t>5,40 + 7,04 + 7,82 + 2,78 + 7,72</t>
  </si>
  <si>
    <t>6,54 + 2,00</t>
  </si>
  <si>
    <t>3,94 + 5,84 + 5,20 + 5,72 + 6,02 + 5,78 + 5,98 + 3,24 + 3,12 + 5,70 + 9,86 + 3,44 + 8,72 + 3,90 + 5,86 + 3,94 + 4,70</t>
  </si>
  <si>
    <t>1,68 + 1,74 + 3,20 + 1,98 + 2,22 + 2,98 + 3,16 + 2,56 + 3,52 + 4,40 + 4,10 + 6,76 + 6,80 + 2,68 + 6,16 + 4,48 + 4,06 + 6,26 + 6,00 + 5,66 + 0,74 + 8,66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</si>
  <si>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00CC00"/>
        <rFont val="Calibri"/>
        <family val="2"/>
        <scheme val="minor"/>
      </rPr>
      <t>1,72</t>
    </r>
    <r>
      <rPr>
        <sz val="11"/>
        <color theme="1"/>
        <rFont val="Calibri"/>
        <family val="2"/>
        <scheme val="minor"/>
      </rPr>
      <t xml:space="preserve"> + 3,76 + 5,24 + </t>
    </r>
    <r>
      <rPr>
        <sz val="11"/>
        <color rgb="FF00CC00"/>
        <rFont val="Calibri"/>
        <family val="2"/>
        <scheme val="minor"/>
      </rPr>
      <t>2,42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</si>
  <si>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00CC00"/>
        <rFont val="Calibri"/>
        <family val="2"/>
        <scheme val="minor"/>
      </rPr>
      <t>7,60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+ 7,68 + </t>
    </r>
    <r>
      <rPr>
        <sz val="11"/>
        <color rgb="FF00CC00"/>
        <rFont val="Calibri"/>
        <family val="2"/>
        <scheme val="minor"/>
      </rPr>
      <t>7,36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</si>
  <si>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t>1,24 + 2,10 + 4,32 + 4,18 + 6,64 + 6,10 + 5,82 + 7,66 + 8,94 + 2,90 + 2,70 + 5,54 + 4,26</t>
  </si>
  <si>
    <t>Sisa Order</t>
  </si>
  <si>
    <t>2,36 + 5,82 + 4,68 + 4,34 + 3,26 + 4,44 + 5,24 + 4,40 + 4,58 + 4,42 + 4,94 + 6,42 + 6,34 + 6,62 + 7,14 + 6,66 + 3,74 + 6,38 + 6,48 + 2,50 + 7,76 + 5,54 + 4,60 + 3,28 + 6,42 + 3,88</t>
  </si>
  <si>
    <t>7,10 + 6,26 + 6,26 + 8,52 + 4,96 + 6,60 + 2,82 + 6,86 + 6,78 + 5,08 + 4,74 + 0,96 + 7,56 + 5,68 + 1,38 + 4,78 + 7,24 + 5,38 + 5,14 + 4,88 + 1,84 + 2,36 + 1,36 + 5,62 + 5,18</t>
  </si>
  <si>
    <t>3,42 + 3,74 + 3,58 + 2,12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</si>
  <si>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0,180 A</t>
  </si>
  <si>
    <t>W01-03000025</t>
  </si>
  <si>
    <t>7,98 + 6,30 + 5,72 + 8,10 + 8,02 + 5,92 + 5,48 + 7,86 + 6,30 + 8,68 + 5,60 + 5,64 + 6,72 + 6,02 + 4,72 + 7,68 + 5,70 + 8,22 + 6,50 + 8,50 + 8,14 + 4,58</t>
  </si>
  <si>
    <t>7,00 + 5,08 + 5,98 + 5,66 + 8,78 + 5,08 + 5,16 + 6,42 + 6,16 + 5,68 + 5,12 + 5,72 + 6,06 + 5,44 + 8,74 + 5,04 + 6,20 + 7,06 + 1,74 + 5,58 + 8,06 + 9,00 + 8,68 + 1,92 + 6,42 + 6,04 + 6,42 + 5,06 + 5,00 + 6,32 + 8,88 + 4,98 + 5,02 + 5,76 + 7,06 + 6,60 + 6,62 + 6,64 + 7,42 + 7,06 + 5,58 + 1,76</t>
  </si>
  <si>
    <t>5,60 + 1,14 + 6,12 + 3,24 + 3,58 + 5,24 + 8,16 + 6,20 + 6,56 + 4,86 + 4,38 + 3,06 + 4,04 + 5,34 + 4,72 + 0,98 + 3,36 + 6,10</t>
  </si>
  <si>
    <t>5,44 + 4,86 + 4,76 + 3,72 + 3,54 + 4,30 + 1,22</t>
  </si>
  <si>
    <t>6,54 + 6,60 + 4,72 + 5,80 + 6,38 + 6,54 + 5,30 + 5,76 + 6,36 + 1,86</t>
  </si>
  <si>
    <t>6,24 + 4,94 + 3,80 + 5,30 + 4,58 + 4,26 + 3,70 + 4,78 + 4,66 + 1,74 + 1,22 + 5,72 + 5,68 + 6,18 + 7,04 + 4,60 + 5,90 + 1,82</t>
  </si>
  <si>
    <t>7,06 + 3,78 + 8,64 + 5,78 + 6,32 + 6,12 + 7,26 + 6,18 + 6,12 + 3,86 + 5,98 + 4,24 + 6,84 + 7,26 + 6,46 + 3,20 + 2,22 + 8,66 + 4,04 + 5,06 + 6,20 + 6,88 + 6,86 + 6,38 + 6,30 + 7,10 + 6,80 + 8,26 + 5,08 + 1,98 + 9,28</t>
  </si>
  <si>
    <t>0,90 + 1,44 + 2,10 + 2,06 + 2,50 + 1,88 + 1,16 + 1,66 + 2,04 + 2,50 + 1,74 + 2,60 + 1,78</t>
  </si>
  <si>
    <t>7,66 + 2,18 + 6,04 + 7,44 + 7,56 + 5,10 + 5,52 + 3,14 + 7,54 + 2,60 + 6,02 + 5,90 + 8,32 + 3,36 + 4,36 + 2,48 + 5,32 + 2,58 + 4,74 + 5,94 + 7,14 + 2,66 + 2,50 + 2,48 + 3,12 + 2,58 + 5,16 + 5,72 + 2,48 + 3,16 + 3,66 + 2,62 + 3,18 + 2,18 + 2,52</t>
  </si>
  <si>
    <t>1,40 + 4,38 + 8,18 + 1,88 + 2,52 + 3,64 + 8,24 + 0,72 + 2,66 + 2,02 + 1,66 + 2,18 + 3,52 + 5,22 + 4,54 + 6,22 + 6,26 + 8,96 + 2,70 + 2,74 + 1,40 + 5,00 + 4,12 + 1,38 + 0,56 + 2,80</t>
  </si>
  <si>
    <t>4,40 + 4,78 + 4,30 + 4,14 + 3,92 + 4,30 + 4,46 + 5,12 + 4,24 + 3,98 + 3,96 + 4,06 +3,98 + 3,04 + 3,40 + 0,64 + 2,28 + 1,98 + 1,48 + 1,10 + 3,94 + 5,06</t>
  </si>
  <si>
    <t>7,08 + 4,76</t>
  </si>
  <si>
    <t>4,58 + 4,36 + 2,36 + 1,56 + 4,98 + 6,96 + 5,60 + 1,14 + 4,38 + 6,34 + 1,66 + 1,58 + 1,18 + 3,16 + 3,46 + 5,20 + 3,74 + 3,56 + 8,56 + 7,88 + 3,16 + 7,10 + 4,26 + 7,42</t>
  </si>
  <si>
    <t>5,94 + 6,62 + 6,44 + 4,28 + 7,16 + 4,38 + 7,26 + 7,16 + 7,02 + 7,22 + 4,16 + 5,14 + 4,62 + 4,90 + 5,34 + 3,54 + 6,40 + 4,58 + 5,48 + 3,92 + 2,36 + 5,74 + 7,18 + 3,68 + 1,80 + 3,64 + 5,42 + 3,76 + 4,54 + 4,42 + 3,98 + 4,00 + 3,34 + 2,78 + 4,32</t>
  </si>
  <si>
    <t>3,46 + 2,56 + 5,80 + 4,40 + 6,56 + 4,72 + 6,42 + 4,52 + 5,00 + 4,42 + 5,36 + 5,16 + 4,54 + 5,46 + 4,62 + 5,64 + 2,82 + 2,24 + 3,06 + 3,86 + 5,96 + 7,60 + 8,12 + 7,50 + 7,48 + 7,64 + 7,88 + 4,72 + 5,66 + 2,50 + 4,72 + 7,62 + 7,76</t>
  </si>
  <si>
    <t>1,98 + 2,00 + 2,02 + 1,90 + 1,82 + 2,20 + 1,62 + 1,92 + 1,94 + 1,96 + 2,26 + 1,70 + 1,92 + 1,94 + 1,82 + 1,96 + 1,90 + 1,98 + 2,02 + 1,84 + 1,94 + 2,28 + 2,22 + 2,22 + 2,20 + 1,66 + 1,84</t>
  </si>
  <si>
    <t>1,34 + 3,66 + 5,34 + 3,48 + 5,34 + 5,44 + 5,44 + 3,20 + 6,20 + 2,82 + 4,62 + 7,16 + 5,84 + 5,14 + 5,06 + 6,72 + 5,62 + 5,84</t>
  </si>
  <si>
    <t>6,82 + 7,22 + 6,90 + 5,80 + 7,38 + 6,20 + 7,10 + 7,66 + 5,18 + 6,02 + 6,56 + 6,58 + 5,88 + 5,36 + 6,20 + 5,86 + 6,06 + 6,14 + 6,10 + 6,70 + 6,50 + 6,64 + 3,88 + 3,82 + 3,70 + 3,82 + 3,90 + 3,74 + 3,80</t>
  </si>
  <si>
    <t>6,98 + 6,98 + 6,94 + 6,92 + 3,32 + 7,06 + 6,96 + 6,94 + 6,40 + 6,52 + 6,22 + 5,56 + 5,74 + 7,76 + 7,76 + 6,96 + 7,76 + 7,52 + 7,82 + 7,52 + 7,86 + 7,60 + 7,88 + 1,50 + 3,36 + 3,26 + 3,44 + 1,34 + 1,38 + 3,32 + 0,66 + 3,50 + 7,48 + 6,16 + 1,60 + 6,26 + 6,36 + 7,92 + 2,10 + 6,22 + 1,62 + 7,84 + 6,02 + 6,92 + 6,44 + 4,46 + 6,46 + 7,60 + 8,32 + 7,28 + 7,92 + 7,70 + 7,30 + 3,40 + 6,22</t>
  </si>
  <si>
    <t>3,56 + 4,00 + 5,04 + 6,46 + 6,76 + 7,14 + 5,52 + 3,10 + 3,54 + 2,42 + 6,12 + 6,66 + 5,28 + 6,66 + 1,54 + 5,56 + 3,68 + 6,98 + 6,56 + 3,54 + 3,24</t>
  </si>
  <si>
    <t>2,46 + 5,38 + 2,60 + 7,78 + 8,42 + 4,24 + 7,26 + 8,80 + 4,20</t>
  </si>
  <si>
    <t>3,46 + 1,10 + 1,90 + 2,66 + 1,16 + 7,00 + 7,72 + 7,24 + 7,76 + 7,62 + 7,40 + 7,58</t>
  </si>
  <si>
    <t>4,80 + 6,90 + 3,68 + 7,90 + 6,22 + 6,22 + 7,48 + 6,44 + 6,40</t>
  </si>
  <si>
    <t>4,26 + 0,80 + 4,26 + 4,30 + 3,90 + 3,86 + 0,90 + 3,26 + 0,60 + 0,96 + 2,28 + 0,59 + 2,32 + 2,48 + 1,78 + 2,46 + 2,12 + 1,66 + 2,20</t>
  </si>
  <si>
    <t>2,48 + 2,60 + 1,76 + 6,30 + 6,16 + 5,88 + 5,78 + 5,40 + 6,26 + 5,26 + 5,54 + 6,30 + 3,84 + 3,72 + 2,20 + 3,84 + 3,80 + 1,96 + 3,50 + 3,88 + 3,46 + 3,28 + 3,62 + 2,00</t>
  </si>
  <si>
    <t>5,50 + 6,86 + 3,88</t>
  </si>
  <si>
    <t>2,14 + 2,42 + 1,92 + 2,54 + 3,06 + 2,32 + 2,28 + 2,76 + 3,60 + 3,34 + 3,16 + 3,76 + 3,50 + 3,60 + 3,28 + 2,22 + 2,18 + 3,64 + 3,54 + 3,64 + 2,12 + 2,18 + 3,66</t>
  </si>
  <si>
    <t>2,32 + 1,52 + 1,84 + 1,06 + 3,62 + 2,68 + 3,38 + 2,42 + 3,94 + 2,44 + 3,22 + 3,14 + 2,58 + 1,52 + 3,04 + 2,36 + 3,34 + 2,50 + 2,36 + 1,04 + 2,94 + 3,06 + 2,72 + 2,04 + 2,80 + 1,70</t>
  </si>
  <si>
    <t>1,30 + 1,92 + 1,08 + 1,42 + 2,02 + 1,98 + 2,40 + 3,16 + 1,64 + 2,64 + 0,66 + 3,44 + 2,14 + 1,92 + 4,02 + 4,22 + 2,70 + 4,08 + 2,06 + 4,24 + 4,26 + 3,96 + 3,70 + 3,66 + 3,80 + 3,74 + 3,74 + 3,66 + 3,78 + 3,14 + 4,04 + 3,70 + 3,36</t>
  </si>
  <si>
    <t xml:space="preserve">1,96 + 3,80 </t>
  </si>
  <si>
    <t>1,36 + 2,96 + 2,48 + 2,78 + 4,32 + 3,92 + 3,38 + 3,84 + 4,70 + 4,56 + 3,10 + 1,40 + 1,70 + 2,30 + 2,36 + 2,00 + 2,40 + 1,54 + 2,60 + 2,78 + 2,68 + 1,84</t>
  </si>
  <si>
    <t>3,86 + 3,24 + 3,54 + 3,70 + 1,10 + 1,56 + 1,18 + 1,92 + 3,90 + 3,14 + 3,26 + 3,10 + 2,52 + 3,56 + 1,04 + 2,30 + 2,82 + 3,36 + 3,28 + 3,76 + 1,00 + 1,20 + 3,22 + 3,74 + 3,88 + 3,84 + 3,84 + 2,38 + 3,74 + 3,82 + 3,74 + 3,82 + 2,98 + 2,86 + 2,74 + 2,38 + 2,96 + 2,96 + 2,98 + 2,56 + 2,66 + 3,14 + 3,16 + 2,46 + 2,56 + 2,98 + 1,72 + 2,06 + 2,96 + 2,72 + 2,94 + 2,36 + 1,26 + 2,12 + 2,70 + 2,70 + 2,56 + 2,94 + 2,74 + 3,00 + 2,36 + 3,02 + 3,00 + 2,92 + 3,00 + 2,88 + 2,82 + 2,88 + 2,96 + 2,94</t>
  </si>
  <si>
    <t>1,66 + 1,48 + 1,82 + 3,90 + 2,34 + 1,22 + 1,96</t>
  </si>
  <si>
    <t>2,96 + 3,48 + 3,48 + 3,08 + 3,66 + 4,32 + 3,06 + 3,80 + 3,64 + 2,86 + 1,38 + 3,82 + 2,78 + 0,84 + 3,86 + 3,76 + 3,70 + 3,76 + 3,74 + 3,76 + 3,56 + 2,40 + 3,48 + 3,18 + 3,52 + 3,16 + 3,80 + 3,74 + 2,58 + 2,94 + 2,92 + 2,66 + 2,10 + 2,68 + 2,64 + 2,86 + 2,98 + 2,66 + 2,80 + 2,62 + 1,74 + 2,96 + 2,98 + 2,60 + 2,62 + 3,04 + 2,64 + 2,64 + 3,18 + 2,62 + 3,24 + 3,22 + 2,44 + 2,72 + 3,22 + 3,40</t>
  </si>
  <si>
    <t>1,68 + 1,46 + 0,88 + 1,56 + 2,92 + 2,50 + 3,64 + 3,40 + 3,60 + 3,58 + 3,54 + 3,58 + 3,56 + 3,80 + 2,28 + 3,82 + 3,88 + 3,80 + 3,98 + 3,90 + 3,98 + 3,44 + 3,54 + 1,90 + 4,48 + 2,18 + 1,80 + 2,98 + 3,06 + 3,20 + 2,68 + 3,02 + 3,02 + 2,36 + 3,14 + 3,14</t>
  </si>
  <si>
    <t>PRODUKSI BULAN INI :</t>
  </si>
  <si>
    <t>KG</t>
  </si>
  <si>
    <t>JUMLAH SEBENARNYA (kg)</t>
  </si>
  <si>
    <t>1,42 + 1,72 + 1,78 + 0,68 + 2,34 + 0,46 + 1,02 + 1,12 + 5,58 + 1,28 + 3,20 + 0,56 + 0,56 + 8,48 + 0,46 + 1,18 + 8,10</t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</si>
  <si>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+ 6,42 + 1,26</t>
    </r>
  </si>
  <si>
    <r>
      <t xml:space="preserve">6,76 + 0,98 + 6,32 + 2,20 + </t>
    </r>
    <r>
      <rPr>
        <sz val="11"/>
        <color rgb="FF00CC00"/>
        <rFont val="Calibri"/>
        <family val="2"/>
        <scheme val="minor"/>
      </rPr>
      <t>2,10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+ 1,20 + 0,44 + 8,38 + 7,48 + 8,00 + 5,66 + 1,90 + 7,74 + 8,38 + 7,84 + 8,02 + 7,62 + 6,78 + 8,52 + 7,60 + 5,54 + 6,98 + 6,52 + 6,60 + 5,66 + 9,50 + 8,20 + 9,60 + 1,42 + 2,82 + 6,90 + 9,50 + 3,86</t>
    </r>
  </si>
  <si>
    <t>6,92 + 6,00 + 6,88 + 6,86 + 2,74 + 7,08 + 6,96 + 4,16 + 6,78 + 6,44 + 7,06 + 1,90 + 6,82 + 6,82 + 7,12 + 7,04</t>
  </si>
  <si>
    <t>1,88 + 2,12 + 1,88 + 1,96 + 1,86 + 1,58 + 2,00 + 1,88 + 1,56 + 1,82 + 1,88 + 1,86 + 1,58</t>
  </si>
  <si>
    <t>1,58 + 1,54 + 2,24 + 2,96 + 2,02 + 2,78 + 2,14 + 2,50 + 2,42 + 2,26 + 2,60 + 2,58 + 3,02 + 3,22 + 2,58 + 2,60 + 2,16 + 3,10 + 2,54 + 3,50 + 2,74 + 2,46 + 1,52 + 2,16 + 1,00 + 2,44</t>
  </si>
  <si>
    <t>3,30 + 3,22 + 3,32 + 3,30 + 2,98 + 3,04 + 2,88 + 2,92 + 2,74 + 2,76 + 2,82 + 2,86 + 2,76 + 2,78 + 2,94 + 2,94 + 2,94 + 2,88 + 2,92 + 2,94 + 2,56 + 2,90 + 2,90 + 2,90 + 2,72 + 2,70 + 2,68 + 2,62 + 2,78 + 2,80 + 2,76 + 2,76 + 2,70 + 2,72 + 2,60 + 2,64 + 2,60 + 2,56 + 2,54 + 2,52 + 2,44 + 2,46</t>
  </si>
  <si>
    <t>3,14 + 3,06 + 3,10 + 3,08 + 3,02 + 2,04 + 3,06 + 3,06 + 3,06 + 3,02 + 3,02 + 3,02 + 1,94 + 1,80 + 3,24 + 3,46 + 3,72 + 3,32 + 3,22 + 3,28 + 3,28 + 3,16 + 2,98 + 3,26 + 3,74 + 3,34 + 2,98 + 3,28 + 1,34 + 1,34 + 2,98 + 1,62 + 2,44 + 2,82 + 1,52 + 2,56 + 1,88 + 1,34 + 2,78 + 1,90 + 2,64 + 2,96</t>
  </si>
  <si>
    <t>3,34 + 1,84 + 2,42 + 2,68 + 2,42 + 3,00 + 2,96 + 2,68 + 3,04 + 3,02 + 3,12 + 3,40 + 2,88 + 3,16 + 1,02 + 1,52 + 2,10 + 2,16 + 1,40 + 1,52 + 1,48 + 1,60 + 2,50 + 1,28 + 1,14 + 1,86 + 1,98 + 2,28 + 1,66</t>
  </si>
  <si>
    <t>2,24 + 0,84 + 1,30 + 1,44 + 2,06 + 1,66 + 2,56 + 1,86 + 1,36</t>
  </si>
  <si>
    <t>2,06 + 2,18 + 2,04 + 2,28 + 3,58 + 2,00 + 2,96 + 3,74 + 2,32 + 3,46 + 2,98 + 3,60 + 3,72 + 1,64 + 2,26</t>
  </si>
  <si>
    <t>3,58 + 3,60 + 3,10 + 2,98 + 1,06 + 1,34 + 3,24 + 2,10 + 3,50 + 2,76 + 3,10 + 2,88</t>
  </si>
  <si>
    <t>3,38 + 3,14 + 2,48 + 3,36 + 2,54 + 2,26 + 2,86 + 1,76 + 3,64 + 1,78 + 2,86 + 3,32 + 2,04 + 1,06 + 1,92 + 3,36 + 2,46 + 3,26</t>
  </si>
  <si>
    <t>3,22 + 3,02 + 3,36 + 3,32 + 1,38 + 3,00 + 3,24 + 2,92 + 3,32 + 3,22 + 1,60 + 3,42 + 3,30 + 1,52 + 3,22 + 2,94 + 3,24 + 3,36 + 2,66 + 3,02</t>
  </si>
  <si>
    <t>2,92 + 1,50 + 0,90 + 1,08 + 2,60 + 1,22 + 2,02 + 2,38 + 2,60 + 3,00 + 3,20 + 1,90 + 2,52 + 3,30 + 2,58 + 2,62 + 2,42 + 1,80 + 2,62 + 3,10 + 2,48 + 1,82 + 3,04 + 0,88 + 0,88 + 2,88 + 2,44 + 1,46 + 1,78 + 3,02</t>
  </si>
  <si>
    <t>0,98 + 2,88 + 2,54 + 3,02 + 2,22 + 2,30 + 2,76 + 2,68 + 3,48 + 3,26 + 3,30 + 2,72 + 2,34 + 3,30 + 3,22</t>
  </si>
  <si>
    <t>1,96 + 1,92 + 1,94 + 1,86 + 2,78 + 3,42 + 1,78 + 3,40 + 3,44 + 3,44 + 2,86 + 2,80 + 2,68 + 2,70 + 1,90</t>
  </si>
  <si>
    <t>1,82 + 1,04 + 1,68 + 1,44 + 2,94 + 3,00 + 2,68 + 3,88 + 3,24 + 3,78 + 2,74 + 3,32 + 3,54 + 3,40 + 3,38 + 2,80 + 3,22 + 3,18 + 1,02</t>
  </si>
  <si>
    <t>1,94 + 2,34 + 3,22 + 3,26 + 2,42 + 3,30 + 3,28 + 3,26 + 3,22 + 2,32</t>
  </si>
  <si>
    <t>3,62 + 3,50 + 3,38  + 3,38 + 3,36 + 3,40 + 3,50 + 2,82 + 1,90 + 3,56 + 3,44</t>
  </si>
  <si>
    <t>2,00 + 1,48 + 1,14 + 2,46 + 2,44 + 2,26 + 2,02 + 2,36 + 2,46 + 2,40 + 2,36 + 1,26 + 2,20 + 2,18 + 2,38 + 1,90 + 1,26 + 2,42 + 2,46 + 2,04 + 1,42 + 2,42 + 1,94 + 2,44 + 2,28 + 2,08 + 2,16 + 1,66 + 2,26 + 1,50</t>
  </si>
  <si>
    <t>7,02 + 8,68 + 7,84 + 7,28 + 7,64 + 8,20 + 7,90 + 7,00 + 7,80 + 5,02 + 7,58 + 8,04 + 8,02 + 7,60 + 5,44 + 4,94 + 5,48 + 7,14 + 7,20 + 7,10 + 7,02 + 7,16 + 6,90 + 7,64 + 7,08 + 5,18 + 5,14 + 5,22 + 5,04 + 5,24 + 5,06 + 7,14 + 7,28 + 8,18 + 7,12 + 5,26 + 5,26 + 5,12 + 5,34 + 6,80 + 8,06</t>
  </si>
  <si>
    <t>7,96 + 8,76 + 7,74 + 8,78 + 8,32 + 6,78 + 3,14 + 6,64</t>
  </si>
  <si>
    <t>W01-03000047</t>
  </si>
  <si>
    <t>W01-03000046</t>
  </si>
  <si>
    <t>4,92 + 4,56 + 3,52 + 5,02 + 2,46 + 4,52 + 4,90</t>
  </si>
  <si>
    <t>9,38 + 9,38 + 9,54 + 9,62 + 9,54 + 9,48 + 9,52 + 9,34 + 9,50 + 9,52 + 9,40 + 9,34 + 9,50 + 9,52</t>
  </si>
  <si>
    <t>3,76 + 5,10 + 1,50 + 8,38 + 2,54 + 1,66 + 9,20 + 2,26 + 2,50 + 5,02 + 5,88</t>
  </si>
  <si>
    <t>5,16 + 6,70 + 5,02 + 5,38 + 4,70 + 5,02 + 6,96 + 5,26 + 6,86 + 4,22 + 6,98 + 7,20 + 6,98 + 6,70 + 6,98 + 5,64 + 6,70 + 4,90 + 6,96 + 7,22 + 7,22 + 5,10 + 4,90 + 7,98 + 7,20 + 6,82 + 6,80 + 4,10 + 4,88 + 4,58 + 7,28 + 5,18 + 6,34 + 7,66 + 5,82 + 5,14</t>
  </si>
  <si>
    <t>10,72 + 5,18 + 9,18 + 8,64 + 9,56 + 4,94 + 8,22 + 9,16 + 9,52 + 9,88 + 9,38 + 7,34 + 9,56 + 9,70 + 8,90 + 9,00 + 9,04 + 9,08 + 7,66 + 8,72 + 7,54 + 9,32</t>
  </si>
  <si>
    <t>6,84 + 7,94 + 9,14 + 2,92 + 9,08 + 8,10 + 9,12 + 8,96</t>
  </si>
  <si>
    <t>1,86 + 1,96 + 1,90 + 1,98 + 0,48 + 1,98 + 2,02 + 1,98 + 2,10 + 1,98 + 2,04 + 2,00 + 0,52 + 2,04 + 1,92 + 1,84</t>
  </si>
  <si>
    <t>8,38 + 4,84 + 9,56 + 9,14 + 5,96 + 10,38 + 10,32 + 9,90 + 9,90 + 9,78 + 10,96 + 10,96 + 4,12 + 9,90 + 9,80 + 9,94 + 7,98 + 10,46 + 9,66 + 4,86 + 6,98 + 7,96</t>
  </si>
  <si>
    <t>5,54 + 5,24 + 5,80 + 5,46 + 5,10 + 5,06 + 5,40</t>
  </si>
  <si>
    <t>10,10 + 6,94 + 9,82 + 7,26 + 8,42 + 9,92 + 9,12 + 4,86 + 10,14 + 9,64 + 9,26 + 9,38 + 7,94</t>
  </si>
  <si>
    <t>6,28 + 3,22 + 5,08 + 5,52 + 5,82 + 8,06 + 8,76 + 7,44 + 3,14 + 1,06 + 4,62 + 2,38</t>
  </si>
  <si>
    <t>6,52 + 6,24 + 6,44 + 6,40 + 6,20 + 6,38 + 6,42 + 6,36 + 6,38 + 6,58</t>
  </si>
  <si>
    <t>2,94 + 4,80 + 5,06 + 7,40 + 5,74 + 5,88 + 5,80 + 5,92 + 1,34</t>
  </si>
  <si>
    <t>7,86 + 8,28 + 8,32 + 8,32 + 8,36 + 8,44 + 8,34 + 8,40 + 7,68 + 8,26</t>
  </si>
  <si>
    <t>6,86 + 7,32 + 7,52 + 8,62 + 5,56 + 6,98 + 5,72 + 6,78 + 0,96</t>
  </si>
  <si>
    <t>6,96 + 8,00 + 4,24 + 8,40 + 7,92 + 8,16 + 4,32 + 8,30 + 6,72 + 8,10 + 8,60 + 8,26</t>
  </si>
  <si>
    <t>8,42 + 4,62 + 7,86 + 9,02 + 6,62 + 9,10 + 6,70 + 6,78</t>
  </si>
  <si>
    <t>8,38 + 8,46 + 2,80 + 8,48 + 8,50 + 8,10 + 8,40 + 5,52 + 8,30</t>
  </si>
  <si>
    <t>9,80 + 3,26 + 7,66 + 2,92 + 1,94 + 8,22 + 5,96 + 4,56 + 5,64 + 9,20</t>
  </si>
  <si>
    <t>8,26 + 8,16 + 8,38 + 8,48 + 5,60 + 5,58 + 8,20 + 8,20 + 7,88 + 8,20 + 8,24 + 8,22</t>
  </si>
  <si>
    <t>Tanggal Order :</t>
  </si>
  <si>
    <t>0,080UEW</t>
  </si>
  <si>
    <t>2,66 + 1,86 + 1,72 + 2,00 + 2,00 + 2,42 + 1,96 + 2,26 + 2,36 + 2,42 + 0,82 + 2,40 + 2,18 + 1,86 + 1,42</t>
  </si>
  <si>
    <t>3,38 + 1,58 + 2,72 + 3,64 + 3,64 + 4,12 + 4,12 + 3,78 + 3,68</t>
  </si>
  <si>
    <t>3,70 + 3,40 + 4,08 + 3,74 + 4,22 + 3,68 + 2,32 + 2,26 + 2,00 + 2,20</t>
  </si>
  <si>
    <t>2,72 + 2,26 + 2,52 + 1,72 + 2,02 + 1,94 + 1,90 + 1,94 + 2,18 + 2,64 + 2,72 + 2,72 + 3,02 + 2,98 + 3,34</t>
  </si>
  <si>
    <t>3,78 + 2,98 + 3,06 + 1,58</t>
  </si>
  <si>
    <t>2,70 + 2,70 + 1,04 + 3,68 + 3,48 + 2,76 + 3,50 + 3,66</t>
  </si>
  <si>
    <t>2,78 + 2,98 + 2,18 + 3,02 + 2,78 + 2,88 + 2,66 + 2,76 + 3,14 + 2,14 + 2,50 + 3,90 + 2,62 + 2,48</t>
  </si>
  <si>
    <t>1,02 + 1,02 + 1,00 + 1,02 + 1,00 + 0,98</t>
  </si>
  <si>
    <t>1,46 + 3,76 + 1,54 + 1,62</t>
  </si>
  <si>
    <t>2,56 + 4,26 + 3,70 + 3,60 + 4,22 + 3,58 + 3,66 + 3,32 + 2,40 + 3,90</t>
  </si>
  <si>
    <t>2,46 + 3,08 + 3,04 + 2,50 + 2,68 + 3,10 + 2,72 + 3,10 + 3,06 + 2,90 + 3,00 + 3,14 + 1,18 + 3,16</t>
  </si>
  <si>
    <t>0,98 + 0,98 + 0,96 + 0,80 + 1,00 + 0,98 + 0,96 + 0,96 + 0,96 + 0,96 + 0,98 + 0,98 + 0,96 + 1,00</t>
  </si>
  <si>
    <t>1,14 + 3,66 + 4,00 + 3,88 + 4,20 + 2,80 + 4,28 + 4,14</t>
  </si>
  <si>
    <t>3,36 + 3,42 + 3,18 + 3,08 + 2,92 + 3,18 + 3,00 + 3,32 + 3,34 + 3,42 + 1,88 + 3,32 + 3,28 + 2,78 + 2,54 + 1,52</t>
  </si>
  <si>
    <t>0,84 + 0,86 + 0,82 + 0,82 + 0,92 + 0,86 + 0,90 + 0,92 + 0,94 + 0,96 + 0,82 + 0,88 + 0,92 + 0,96 + 0,96 + 0,94 + 0,90 + 0,88 + 0,90</t>
  </si>
  <si>
    <t>3,86 + 3,42 + 3,68 + 3,32 + 3,50 + 3,56 + 3,34 + 3,50 + 3,50 + 3,48 + 3,28 + 3,88 + 3,50 + 3,50 + 3,46 + 3,30 + 2,86 + 3,22 + 2,70 + 4,02</t>
  </si>
  <si>
    <t>0,92 + 0,94 + 0,94 + 0,96 + 0,98 + 0,98 + 0,98 + 0,98 + 1,02 + 1,00 + 0,96 + 0,94 + 0,96 + 0,96 + 0,96 + 0,94 + 0,94 + 0,94 + 0,96 + 0,98 + 1,02 + 1,04 + 1,02 + 0,48 + 1,04</t>
  </si>
  <si>
    <t>Jumlah Order :</t>
  </si>
  <si>
    <t>M16-00000002 (2.6) :</t>
  </si>
  <si>
    <t>Sisa Tembaga :</t>
  </si>
  <si>
    <t>0,08 A</t>
  </si>
  <si>
    <t>0,12 A</t>
  </si>
  <si>
    <t>0,16 A</t>
  </si>
  <si>
    <t>0,2 A</t>
  </si>
  <si>
    <t>W01-04040001</t>
  </si>
  <si>
    <t>Tanggal Order</t>
  </si>
  <si>
    <t>Manufacture Order</t>
  </si>
  <si>
    <t>Material Issue</t>
  </si>
  <si>
    <t>Part Number</t>
  </si>
  <si>
    <t>Deskripsi</t>
  </si>
  <si>
    <t>QTY Order</t>
  </si>
  <si>
    <t>Satuan</t>
  </si>
  <si>
    <t>Tembaga Asli</t>
  </si>
  <si>
    <t xml:space="preserve"> M16-00000002</t>
  </si>
  <si>
    <t>Berat</t>
  </si>
  <si>
    <t>Berat Sebenarnya</t>
  </si>
  <si>
    <t>Tanggal</t>
  </si>
  <si>
    <t>Sisa</t>
  </si>
  <si>
    <t>Total Produksi</t>
  </si>
  <si>
    <t>3,30 + 3,24 + 3,06 + 3,62 + 3,34 + 3,36 + 3,56 + 2,94 + 3,38 + 3,16 + 3,30 + 3,18 + 3,26 + 3,24 + 3,22 + 3,42 + 3,66 + 3,26 + 3,26 + 3,10 + 2,96 + 3,32 + 3,26</t>
  </si>
  <si>
    <t>1,50 + 3,66 + 3,70</t>
  </si>
  <si>
    <t>2,96 + 3,00 + 3,16 + 2,40 + 3,06 + 3,46 + 3,06 + 3,12 + 3,48 + 3,00 + 3,14 + 3,20 + 3,06 + 2,90 + 0,92 + 3,40 + 3,38 + 3,04 + 3,12 + 3,52 + 3,40 + 2,70 + 3,32 + 3,14 + 3,36 + 2,66 + 3,22 + 3,50</t>
  </si>
  <si>
    <t>2,22 + 2,22 + 2,30 + 2,30 + 1,98 + 2,34 + 2,38 + 2,04 + 2,62 + 2,54 + 2,16 + 2,28 + 2,54 + 2,34 + 2,32 + 2,14 + 2,20 + 2,36 + 2,42 + 2,52 + 2,46 + 2,40 + 2,40 + 2,52 + 2,32 + 2,30 + 1,66 + 2,14 + 2,14 + 1,84 + 1,80 + 2,24 + 2,30 + 2,40 + 2,14 + 2,54 + 2,06 + 2,44 + 2,32 + 2,16 + 2,38 + 2,08 + 1,78 + 2,12 + 1,96 + 1,70 + 2,32 + 2,00 + 2,02 + 2,10 + 2,20 + 2,14 + 2,04 + 2,24 + 2,18</t>
  </si>
  <si>
    <t>2,24 + 2,40 + 2,60 + 2,32 + 1,28 + 2,24 + 1,12 + 1,30 + 2,72 + 2,50 + 2,36 + 2,36 + 2,24 + 1,00 + 2,34 + 1,18 + 2,46 + 2,06 + 2,38 + 2,48 + 2,18 + 2,46 + 2,58 + 2,40 + 2,06 + 2,46 + 1,40 + 2,52 + 3,18 + 2,32 + 2,06 + 1,96 + 2,26 + 2,22 + 0,80 + 2,38 + 2,26 + 1,26 + 2,20 + 2,20 + 2,28 + 2,00 + 2,94 + 2,30 + 1,00 + 1,96 + 2,18 + 2,14 + 1,94 + 2,24 + 2,22 + 2,18</t>
  </si>
  <si>
    <t>0,18 + 0,78 + 1,70 + 0,14 + 0,70 + 0,40 + 1,48 + 1,54 + 1,42 + 0,14</t>
  </si>
  <si>
    <t>1,78 + 1,84 + 2,30 + 0,18 + 2,02 + 0,22 + 1,32 + 1,28 + 0,36 + 2,36 + 0,24 + 1,72 + 0,34 + 2,14 + 1,74 + 2,08 + 0,22 + 0,26 + 0,22 + 1,76 + 1,46 + 2,12 + 0,62</t>
  </si>
  <si>
    <t>1,50 + 1,96 + 2,40 + 2,94 + 1,58 + 2,00 + 2,52 + 2,12 + 2,84 + 2,94 + 1,56 + 2,92 + 1,90 + 2,24 + 0,70 + 2,56 + 2,44 + 2,04 + 2,48 + 3,32 + 3,06 + 2,76 + 1,18 + 1,62 + 1,32 + 2,26 + 1,82 + 1,46 + 1,96 + 1,82 + 0,96 + 0,30 + 1,34 + 2,24 + 2,02 + 1,38 + 1,82 + 0,46 + 2,64</t>
  </si>
  <si>
    <t>2,72 + 2,42 + 2,72 + 2,52 + 2,00 + 3,16 + 2,00 + 2,52 + 2,08 + 1,92 + 1,96 + 3,06 + 2,46 + 1,82 + 3,08 + 2,42 + 2,94 + 2,24 + 0,06 + 1,38 + 0,16 + 2,48 + 1,60 + 0,38 + 2,78 + 3,18 + 3,02 + 2,72 + 2,42 + 2,28 + 0,40 + 1,58 + 2,86 + 1,80 + 2,08 + 2,76 + 1,18 + 2,08 + 2,58 + 0,40</t>
  </si>
  <si>
    <t>0,080 T</t>
  </si>
  <si>
    <t>0,30 + 0,22 + 0,22 + 0,24 + 0,24 + 0,24 + 0,24</t>
  </si>
  <si>
    <t>0,08 UEW</t>
  </si>
  <si>
    <t>W01-04040011-Y</t>
  </si>
  <si>
    <t>0,08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</si>
</sst>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;@"/>
    <numFmt numFmtId="165" formatCode="[$-409]d\-mmm;@"/>
    <numFmt numFmtId="166" formatCode="0.000"/>
    <numFmt numFmtId="167" formatCode="mmmm"/>
    <numFmt numFmtId="168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8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/>
    <xf numFmtId="2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" fontId="1" fillId="5" borderId="1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8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1" fillId="3" borderId="1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 wrapText="1"/>
    </xf>
    <xf numFmtId="0" fontId="0" fillId="0" borderId="12" xfId="1" applyNumberFormat="1" applyFont="1" applyBorder="1" applyAlignment="1">
      <alignment horizontal="center" vertical="center" wrapText="1"/>
    </xf>
    <xf numFmtId="0" fontId="0" fillId="0" borderId="5" xfId="1" applyNumberFormat="1" applyFont="1" applyBorder="1" applyAlignment="1">
      <alignment horizontal="center" vertical="center" wrapText="1"/>
    </xf>
    <xf numFmtId="0" fontId="0" fillId="0" borderId="13" xfId="1" applyNumberFormat="1" applyFont="1" applyBorder="1" applyAlignment="1">
      <alignment horizontal="center" vertical="center" wrapText="1"/>
    </xf>
    <xf numFmtId="0" fontId="0" fillId="0" borderId="8" xfId="1" applyNumberFormat="1" applyFont="1" applyBorder="1" applyAlignment="1">
      <alignment horizontal="center" vertical="center" wrapText="1"/>
    </xf>
    <xf numFmtId="0" fontId="0" fillId="0" borderId="14" xfId="1" applyNumberFormat="1" applyFont="1" applyBorder="1" applyAlignment="1">
      <alignment horizontal="center" vertical="center" wrapText="1"/>
    </xf>
    <xf numFmtId="0" fontId="0" fillId="0" borderId="9" xfId="1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2FC24"/>
      <color rgb="FF00CC00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119905</xdr:colOff>
      <xdr:row>0</xdr:row>
      <xdr:rowOff>68355</xdr:rowOff>
    </xdr:from>
    <xdr:to>
      <xdr:col>9</xdr:col>
      <xdr:colOff>526618</xdr:colOff>
      <xdr:row>5</xdr:row>
      <xdr:rowOff>156196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7930405" y="68355"/>
          <a:ext cx="944596" cy="10403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19053</xdr:colOff>
      <xdr:row>0</xdr:row>
      <xdr:rowOff>57149</xdr:rowOff>
    </xdr:from>
    <xdr:to>
      <xdr:col>10</xdr:col>
      <xdr:colOff>40284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7874377" y="57149"/>
          <a:ext cx="1096996" cy="10403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19053</xdr:colOff>
      <xdr:row>0</xdr:row>
      <xdr:rowOff>57149</xdr:rowOff>
    </xdr:from>
    <xdr:to>
      <xdr:col>10</xdr:col>
      <xdr:colOff>192684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7867653" y="57149"/>
          <a:ext cx="1088032" cy="10403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19053</xdr:colOff>
      <xdr:row>0</xdr:row>
      <xdr:rowOff>57149</xdr:rowOff>
    </xdr:from>
    <xdr:to>
      <xdr:col>10</xdr:col>
      <xdr:colOff>280147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7549406" y="57149"/>
          <a:ext cx="1336859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"/>
  <sheetViews>
    <sheetView zoomScale="85" zoomScaleNormal="85" workbookViewId="0">
      <pane xSplit="5" ySplit="8" topLeftCell="Y9" activePane="bottomRight" state="frozen"/>
      <selection pane="topRight" activeCell="F1" sqref="F1"/>
      <selection pane="bottomLeft" activeCell="A9" sqref="A9"/>
      <selection pane="bottomRight" activeCell="AK9" sqref="AK9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140" t="s">
        <v>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</row>
    <row r="2" spans="1:38" ht="15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</row>
    <row r="3" spans="1:38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</row>
    <row r="4" spans="1:38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</row>
    <row r="5" spans="1:38" ht="15" customHeight="1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</row>
    <row r="6" spans="1:38" ht="15" customHeight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</row>
    <row r="7" spans="1:38" x14ac:dyDescent="0.25">
      <c r="A7" s="150" t="s">
        <v>0</v>
      </c>
      <c r="B7" s="145" t="s">
        <v>29</v>
      </c>
      <c r="C7" s="150" t="s">
        <v>28</v>
      </c>
      <c r="D7" s="150" t="s">
        <v>7</v>
      </c>
      <c r="E7" s="150" t="s">
        <v>6</v>
      </c>
      <c r="F7" s="147" t="s">
        <v>5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9"/>
      <c r="AJ7" s="24"/>
      <c r="AK7" s="145" t="s">
        <v>8</v>
      </c>
      <c r="AL7" s="104" t="s">
        <v>25</v>
      </c>
    </row>
    <row r="8" spans="1:38" x14ac:dyDescent="0.25">
      <c r="A8" s="151"/>
      <c r="B8" s="146"/>
      <c r="C8" s="151"/>
      <c r="D8" s="151"/>
      <c r="E8" s="151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3">
        <v>45169</v>
      </c>
      <c r="AK8" s="146"/>
      <c r="AL8" s="104"/>
    </row>
    <row r="9" spans="1:38" x14ac:dyDescent="0.25">
      <c r="A9" s="27" t="s">
        <v>1</v>
      </c>
      <c r="B9" s="1" t="s">
        <v>2</v>
      </c>
      <c r="C9" s="1">
        <v>20230727004</v>
      </c>
      <c r="D9" s="26">
        <v>800</v>
      </c>
      <c r="E9" s="1">
        <v>802.8</v>
      </c>
      <c r="G9" s="2">
        <v>59.57</v>
      </c>
      <c r="H9" s="2">
        <f>B40</f>
        <v>39.94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132.00000000000003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72.259999999999991</v>
      </c>
      <c r="AB9" s="2"/>
      <c r="AC9" s="2"/>
      <c r="AD9" s="2">
        <f>B148</f>
        <v>81.020000000000024</v>
      </c>
      <c r="AE9" s="2"/>
      <c r="AF9" s="2"/>
      <c r="AG9" s="2"/>
      <c r="AH9" s="2"/>
      <c r="AI9" s="2">
        <f>B172</f>
        <v>30.76</v>
      </c>
      <c r="AJ9" s="2"/>
      <c r="AK9" s="7">
        <f>SUM(F9:AJ9)</f>
        <v>818.32999999999993</v>
      </c>
      <c r="AL9" s="17">
        <f>SUM(AK9-D9)</f>
        <v>18.329999999999927</v>
      </c>
    </row>
    <row r="10" spans="1:38" x14ac:dyDescent="0.25">
      <c r="A10" s="28" t="s">
        <v>43</v>
      </c>
      <c r="B10" s="2" t="s">
        <v>9</v>
      </c>
      <c r="C10" s="2">
        <v>20230727003</v>
      </c>
      <c r="D10" s="17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>
        <f>D172</f>
        <v>3.14</v>
      </c>
      <c r="AJ10" s="2"/>
      <c r="AK10" s="7">
        <f>SUM(F10:AJ10)</f>
        <v>842.17000000000007</v>
      </c>
      <c r="AL10" s="17">
        <f>SUM(AK10-D10)</f>
        <v>42.170000000000073</v>
      </c>
    </row>
    <row r="11" spans="1:38" x14ac:dyDescent="0.25">
      <c r="A11" s="28" t="s">
        <v>42</v>
      </c>
      <c r="B11" s="2" t="s">
        <v>3</v>
      </c>
      <c r="C11" s="2">
        <v>20230727005</v>
      </c>
      <c r="D11" s="7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197.01999999999998</v>
      </c>
      <c r="N11" s="2"/>
      <c r="O11" s="2"/>
      <c r="P11" s="2">
        <f>F81</f>
        <v>300.17999999999995</v>
      </c>
      <c r="Q11" s="2"/>
      <c r="R11" s="2"/>
      <c r="S11" s="11">
        <f>F91</f>
        <v>321.91999999999996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F164</f>
        <v>64.039999999999992</v>
      </c>
      <c r="AI11" s="2"/>
      <c r="AJ11" s="2"/>
      <c r="AK11" s="7">
        <f>SUM(F11:AJ11)</f>
        <v>883.15999999999985</v>
      </c>
      <c r="AL11" s="7">
        <f>SUM(AK11-D11)</f>
        <v>-16.840000000000146</v>
      </c>
    </row>
    <row r="12" spans="1:38" x14ac:dyDescent="0.25">
      <c r="A12" s="28" t="s">
        <v>41</v>
      </c>
      <c r="B12" s="2" t="s">
        <v>4</v>
      </c>
      <c r="C12" s="2">
        <v>20230727002</v>
      </c>
      <c r="D12" s="17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180.78</v>
      </c>
      <c r="Q12" s="2"/>
      <c r="R12" s="2"/>
      <c r="S12" s="2">
        <f>K91</f>
        <v>191.64000000000001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>
        <f>K164</f>
        <v>63.88</v>
      </c>
      <c r="AI12" s="2">
        <f>K172</f>
        <v>8.5399999999999991</v>
      </c>
      <c r="AJ12" s="2"/>
      <c r="AK12" s="14">
        <f>SUM(F12:AJ12)</f>
        <v>787.42</v>
      </c>
      <c r="AL12" s="17">
        <f>SUM(AK12-D12)</f>
        <v>287.41999999999996</v>
      </c>
    </row>
    <row r="13" spans="1:38" s="19" customFormat="1" x14ac:dyDescent="0.25">
      <c r="A13" s="29" t="s">
        <v>40</v>
      </c>
      <c r="B13" s="2" t="s">
        <v>24</v>
      </c>
      <c r="C13" s="8">
        <v>20230809001</v>
      </c>
      <c r="D13" s="7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26.280000000000005</v>
      </c>
      <c r="AB13" s="2"/>
      <c r="AC13" s="2">
        <f>P140</f>
        <v>69.570000000000007</v>
      </c>
      <c r="AD13" s="2">
        <f>P148</f>
        <v>65.839999999999989</v>
      </c>
      <c r="AE13" s="2"/>
      <c r="AF13" s="2"/>
      <c r="AG13" s="2">
        <f>P156</f>
        <v>60.92</v>
      </c>
      <c r="AH13" s="2">
        <f>P164</f>
        <v>48.68</v>
      </c>
      <c r="AI13" s="2">
        <f>P172</f>
        <v>90.960000000000008</v>
      </c>
      <c r="AJ13" s="2">
        <f>P180</f>
        <v>89.8</v>
      </c>
      <c r="AK13" s="7">
        <f>SUM(F13:AJ13)</f>
        <v>452.05</v>
      </c>
      <c r="AL13" s="7">
        <f>SUM(AK13-D13)</f>
        <v>-47.949999999999989</v>
      </c>
    </row>
    <row r="16" spans="1:38" x14ac:dyDescent="0.25">
      <c r="A16" s="154" t="s">
        <v>101</v>
      </c>
      <c r="B16" s="154"/>
      <c r="C16" s="53">
        <f>SUM(F9:AJ13)</f>
        <v>3783.1300000000006</v>
      </c>
      <c r="D16" s="55" t="s">
        <v>102</v>
      </c>
    </row>
    <row r="19" spans="1:20" ht="15" customHeight="1" x14ac:dyDescent="0.25">
      <c r="A19" s="152" t="s">
        <v>10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</row>
    <row r="20" spans="1:20" ht="15" customHeight="1" x14ac:dyDescent="0.25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</row>
    <row r="21" spans="1:20" ht="15" customHeight="1" x14ac:dyDescent="0.25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</row>
    <row r="22" spans="1:20" x14ac:dyDescent="0.25">
      <c r="A22" s="130" t="s">
        <v>11</v>
      </c>
      <c r="B22" s="130" t="s">
        <v>0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 x14ac:dyDescent="0.25">
      <c r="A23" s="130"/>
      <c r="B23" s="138" t="s">
        <v>1</v>
      </c>
      <c r="C23" s="138"/>
      <c r="D23" s="138" t="s">
        <v>43</v>
      </c>
      <c r="E23" s="138"/>
      <c r="F23" s="138" t="s">
        <v>42</v>
      </c>
      <c r="G23" s="138"/>
      <c r="H23" s="138"/>
      <c r="I23" s="138"/>
      <c r="J23" s="138"/>
      <c r="K23" s="138" t="s">
        <v>41</v>
      </c>
      <c r="L23" s="138"/>
      <c r="M23" s="138"/>
      <c r="N23" s="138"/>
      <c r="O23" s="138"/>
      <c r="P23" s="131" t="s">
        <v>40</v>
      </c>
      <c r="Q23" s="131"/>
      <c r="R23" s="131"/>
      <c r="S23" s="131"/>
      <c r="T23" s="131"/>
    </row>
    <row r="24" spans="1:20" x14ac:dyDescent="0.25">
      <c r="A24" s="130"/>
      <c r="B24" s="130" t="s">
        <v>12</v>
      </c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</row>
    <row r="25" spans="1:20" x14ac:dyDescent="0.25">
      <c r="A25" s="105">
        <v>45140</v>
      </c>
      <c r="B25" s="106" t="s">
        <v>13</v>
      </c>
      <c r="C25" s="106"/>
      <c r="D25" s="107"/>
      <c r="E25" s="108"/>
      <c r="F25" s="107"/>
      <c r="G25" s="113"/>
      <c r="H25" s="113"/>
      <c r="I25" s="113"/>
      <c r="J25" s="108"/>
      <c r="K25" s="107"/>
      <c r="L25" s="113"/>
      <c r="M25" s="113"/>
      <c r="N25" s="113"/>
      <c r="O25" s="108"/>
      <c r="P25" s="106"/>
      <c r="Q25" s="106"/>
      <c r="R25" s="106"/>
      <c r="S25" s="106"/>
      <c r="T25" s="106"/>
    </row>
    <row r="26" spans="1:20" x14ac:dyDescent="0.25">
      <c r="A26" s="105"/>
      <c r="B26" s="106"/>
      <c r="C26" s="106"/>
      <c r="D26" s="109"/>
      <c r="E26" s="110"/>
      <c r="F26" s="109"/>
      <c r="G26" s="114"/>
      <c r="H26" s="114"/>
      <c r="I26" s="114"/>
      <c r="J26" s="110"/>
      <c r="K26" s="109"/>
      <c r="L26" s="114"/>
      <c r="M26" s="114"/>
      <c r="N26" s="114"/>
      <c r="O26" s="110"/>
      <c r="P26" s="106"/>
      <c r="Q26" s="106"/>
      <c r="R26" s="106"/>
      <c r="S26" s="106"/>
      <c r="T26" s="106"/>
    </row>
    <row r="27" spans="1:20" x14ac:dyDescent="0.25">
      <c r="A27" s="105"/>
      <c r="B27" s="106"/>
      <c r="C27" s="106"/>
      <c r="D27" s="109"/>
      <c r="E27" s="110"/>
      <c r="F27" s="109"/>
      <c r="G27" s="114"/>
      <c r="H27" s="114"/>
      <c r="I27" s="114"/>
      <c r="J27" s="110"/>
      <c r="K27" s="109"/>
      <c r="L27" s="114"/>
      <c r="M27" s="114"/>
      <c r="N27" s="114"/>
      <c r="O27" s="110"/>
      <c r="P27" s="106"/>
      <c r="Q27" s="106"/>
      <c r="R27" s="106"/>
      <c r="S27" s="106"/>
      <c r="T27" s="106"/>
    </row>
    <row r="28" spans="1:20" x14ac:dyDescent="0.25">
      <c r="A28" s="105"/>
      <c r="B28" s="106"/>
      <c r="C28" s="106"/>
      <c r="D28" s="109"/>
      <c r="E28" s="110"/>
      <c r="F28" s="109"/>
      <c r="G28" s="114"/>
      <c r="H28" s="114"/>
      <c r="I28" s="114"/>
      <c r="J28" s="110"/>
      <c r="K28" s="109"/>
      <c r="L28" s="114"/>
      <c r="M28" s="114"/>
      <c r="N28" s="114"/>
      <c r="O28" s="110"/>
      <c r="P28" s="106"/>
      <c r="Q28" s="106"/>
      <c r="R28" s="106"/>
      <c r="S28" s="106"/>
      <c r="T28" s="106"/>
    </row>
    <row r="29" spans="1:20" x14ac:dyDescent="0.25">
      <c r="A29" s="105"/>
      <c r="B29" s="106"/>
      <c r="C29" s="106"/>
      <c r="D29" s="109"/>
      <c r="E29" s="110"/>
      <c r="F29" s="109"/>
      <c r="G29" s="114"/>
      <c r="H29" s="114"/>
      <c r="I29" s="114"/>
      <c r="J29" s="110"/>
      <c r="K29" s="109"/>
      <c r="L29" s="114"/>
      <c r="M29" s="114"/>
      <c r="N29" s="114"/>
      <c r="O29" s="110"/>
      <c r="P29" s="106"/>
      <c r="Q29" s="106"/>
      <c r="R29" s="106"/>
      <c r="S29" s="106"/>
      <c r="T29" s="106"/>
    </row>
    <row r="30" spans="1:20" x14ac:dyDescent="0.25">
      <c r="A30" s="105"/>
      <c r="B30" s="106"/>
      <c r="C30" s="106"/>
      <c r="D30" s="111"/>
      <c r="E30" s="112"/>
      <c r="F30" s="111"/>
      <c r="G30" s="115"/>
      <c r="H30" s="115"/>
      <c r="I30" s="115"/>
      <c r="J30" s="112"/>
      <c r="K30" s="111"/>
      <c r="L30" s="115"/>
      <c r="M30" s="115"/>
      <c r="N30" s="115"/>
      <c r="O30" s="112"/>
      <c r="P30" s="106"/>
      <c r="Q30" s="106"/>
      <c r="R30" s="106"/>
      <c r="S30" s="106"/>
      <c r="T30" s="106"/>
    </row>
    <row r="31" spans="1:20" x14ac:dyDescent="0.25">
      <c r="A31" s="5" t="s">
        <v>22</v>
      </c>
      <c r="B31" s="142">
        <v>0</v>
      </c>
      <c r="C31" s="143"/>
      <c r="D31" s="142"/>
      <c r="E31" s="143"/>
      <c r="F31" s="142"/>
      <c r="G31" s="144"/>
      <c r="H31" s="144"/>
      <c r="I31" s="144"/>
      <c r="J31" s="143"/>
      <c r="K31" s="142"/>
      <c r="L31" s="144"/>
      <c r="M31" s="144"/>
      <c r="N31" s="144"/>
      <c r="O31" s="143"/>
      <c r="P31" s="119"/>
      <c r="Q31" s="119"/>
      <c r="R31" s="119"/>
      <c r="S31" s="119"/>
      <c r="T31" s="119"/>
    </row>
    <row r="32" spans="1:20" x14ac:dyDescent="0.25">
      <c r="A32" s="4" t="s">
        <v>14</v>
      </c>
      <c r="B32" s="103">
        <f>2.18 + 0.8 + 5.66 + 5.46 + 6.21 + 0.3 + 2.38 + 0.76 + 0.86 + 3.44 + 4.8 + 2.14 + 1.52 + 1.82 + 1.56 + 1.84 + 3.96 + 0.66 + 5.88 + 5.94 + 1.08 + 0.08 + 0.1 + 0.14</f>
        <v>59.570000000000007</v>
      </c>
      <c r="C32" s="103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04"/>
      <c r="Q32" s="104"/>
      <c r="R32" s="104"/>
      <c r="S32" s="104"/>
      <c r="T32" s="104"/>
    </row>
    <row r="33" spans="1:20" x14ac:dyDescent="0.25">
      <c r="A33" s="105">
        <v>45141</v>
      </c>
      <c r="B33" s="106" t="s">
        <v>104</v>
      </c>
      <c r="C33" s="106"/>
      <c r="D33" s="107"/>
      <c r="E33" s="108"/>
      <c r="F33" s="107"/>
      <c r="G33" s="113"/>
      <c r="H33" s="113"/>
      <c r="I33" s="113"/>
      <c r="J33" s="108"/>
      <c r="K33" s="107"/>
      <c r="L33" s="113"/>
      <c r="M33" s="113"/>
      <c r="N33" s="113"/>
      <c r="O33" s="108"/>
      <c r="P33" s="106"/>
      <c r="Q33" s="106"/>
      <c r="R33" s="106"/>
      <c r="S33" s="106"/>
      <c r="T33" s="106"/>
    </row>
    <row r="34" spans="1:20" x14ac:dyDescent="0.25">
      <c r="A34" s="105"/>
      <c r="B34" s="106"/>
      <c r="C34" s="106"/>
      <c r="D34" s="109"/>
      <c r="E34" s="110"/>
      <c r="F34" s="109"/>
      <c r="G34" s="114"/>
      <c r="H34" s="114"/>
      <c r="I34" s="114"/>
      <c r="J34" s="110"/>
      <c r="K34" s="109"/>
      <c r="L34" s="114"/>
      <c r="M34" s="114"/>
      <c r="N34" s="114"/>
      <c r="O34" s="110"/>
      <c r="P34" s="106"/>
      <c r="Q34" s="106"/>
      <c r="R34" s="106"/>
      <c r="S34" s="106"/>
      <c r="T34" s="106"/>
    </row>
    <row r="35" spans="1:20" x14ac:dyDescent="0.25">
      <c r="A35" s="105"/>
      <c r="B35" s="106"/>
      <c r="C35" s="106"/>
      <c r="D35" s="109"/>
      <c r="E35" s="110"/>
      <c r="F35" s="109"/>
      <c r="G35" s="114"/>
      <c r="H35" s="114"/>
      <c r="I35" s="114"/>
      <c r="J35" s="110"/>
      <c r="K35" s="109"/>
      <c r="L35" s="114"/>
      <c r="M35" s="114"/>
      <c r="N35" s="114"/>
      <c r="O35" s="110"/>
      <c r="P35" s="106"/>
      <c r="Q35" s="106"/>
      <c r="R35" s="106"/>
      <c r="S35" s="106"/>
      <c r="T35" s="106"/>
    </row>
    <row r="36" spans="1:20" x14ac:dyDescent="0.25">
      <c r="A36" s="105"/>
      <c r="B36" s="106"/>
      <c r="C36" s="106"/>
      <c r="D36" s="109"/>
      <c r="E36" s="110"/>
      <c r="F36" s="109"/>
      <c r="G36" s="114"/>
      <c r="H36" s="114"/>
      <c r="I36" s="114"/>
      <c r="J36" s="110"/>
      <c r="K36" s="109"/>
      <c r="L36" s="114"/>
      <c r="M36" s="114"/>
      <c r="N36" s="114"/>
      <c r="O36" s="110"/>
      <c r="P36" s="106"/>
      <c r="Q36" s="106"/>
      <c r="R36" s="106"/>
      <c r="S36" s="106"/>
      <c r="T36" s="106"/>
    </row>
    <row r="37" spans="1:20" x14ac:dyDescent="0.25">
      <c r="A37" s="105"/>
      <c r="B37" s="106"/>
      <c r="C37" s="106"/>
      <c r="D37" s="109"/>
      <c r="E37" s="110"/>
      <c r="F37" s="109"/>
      <c r="G37" s="114"/>
      <c r="H37" s="114"/>
      <c r="I37" s="114"/>
      <c r="J37" s="110"/>
      <c r="K37" s="109"/>
      <c r="L37" s="114"/>
      <c r="M37" s="114"/>
      <c r="N37" s="114"/>
      <c r="O37" s="110"/>
      <c r="P37" s="106"/>
      <c r="Q37" s="106"/>
      <c r="R37" s="106"/>
      <c r="S37" s="106"/>
      <c r="T37" s="106"/>
    </row>
    <row r="38" spans="1:20" x14ac:dyDescent="0.25">
      <c r="A38" s="105"/>
      <c r="B38" s="106"/>
      <c r="C38" s="106"/>
      <c r="D38" s="111"/>
      <c r="E38" s="112"/>
      <c r="F38" s="111"/>
      <c r="G38" s="115"/>
      <c r="H38" s="115"/>
      <c r="I38" s="115"/>
      <c r="J38" s="112"/>
      <c r="K38" s="111"/>
      <c r="L38" s="115"/>
      <c r="M38" s="115"/>
      <c r="N38" s="115"/>
      <c r="O38" s="112"/>
      <c r="P38" s="106"/>
      <c r="Q38" s="106"/>
      <c r="R38" s="106"/>
      <c r="S38" s="106"/>
      <c r="T38" s="106"/>
    </row>
    <row r="39" spans="1:20" x14ac:dyDescent="0.25">
      <c r="A39" s="6" t="s">
        <v>22</v>
      </c>
      <c r="B39" s="116">
        <v>0</v>
      </c>
      <c r="C39" s="117"/>
      <c r="D39" s="116"/>
      <c r="E39" s="117"/>
      <c r="F39" s="116"/>
      <c r="G39" s="118"/>
      <c r="H39" s="118"/>
      <c r="I39" s="118"/>
      <c r="J39" s="117"/>
      <c r="K39" s="116"/>
      <c r="L39" s="118"/>
      <c r="M39" s="118"/>
      <c r="N39" s="118"/>
      <c r="O39" s="117"/>
      <c r="P39" s="119"/>
      <c r="Q39" s="119"/>
      <c r="R39" s="119"/>
      <c r="S39" s="119"/>
      <c r="T39" s="119"/>
    </row>
    <row r="40" spans="1:20" x14ac:dyDescent="0.25">
      <c r="A40" s="4" t="s">
        <v>14</v>
      </c>
      <c r="B40" s="103">
        <f>1.42 + 1.72 + 1.78 + 0.68 + 2.34 + 0.46 + 1.02 + 1.12 + 5.58 + 1.28 + 3.2 + 0.56 + 0.56 + 8.48 + 0.46 + 1.18 + 8.1</f>
        <v>39.94</v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4"/>
      <c r="Q40" s="104"/>
      <c r="R40" s="104"/>
      <c r="S40" s="104"/>
      <c r="T40" s="104"/>
    </row>
    <row r="41" spans="1:20" x14ac:dyDescent="0.25">
      <c r="A41" s="105">
        <v>45142</v>
      </c>
      <c r="B41" s="106" t="s">
        <v>15</v>
      </c>
      <c r="C41" s="106"/>
      <c r="D41" s="107" t="s">
        <v>105</v>
      </c>
      <c r="E41" s="108"/>
      <c r="F41" s="107"/>
      <c r="G41" s="113"/>
      <c r="H41" s="113"/>
      <c r="I41" s="113"/>
      <c r="J41" s="108"/>
      <c r="K41" s="107"/>
      <c r="L41" s="113"/>
      <c r="M41" s="113"/>
      <c r="N41" s="113"/>
      <c r="O41" s="108"/>
      <c r="P41" s="106"/>
      <c r="Q41" s="106"/>
      <c r="R41" s="106"/>
      <c r="S41" s="106"/>
      <c r="T41" s="106"/>
    </row>
    <row r="42" spans="1:20" x14ac:dyDescent="0.25">
      <c r="A42" s="105"/>
      <c r="B42" s="106"/>
      <c r="C42" s="106"/>
      <c r="D42" s="109"/>
      <c r="E42" s="110"/>
      <c r="F42" s="109"/>
      <c r="G42" s="114"/>
      <c r="H42" s="114"/>
      <c r="I42" s="114"/>
      <c r="J42" s="110"/>
      <c r="K42" s="109"/>
      <c r="L42" s="114"/>
      <c r="M42" s="114"/>
      <c r="N42" s="114"/>
      <c r="O42" s="110"/>
      <c r="P42" s="106"/>
      <c r="Q42" s="106"/>
      <c r="R42" s="106"/>
      <c r="S42" s="106"/>
      <c r="T42" s="106"/>
    </row>
    <row r="43" spans="1:20" x14ac:dyDescent="0.25">
      <c r="A43" s="105"/>
      <c r="B43" s="106"/>
      <c r="C43" s="106"/>
      <c r="D43" s="109"/>
      <c r="E43" s="110"/>
      <c r="F43" s="109"/>
      <c r="G43" s="114"/>
      <c r="H43" s="114"/>
      <c r="I43" s="114"/>
      <c r="J43" s="110"/>
      <c r="K43" s="109"/>
      <c r="L43" s="114"/>
      <c r="M43" s="114"/>
      <c r="N43" s="114"/>
      <c r="O43" s="110"/>
      <c r="P43" s="106"/>
      <c r="Q43" s="106"/>
      <c r="R43" s="106"/>
      <c r="S43" s="106"/>
      <c r="T43" s="106"/>
    </row>
    <row r="44" spans="1:20" x14ac:dyDescent="0.25">
      <c r="A44" s="105"/>
      <c r="B44" s="106"/>
      <c r="C44" s="106"/>
      <c r="D44" s="109"/>
      <c r="E44" s="110"/>
      <c r="F44" s="109"/>
      <c r="G44" s="114"/>
      <c r="H44" s="114"/>
      <c r="I44" s="114"/>
      <c r="J44" s="110"/>
      <c r="K44" s="109"/>
      <c r="L44" s="114"/>
      <c r="M44" s="114"/>
      <c r="N44" s="114"/>
      <c r="O44" s="110"/>
      <c r="P44" s="106"/>
      <c r="Q44" s="106"/>
      <c r="R44" s="106"/>
      <c r="S44" s="106"/>
      <c r="T44" s="106"/>
    </row>
    <row r="45" spans="1:20" x14ac:dyDescent="0.25">
      <c r="A45" s="105"/>
      <c r="B45" s="106"/>
      <c r="C45" s="106"/>
      <c r="D45" s="109"/>
      <c r="E45" s="110"/>
      <c r="F45" s="109"/>
      <c r="G45" s="114"/>
      <c r="H45" s="114"/>
      <c r="I45" s="114"/>
      <c r="J45" s="110"/>
      <c r="K45" s="109"/>
      <c r="L45" s="114"/>
      <c r="M45" s="114"/>
      <c r="N45" s="114"/>
      <c r="O45" s="110"/>
      <c r="P45" s="106"/>
      <c r="Q45" s="106"/>
      <c r="R45" s="106"/>
      <c r="S45" s="106"/>
      <c r="T45" s="106"/>
    </row>
    <row r="46" spans="1:20" x14ac:dyDescent="0.25">
      <c r="A46" s="105"/>
      <c r="B46" s="106"/>
      <c r="C46" s="106"/>
      <c r="D46" s="111"/>
      <c r="E46" s="112"/>
      <c r="F46" s="111"/>
      <c r="G46" s="115"/>
      <c r="H46" s="115"/>
      <c r="I46" s="115"/>
      <c r="J46" s="112"/>
      <c r="K46" s="111"/>
      <c r="L46" s="115"/>
      <c r="M46" s="115"/>
      <c r="N46" s="115"/>
      <c r="O46" s="112"/>
      <c r="P46" s="106"/>
      <c r="Q46" s="106"/>
      <c r="R46" s="106"/>
      <c r="S46" s="106"/>
      <c r="T46" s="106"/>
    </row>
    <row r="47" spans="1:20" x14ac:dyDescent="0.25">
      <c r="A47" s="6" t="s">
        <v>22</v>
      </c>
      <c r="B47" s="116">
        <v>0</v>
      </c>
      <c r="C47" s="117"/>
      <c r="D47" s="116">
        <v>0.38</v>
      </c>
      <c r="E47" s="117"/>
      <c r="F47" s="116"/>
      <c r="G47" s="118"/>
      <c r="H47" s="118"/>
      <c r="I47" s="118"/>
      <c r="J47" s="117"/>
      <c r="K47" s="116"/>
      <c r="L47" s="118"/>
      <c r="M47" s="118"/>
      <c r="N47" s="118"/>
      <c r="O47" s="117"/>
      <c r="P47" s="119"/>
      <c r="Q47" s="119"/>
      <c r="R47" s="119"/>
      <c r="S47" s="119"/>
      <c r="T47" s="119"/>
    </row>
    <row r="48" spans="1:20" x14ac:dyDescent="0.25">
      <c r="A48" s="4" t="s">
        <v>14</v>
      </c>
      <c r="B48" s="103">
        <f>3.88 + 0.24 + 3.32 + 0.8 + 4.7 + 3.59 + 3.98 + 0.7 + 0.32 + 2.68 + 0.98 + 0.84 + 2.94 + 7.4 + 4.7 + 3.64 + 3.98 + 3.28 + 7.52</f>
        <v>59.490000000000009</v>
      </c>
      <c r="C48" s="103"/>
      <c r="D48" s="103">
        <f>0.32 + 0.32 + 0.34 + 0.34 + 6.46 + 6.28 + 6.22 + 6.44 + 1.26</f>
        <v>27.980000000000004</v>
      </c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4"/>
      <c r="Q48" s="104"/>
      <c r="R48" s="104"/>
      <c r="S48" s="104"/>
      <c r="T48" s="104"/>
    </row>
    <row r="49" spans="1:20" x14ac:dyDescent="0.25">
      <c r="A49" s="105">
        <v>45143</v>
      </c>
      <c r="B49" s="106" t="s">
        <v>16</v>
      </c>
      <c r="C49" s="106"/>
      <c r="D49" s="107" t="s">
        <v>17</v>
      </c>
      <c r="E49" s="108"/>
      <c r="F49" s="107"/>
      <c r="G49" s="113"/>
      <c r="H49" s="113"/>
      <c r="I49" s="113"/>
      <c r="J49" s="108"/>
      <c r="K49" s="107"/>
      <c r="L49" s="113"/>
      <c r="M49" s="113"/>
      <c r="N49" s="113"/>
      <c r="O49" s="108"/>
      <c r="P49" s="106"/>
      <c r="Q49" s="106"/>
      <c r="R49" s="106"/>
      <c r="S49" s="106"/>
      <c r="T49" s="106"/>
    </row>
    <row r="50" spans="1:20" x14ac:dyDescent="0.25">
      <c r="A50" s="105"/>
      <c r="B50" s="106"/>
      <c r="C50" s="106"/>
      <c r="D50" s="109"/>
      <c r="E50" s="110"/>
      <c r="F50" s="109"/>
      <c r="G50" s="114"/>
      <c r="H50" s="114"/>
      <c r="I50" s="114"/>
      <c r="J50" s="110"/>
      <c r="K50" s="109"/>
      <c r="L50" s="114"/>
      <c r="M50" s="114"/>
      <c r="N50" s="114"/>
      <c r="O50" s="110"/>
      <c r="P50" s="106"/>
      <c r="Q50" s="106"/>
      <c r="R50" s="106"/>
      <c r="S50" s="106"/>
      <c r="T50" s="106"/>
    </row>
    <row r="51" spans="1:20" x14ac:dyDescent="0.25">
      <c r="A51" s="105"/>
      <c r="B51" s="106"/>
      <c r="C51" s="106"/>
      <c r="D51" s="109"/>
      <c r="E51" s="110"/>
      <c r="F51" s="109"/>
      <c r="G51" s="114"/>
      <c r="H51" s="114"/>
      <c r="I51" s="114"/>
      <c r="J51" s="110"/>
      <c r="K51" s="109"/>
      <c r="L51" s="114"/>
      <c r="M51" s="114"/>
      <c r="N51" s="114"/>
      <c r="O51" s="110"/>
      <c r="P51" s="106"/>
      <c r="Q51" s="106"/>
      <c r="R51" s="106"/>
      <c r="S51" s="106"/>
      <c r="T51" s="106"/>
    </row>
    <row r="52" spans="1:20" x14ac:dyDescent="0.25">
      <c r="A52" s="105"/>
      <c r="B52" s="106"/>
      <c r="C52" s="106"/>
      <c r="D52" s="109"/>
      <c r="E52" s="110"/>
      <c r="F52" s="109"/>
      <c r="G52" s="114"/>
      <c r="H52" s="114"/>
      <c r="I52" s="114"/>
      <c r="J52" s="110"/>
      <c r="K52" s="109"/>
      <c r="L52" s="114"/>
      <c r="M52" s="114"/>
      <c r="N52" s="114"/>
      <c r="O52" s="110"/>
      <c r="P52" s="106"/>
      <c r="Q52" s="106"/>
      <c r="R52" s="106"/>
      <c r="S52" s="106"/>
      <c r="T52" s="106"/>
    </row>
    <row r="53" spans="1:20" x14ac:dyDescent="0.25">
      <c r="A53" s="105"/>
      <c r="B53" s="106"/>
      <c r="C53" s="106"/>
      <c r="D53" s="109"/>
      <c r="E53" s="110"/>
      <c r="F53" s="109"/>
      <c r="G53" s="114"/>
      <c r="H53" s="114"/>
      <c r="I53" s="114"/>
      <c r="J53" s="110"/>
      <c r="K53" s="109"/>
      <c r="L53" s="114"/>
      <c r="M53" s="114"/>
      <c r="N53" s="114"/>
      <c r="O53" s="110"/>
      <c r="P53" s="106"/>
      <c r="Q53" s="106"/>
      <c r="R53" s="106"/>
      <c r="S53" s="106"/>
      <c r="T53" s="106"/>
    </row>
    <row r="54" spans="1:20" x14ac:dyDescent="0.25">
      <c r="A54" s="105"/>
      <c r="B54" s="106"/>
      <c r="C54" s="106"/>
      <c r="D54" s="111"/>
      <c r="E54" s="112"/>
      <c r="F54" s="111"/>
      <c r="G54" s="115"/>
      <c r="H54" s="115"/>
      <c r="I54" s="115"/>
      <c r="J54" s="112"/>
      <c r="K54" s="111"/>
      <c r="L54" s="115"/>
      <c r="M54" s="115"/>
      <c r="N54" s="115"/>
      <c r="O54" s="112"/>
      <c r="P54" s="106"/>
      <c r="Q54" s="106"/>
      <c r="R54" s="106"/>
      <c r="S54" s="106"/>
      <c r="T54" s="106"/>
    </row>
    <row r="55" spans="1:20" x14ac:dyDescent="0.25">
      <c r="A55" s="6" t="s">
        <v>22</v>
      </c>
      <c r="B55" s="116">
        <v>0</v>
      </c>
      <c r="C55" s="117"/>
      <c r="D55" s="116">
        <v>0</v>
      </c>
      <c r="E55" s="117"/>
      <c r="F55" s="116"/>
      <c r="G55" s="118"/>
      <c r="H55" s="118"/>
      <c r="I55" s="118"/>
      <c r="J55" s="117"/>
      <c r="K55" s="116"/>
      <c r="L55" s="118"/>
      <c r="M55" s="118"/>
      <c r="N55" s="118"/>
      <c r="O55" s="117"/>
      <c r="P55" s="119"/>
      <c r="Q55" s="119"/>
      <c r="R55" s="119"/>
      <c r="S55" s="119"/>
      <c r="T55" s="119"/>
    </row>
    <row r="56" spans="1:20" x14ac:dyDescent="0.25">
      <c r="A56" s="4" t="s">
        <v>14</v>
      </c>
      <c r="B56" s="103">
        <f>1.78 + 8.46 + 3.42 + 1.74 + 3.46 + 7.74 + 3.7 + 6.58 + 1.82</f>
        <v>38.700000000000003</v>
      </c>
      <c r="C56" s="103"/>
      <c r="D56" s="103">
        <f>0.46 + 0.54 + 2.8 + 2.74 + 0.72 + 1.58 + 4.98 + 8.54 + 7.08 + 7.72 + 6.1 + 3 + 3.06 + 1.66 + 1.18 + 1.58 + 0.32</f>
        <v>54.059999999999995</v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4"/>
      <c r="Q56" s="104"/>
      <c r="R56" s="104"/>
      <c r="S56" s="104"/>
      <c r="T56" s="104"/>
    </row>
    <row r="57" spans="1:20" x14ac:dyDescent="0.25">
      <c r="A57" s="105">
        <v>45145</v>
      </c>
      <c r="B57" s="106" t="s">
        <v>18</v>
      </c>
      <c r="C57" s="106"/>
      <c r="D57" s="132" t="s">
        <v>19</v>
      </c>
      <c r="E57" s="133"/>
      <c r="F57" s="107"/>
      <c r="G57" s="113"/>
      <c r="H57" s="113"/>
      <c r="I57" s="113"/>
      <c r="J57" s="108"/>
      <c r="K57" s="107"/>
      <c r="L57" s="113"/>
      <c r="M57" s="113"/>
      <c r="N57" s="113"/>
      <c r="O57" s="108"/>
      <c r="P57" s="106"/>
      <c r="Q57" s="106"/>
      <c r="R57" s="106"/>
      <c r="S57" s="106"/>
      <c r="T57" s="106"/>
    </row>
    <row r="58" spans="1:20" x14ac:dyDescent="0.25">
      <c r="A58" s="105"/>
      <c r="B58" s="106"/>
      <c r="C58" s="106"/>
      <c r="D58" s="134"/>
      <c r="E58" s="135"/>
      <c r="F58" s="109"/>
      <c r="G58" s="114"/>
      <c r="H58" s="114"/>
      <c r="I58" s="114"/>
      <c r="J58" s="110"/>
      <c r="K58" s="109"/>
      <c r="L58" s="114"/>
      <c r="M58" s="114"/>
      <c r="N58" s="114"/>
      <c r="O58" s="110"/>
      <c r="P58" s="106"/>
      <c r="Q58" s="106"/>
      <c r="R58" s="106"/>
      <c r="S58" s="106"/>
      <c r="T58" s="106"/>
    </row>
    <row r="59" spans="1:20" x14ac:dyDescent="0.25">
      <c r="A59" s="105"/>
      <c r="B59" s="106"/>
      <c r="C59" s="106"/>
      <c r="D59" s="134"/>
      <c r="E59" s="135"/>
      <c r="F59" s="109"/>
      <c r="G59" s="114"/>
      <c r="H59" s="114"/>
      <c r="I59" s="114"/>
      <c r="J59" s="110"/>
      <c r="K59" s="109"/>
      <c r="L59" s="114"/>
      <c r="M59" s="114"/>
      <c r="N59" s="114"/>
      <c r="O59" s="110"/>
      <c r="P59" s="106"/>
      <c r="Q59" s="106"/>
      <c r="R59" s="106"/>
      <c r="S59" s="106"/>
      <c r="T59" s="106"/>
    </row>
    <row r="60" spans="1:20" x14ac:dyDescent="0.25">
      <c r="A60" s="105"/>
      <c r="B60" s="106"/>
      <c r="C60" s="106"/>
      <c r="D60" s="134"/>
      <c r="E60" s="135"/>
      <c r="F60" s="109"/>
      <c r="G60" s="114"/>
      <c r="H60" s="114"/>
      <c r="I60" s="114"/>
      <c r="J60" s="110"/>
      <c r="K60" s="109"/>
      <c r="L60" s="114"/>
      <c r="M60" s="114"/>
      <c r="N60" s="114"/>
      <c r="O60" s="110"/>
      <c r="P60" s="106"/>
      <c r="Q60" s="106"/>
      <c r="R60" s="106"/>
      <c r="S60" s="106"/>
      <c r="T60" s="106"/>
    </row>
    <row r="61" spans="1:20" x14ac:dyDescent="0.25">
      <c r="A61" s="105"/>
      <c r="B61" s="106"/>
      <c r="C61" s="106"/>
      <c r="D61" s="134"/>
      <c r="E61" s="135"/>
      <c r="F61" s="109"/>
      <c r="G61" s="114"/>
      <c r="H61" s="114"/>
      <c r="I61" s="114"/>
      <c r="J61" s="110"/>
      <c r="K61" s="109"/>
      <c r="L61" s="114"/>
      <c r="M61" s="114"/>
      <c r="N61" s="114"/>
      <c r="O61" s="110"/>
      <c r="P61" s="106"/>
      <c r="Q61" s="106"/>
      <c r="R61" s="106"/>
      <c r="S61" s="106"/>
      <c r="T61" s="106"/>
    </row>
    <row r="62" spans="1:20" x14ac:dyDescent="0.25">
      <c r="A62" s="105"/>
      <c r="B62" s="106"/>
      <c r="C62" s="106"/>
      <c r="D62" s="136"/>
      <c r="E62" s="137"/>
      <c r="F62" s="111"/>
      <c r="G62" s="115"/>
      <c r="H62" s="115"/>
      <c r="I62" s="115"/>
      <c r="J62" s="112"/>
      <c r="K62" s="111"/>
      <c r="L62" s="115"/>
      <c r="M62" s="115"/>
      <c r="N62" s="115"/>
      <c r="O62" s="112"/>
      <c r="P62" s="106"/>
      <c r="Q62" s="106"/>
      <c r="R62" s="106"/>
      <c r="S62" s="106"/>
      <c r="T62" s="106"/>
    </row>
    <row r="63" spans="1:20" x14ac:dyDescent="0.25">
      <c r="A63" s="6" t="s">
        <v>22</v>
      </c>
      <c r="B63" s="116">
        <v>0</v>
      </c>
      <c r="C63" s="117"/>
      <c r="D63" s="116">
        <v>0</v>
      </c>
      <c r="E63" s="117"/>
      <c r="F63" s="116"/>
      <c r="G63" s="118"/>
      <c r="H63" s="118"/>
      <c r="I63" s="118"/>
      <c r="J63" s="117"/>
      <c r="K63" s="116"/>
      <c r="L63" s="118"/>
      <c r="M63" s="118"/>
      <c r="N63" s="118"/>
      <c r="O63" s="117"/>
      <c r="P63" s="119"/>
      <c r="Q63" s="119"/>
      <c r="R63" s="119"/>
      <c r="S63" s="119"/>
      <c r="T63" s="119"/>
    </row>
    <row r="64" spans="1:20" x14ac:dyDescent="0.25">
      <c r="A64" s="4" t="s">
        <v>14</v>
      </c>
      <c r="B64" s="103">
        <f>0.6 + 3.42 + 3 + 3.74 + 3.82 + 3.78 + 3.82 + 3.3 + 4.24 + 7.73 + 7.66 + 6.76</f>
        <v>51.87</v>
      </c>
      <c r="C64" s="103"/>
      <c r="D64" s="103">
        <f>0.98 + 1.04 + 1.08 + 1.44 + 0.88 + 2.74 + 2.28 + 1.2 + 2.72 + 1.36 + 2.76 + 2.34 + 2.74 + 1.12 + 1.9 + 3.06 + 3.14 + 3.38 + 5.32 + 5.68 + 5.59</f>
        <v>52.75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4"/>
      <c r="Q64" s="104"/>
      <c r="R64" s="104"/>
      <c r="S64" s="104"/>
      <c r="T64" s="104"/>
    </row>
    <row r="65" spans="1:20" x14ac:dyDescent="0.25">
      <c r="A65" s="105">
        <v>45146</v>
      </c>
      <c r="B65" s="106" t="s">
        <v>20</v>
      </c>
      <c r="C65" s="106"/>
      <c r="D65" s="107" t="s">
        <v>21</v>
      </c>
      <c r="E65" s="108"/>
      <c r="F65" s="107" t="s">
        <v>106</v>
      </c>
      <c r="G65" s="113"/>
      <c r="H65" s="113"/>
      <c r="I65" s="113"/>
      <c r="J65" s="108"/>
      <c r="K65" s="107" t="s">
        <v>23</v>
      </c>
      <c r="L65" s="113"/>
      <c r="M65" s="113"/>
      <c r="N65" s="113"/>
      <c r="O65" s="108"/>
      <c r="P65" s="106"/>
      <c r="Q65" s="106"/>
      <c r="R65" s="106"/>
      <c r="S65" s="106"/>
      <c r="T65" s="106"/>
    </row>
    <row r="66" spans="1:20" x14ac:dyDescent="0.25">
      <c r="A66" s="105"/>
      <c r="B66" s="106"/>
      <c r="C66" s="106"/>
      <c r="D66" s="109"/>
      <c r="E66" s="110"/>
      <c r="F66" s="109"/>
      <c r="G66" s="114"/>
      <c r="H66" s="114"/>
      <c r="I66" s="114"/>
      <c r="J66" s="110"/>
      <c r="K66" s="109"/>
      <c r="L66" s="114"/>
      <c r="M66" s="114"/>
      <c r="N66" s="114"/>
      <c r="O66" s="110"/>
      <c r="P66" s="106"/>
      <c r="Q66" s="106"/>
      <c r="R66" s="106"/>
      <c r="S66" s="106"/>
      <c r="T66" s="106"/>
    </row>
    <row r="67" spans="1:20" x14ac:dyDescent="0.25">
      <c r="A67" s="105"/>
      <c r="B67" s="106"/>
      <c r="C67" s="106"/>
      <c r="D67" s="109"/>
      <c r="E67" s="110"/>
      <c r="F67" s="109"/>
      <c r="G67" s="114"/>
      <c r="H67" s="114"/>
      <c r="I67" s="114"/>
      <c r="J67" s="110"/>
      <c r="K67" s="109"/>
      <c r="L67" s="114"/>
      <c r="M67" s="114"/>
      <c r="N67" s="114"/>
      <c r="O67" s="110"/>
      <c r="P67" s="106"/>
      <c r="Q67" s="106"/>
      <c r="R67" s="106"/>
      <c r="S67" s="106"/>
      <c r="T67" s="106"/>
    </row>
    <row r="68" spans="1:20" x14ac:dyDescent="0.25">
      <c r="A68" s="105"/>
      <c r="B68" s="106"/>
      <c r="C68" s="106"/>
      <c r="D68" s="109"/>
      <c r="E68" s="110"/>
      <c r="F68" s="109"/>
      <c r="G68" s="114"/>
      <c r="H68" s="114"/>
      <c r="I68" s="114"/>
      <c r="J68" s="110"/>
      <c r="K68" s="109"/>
      <c r="L68" s="114"/>
      <c r="M68" s="114"/>
      <c r="N68" s="114"/>
      <c r="O68" s="110"/>
      <c r="P68" s="106"/>
      <c r="Q68" s="106"/>
      <c r="R68" s="106"/>
      <c r="S68" s="106"/>
      <c r="T68" s="106"/>
    </row>
    <row r="69" spans="1:20" x14ac:dyDescent="0.25">
      <c r="A69" s="105"/>
      <c r="B69" s="106"/>
      <c r="C69" s="106"/>
      <c r="D69" s="109"/>
      <c r="E69" s="110"/>
      <c r="F69" s="109"/>
      <c r="G69" s="114"/>
      <c r="H69" s="114"/>
      <c r="I69" s="114"/>
      <c r="J69" s="110"/>
      <c r="K69" s="109"/>
      <c r="L69" s="114"/>
      <c r="M69" s="114"/>
      <c r="N69" s="114"/>
      <c r="O69" s="110"/>
      <c r="P69" s="106"/>
      <c r="Q69" s="106"/>
      <c r="R69" s="106"/>
      <c r="S69" s="106"/>
      <c r="T69" s="106"/>
    </row>
    <row r="70" spans="1:20" x14ac:dyDescent="0.25">
      <c r="A70" s="105"/>
      <c r="B70" s="106"/>
      <c r="C70" s="106"/>
      <c r="D70" s="111"/>
      <c r="E70" s="112"/>
      <c r="F70" s="111"/>
      <c r="G70" s="115"/>
      <c r="H70" s="115"/>
      <c r="I70" s="115"/>
      <c r="J70" s="112"/>
      <c r="K70" s="111"/>
      <c r="L70" s="115"/>
      <c r="M70" s="115"/>
      <c r="N70" s="115"/>
      <c r="O70" s="112"/>
      <c r="P70" s="106"/>
      <c r="Q70" s="106"/>
      <c r="R70" s="106"/>
      <c r="S70" s="106"/>
      <c r="T70" s="106"/>
    </row>
    <row r="71" spans="1:20" x14ac:dyDescent="0.25">
      <c r="A71" s="6" t="s">
        <v>22</v>
      </c>
      <c r="B71" s="116">
        <v>0</v>
      </c>
      <c r="C71" s="117"/>
      <c r="D71" s="116">
        <v>0</v>
      </c>
      <c r="E71" s="117"/>
      <c r="F71" s="116">
        <v>0</v>
      </c>
      <c r="G71" s="118"/>
      <c r="H71" s="118"/>
      <c r="I71" s="118"/>
      <c r="J71" s="117"/>
      <c r="K71" s="116">
        <v>0</v>
      </c>
      <c r="L71" s="118"/>
      <c r="M71" s="118"/>
      <c r="N71" s="118"/>
      <c r="O71" s="117"/>
      <c r="P71" s="119"/>
      <c r="Q71" s="119"/>
      <c r="R71" s="119"/>
      <c r="S71" s="119"/>
      <c r="T71" s="119"/>
    </row>
    <row r="72" spans="1:20" x14ac:dyDescent="0.25">
      <c r="A72" s="4" t="s">
        <v>14</v>
      </c>
      <c r="B72" s="103">
        <f>2.22 + 2.08</f>
        <v>4.3000000000000007</v>
      </c>
      <c r="C72" s="103"/>
      <c r="D72" s="103">
        <f>2.36 + 5.6 + 0.8 + 1.64</f>
        <v>10.4</v>
      </c>
      <c r="E72" s="103"/>
      <c r="F72" s="103">
        <f>6.76 + 0.98 + 6.32 + 2.2 + 2.1 + 1.2 + 0.44 + 8.38 + 7.48 + 8 + 5.66 + 1.9 + 7.74 + 8.38 + 7.84 + 8.02 + 7.62 + 6.78 + 8.52 + 7.6 + 5.54 + 6.98 + 6.52 + 6.6 + 5.66 + 9.5 + 8.2 + 9.6 + 1.42 + 2.82 + 6.9 + 9.5 + 3.86</f>
        <v>197.01999999999998</v>
      </c>
      <c r="G72" s="103"/>
      <c r="H72" s="103"/>
      <c r="I72" s="103"/>
      <c r="J72" s="103"/>
      <c r="K72" s="103">
        <f>3.46 + 8.38 + 7.34 + 7.18 + 7.08 + 6.46 + 8 + 6.6 + 6.86 + 1.9 + 2.1 + 7.98 + 5.12 + 6.66 + 1.24 + 7.4 + 7.08 + 5.78 + 5.3 + 8.12 + 7.94 + 7.16 + 8.44 + 5.02 + 10.16 + 10.16 + 5.26 + 10.94 + 5.46 + 5.66 + 10.82</f>
        <v>207.06</v>
      </c>
      <c r="L72" s="103"/>
      <c r="M72" s="103"/>
      <c r="N72" s="103"/>
      <c r="O72" s="103"/>
      <c r="P72" s="104"/>
      <c r="Q72" s="104"/>
      <c r="R72" s="104"/>
      <c r="S72" s="104"/>
      <c r="T72" s="104"/>
    </row>
    <row r="73" spans="1:20" ht="15" customHeight="1" x14ac:dyDescent="0.25">
      <c r="A73" s="121">
        <v>45149</v>
      </c>
      <c r="B73" s="107"/>
      <c r="C73" s="108"/>
      <c r="D73" s="107"/>
      <c r="E73" s="108"/>
      <c r="F73" s="107" t="s">
        <v>57</v>
      </c>
      <c r="G73" s="113"/>
      <c r="H73" s="113"/>
      <c r="I73" s="113"/>
      <c r="J73" s="108"/>
      <c r="K73" s="107" t="s">
        <v>52</v>
      </c>
      <c r="L73" s="113"/>
      <c r="M73" s="113"/>
      <c r="N73" s="113"/>
      <c r="O73" s="108"/>
      <c r="P73" s="107"/>
      <c r="Q73" s="113"/>
      <c r="R73" s="113"/>
      <c r="S73" s="113"/>
      <c r="T73" s="108"/>
    </row>
    <row r="74" spans="1:20" x14ac:dyDescent="0.25">
      <c r="A74" s="122"/>
      <c r="B74" s="109"/>
      <c r="C74" s="110"/>
      <c r="D74" s="109"/>
      <c r="E74" s="110"/>
      <c r="F74" s="109"/>
      <c r="G74" s="114"/>
      <c r="H74" s="114"/>
      <c r="I74" s="114"/>
      <c r="J74" s="110"/>
      <c r="K74" s="109"/>
      <c r="L74" s="114"/>
      <c r="M74" s="114"/>
      <c r="N74" s="114"/>
      <c r="O74" s="110"/>
      <c r="P74" s="109"/>
      <c r="Q74" s="114"/>
      <c r="R74" s="114"/>
      <c r="S74" s="114"/>
      <c r="T74" s="110"/>
    </row>
    <row r="75" spans="1:20" x14ac:dyDescent="0.25">
      <c r="A75" s="122"/>
      <c r="B75" s="109"/>
      <c r="C75" s="110"/>
      <c r="D75" s="109"/>
      <c r="E75" s="110"/>
      <c r="F75" s="109"/>
      <c r="G75" s="114"/>
      <c r="H75" s="114"/>
      <c r="I75" s="114"/>
      <c r="J75" s="110"/>
      <c r="K75" s="109"/>
      <c r="L75" s="114"/>
      <c r="M75" s="114"/>
      <c r="N75" s="114"/>
      <c r="O75" s="110"/>
      <c r="P75" s="109"/>
      <c r="Q75" s="114"/>
      <c r="R75" s="114"/>
      <c r="S75" s="114"/>
      <c r="T75" s="110"/>
    </row>
    <row r="76" spans="1:20" x14ac:dyDescent="0.25">
      <c r="A76" s="122"/>
      <c r="B76" s="109"/>
      <c r="C76" s="110"/>
      <c r="D76" s="109"/>
      <c r="E76" s="110"/>
      <c r="F76" s="109"/>
      <c r="G76" s="114"/>
      <c r="H76" s="114"/>
      <c r="I76" s="114"/>
      <c r="J76" s="110"/>
      <c r="K76" s="109"/>
      <c r="L76" s="114"/>
      <c r="M76" s="114"/>
      <c r="N76" s="114"/>
      <c r="O76" s="110"/>
      <c r="P76" s="109"/>
      <c r="Q76" s="114"/>
      <c r="R76" s="114"/>
      <c r="S76" s="114"/>
      <c r="T76" s="110"/>
    </row>
    <row r="77" spans="1:20" x14ac:dyDescent="0.25">
      <c r="A77" s="122"/>
      <c r="B77" s="109"/>
      <c r="C77" s="110"/>
      <c r="D77" s="109"/>
      <c r="E77" s="110"/>
      <c r="F77" s="109"/>
      <c r="G77" s="114"/>
      <c r="H77" s="114"/>
      <c r="I77" s="114"/>
      <c r="J77" s="110"/>
      <c r="K77" s="109"/>
      <c r="L77" s="114"/>
      <c r="M77" s="114"/>
      <c r="N77" s="114"/>
      <c r="O77" s="110"/>
      <c r="P77" s="109"/>
      <c r="Q77" s="114"/>
      <c r="R77" s="114"/>
      <c r="S77" s="114"/>
      <c r="T77" s="110"/>
    </row>
    <row r="78" spans="1:20" x14ac:dyDescent="0.25">
      <c r="A78" s="122"/>
      <c r="B78" s="109"/>
      <c r="C78" s="110"/>
      <c r="D78" s="109"/>
      <c r="E78" s="110"/>
      <c r="F78" s="109"/>
      <c r="G78" s="114"/>
      <c r="H78" s="114"/>
      <c r="I78" s="114"/>
      <c r="J78" s="110"/>
      <c r="K78" s="109"/>
      <c r="L78" s="114"/>
      <c r="M78" s="114"/>
      <c r="N78" s="114"/>
      <c r="O78" s="110"/>
      <c r="P78" s="109"/>
      <c r="Q78" s="114"/>
      <c r="R78" s="114"/>
      <c r="S78" s="114"/>
      <c r="T78" s="110"/>
    </row>
    <row r="79" spans="1:20" x14ac:dyDescent="0.25">
      <c r="A79" s="123"/>
      <c r="B79" s="111"/>
      <c r="C79" s="112"/>
      <c r="D79" s="111"/>
      <c r="E79" s="112"/>
      <c r="F79" s="111"/>
      <c r="G79" s="115"/>
      <c r="H79" s="115"/>
      <c r="I79" s="115"/>
      <c r="J79" s="112"/>
      <c r="K79" s="111"/>
      <c r="L79" s="115"/>
      <c r="M79" s="115"/>
      <c r="N79" s="115"/>
      <c r="O79" s="112"/>
      <c r="P79" s="111"/>
      <c r="Q79" s="115"/>
      <c r="R79" s="115"/>
      <c r="S79" s="115"/>
      <c r="T79" s="112"/>
    </row>
    <row r="80" spans="1:20" x14ac:dyDescent="0.25">
      <c r="A80" s="6" t="s">
        <v>22</v>
      </c>
      <c r="B80" s="116"/>
      <c r="C80" s="117"/>
      <c r="D80" s="116"/>
      <c r="E80" s="117"/>
      <c r="F80" s="116">
        <v>0</v>
      </c>
      <c r="G80" s="118"/>
      <c r="H80" s="118"/>
      <c r="I80" s="118"/>
      <c r="J80" s="117"/>
      <c r="K80" s="116">
        <v>0</v>
      </c>
      <c r="L80" s="118"/>
      <c r="M80" s="118"/>
      <c r="N80" s="118"/>
      <c r="O80" s="117"/>
      <c r="P80" s="119"/>
      <c r="Q80" s="119"/>
      <c r="R80" s="119"/>
      <c r="S80" s="119"/>
      <c r="T80" s="119"/>
    </row>
    <row r="81" spans="1:20" x14ac:dyDescent="0.25">
      <c r="A81" s="9" t="s">
        <v>14</v>
      </c>
      <c r="B81" s="103"/>
      <c r="C81" s="103"/>
      <c r="D81" s="103"/>
      <c r="E81" s="103"/>
      <c r="F81" s="103">
        <f>6.76 + 7.2 + 7.62 + 7.7 + 7.88 + 8.04 + 7.82 + 8 + 6.98 + 7.98 + 7.88 + 8.22 + 6.96 + 7.3 + 7.22 + 5.92 + 7.74 + 7.4 + 7.48 + 5.96 + 7.4 + 7 + 8.58 + 6.9 + 7.32 + 3.16 + 3.1 + 2.2 + 3.3 + 1.72 + 3.76 + 5.24 + 2.42 + 6.72 + 9.82 + 7.58 + 7.96 + 7.62 + 8.56 + 7.64 + 9.02 + 7.04 + 9.34 + 8.72</f>
        <v>300.17999999999995</v>
      </c>
      <c r="G81" s="103"/>
      <c r="H81" s="103"/>
      <c r="I81" s="103"/>
      <c r="J81" s="103"/>
      <c r="K81" s="103">
        <f>4.22 + 4.24 + 5.5 + 6.42 + 6.08 + 7.3 + 8.54 + 7.74 + 8.38 + 7.36 + 1.4 + 8.26 + 1.5 + 7.24 + 8.02 + 7.68 + 1.4 + 1.94 + 6.5 + 6.76 + 4.04 + 7.7 + 7.18 + 6.8 + 3.16 + 7.86 + 4.66 + 3.7 + 4.28 + 6.14 + 8.78</f>
        <v>180.78</v>
      </c>
      <c r="L81" s="103"/>
      <c r="M81" s="103"/>
      <c r="N81" s="103"/>
      <c r="O81" s="103"/>
      <c r="P81" s="104"/>
      <c r="Q81" s="104"/>
      <c r="R81" s="104"/>
      <c r="S81" s="104"/>
      <c r="T81" s="104"/>
    </row>
    <row r="82" spans="1:20" ht="15" customHeight="1" x14ac:dyDescent="0.25">
      <c r="A82" s="121">
        <v>45152</v>
      </c>
      <c r="B82" s="107"/>
      <c r="C82" s="108"/>
      <c r="D82" s="107"/>
      <c r="E82" s="108"/>
      <c r="F82" s="107" t="s">
        <v>58</v>
      </c>
      <c r="G82" s="113"/>
      <c r="H82" s="113"/>
      <c r="I82" s="113"/>
      <c r="J82" s="108"/>
      <c r="K82" s="107" t="s">
        <v>51</v>
      </c>
      <c r="L82" s="113"/>
      <c r="M82" s="113"/>
      <c r="N82" s="113"/>
      <c r="O82" s="108"/>
      <c r="P82" s="107"/>
      <c r="Q82" s="113"/>
      <c r="R82" s="113"/>
      <c r="S82" s="113"/>
      <c r="T82" s="108"/>
    </row>
    <row r="83" spans="1:20" x14ac:dyDescent="0.25">
      <c r="A83" s="122"/>
      <c r="B83" s="109"/>
      <c r="C83" s="110"/>
      <c r="D83" s="109"/>
      <c r="E83" s="110"/>
      <c r="F83" s="109"/>
      <c r="G83" s="114"/>
      <c r="H83" s="114"/>
      <c r="I83" s="114"/>
      <c r="J83" s="110"/>
      <c r="K83" s="109"/>
      <c r="L83" s="114"/>
      <c r="M83" s="114"/>
      <c r="N83" s="114"/>
      <c r="O83" s="110"/>
      <c r="P83" s="109"/>
      <c r="Q83" s="114"/>
      <c r="R83" s="114"/>
      <c r="S83" s="114"/>
      <c r="T83" s="110"/>
    </row>
    <row r="84" spans="1:20" x14ac:dyDescent="0.25">
      <c r="A84" s="122"/>
      <c r="B84" s="109"/>
      <c r="C84" s="110"/>
      <c r="D84" s="109"/>
      <c r="E84" s="110"/>
      <c r="F84" s="109"/>
      <c r="G84" s="114"/>
      <c r="H84" s="114"/>
      <c r="I84" s="114"/>
      <c r="J84" s="110"/>
      <c r="K84" s="109"/>
      <c r="L84" s="114"/>
      <c r="M84" s="114"/>
      <c r="N84" s="114"/>
      <c r="O84" s="110"/>
      <c r="P84" s="109"/>
      <c r="Q84" s="114"/>
      <c r="R84" s="114"/>
      <c r="S84" s="114"/>
      <c r="T84" s="110"/>
    </row>
    <row r="85" spans="1:20" x14ac:dyDescent="0.25">
      <c r="A85" s="122"/>
      <c r="B85" s="109"/>
      <c r="C85" s="110"/>
      <c r="D85" s="109"/>
      <c r="E85" s="110"/>
      <c r="F85" s="109"/>
      <c r="G85" s="114"/>
      <c r="H85" s="114"/>
      <c r="I85" s="114"/>
      <c r="J85" s="110"/>
      <c r="K85" s="109"/>
      <c r="L85" s="114"/>
      <c r="M85" s="114"/>
      <c r="N85" s="114"/>
      <c r="O85" s="110"/>
      <c r="P85" s="109"/>
      <c r="Q85" s="114"/>
      <c r="R85" s="114"/>
      <c r="S85" s="114"/>
      <c r="T85" s="110"/>
    </row>
    <row r="86" spans="1:20" x14ac:dyDescent="0.25">
      <c r="A86" s="122"/>
      <c r="B86" s="109"/>
      <c r="C86" s="110"/>
      <c r="D86" s="109"/>
      <c r="E86" s="110"/>
      <c r="F86" s="109"/>
      <c r="G86" s="114"/>
      <c r="H86" s="114"/>
      <c r="I86" s="114"/>
      <c r="J86" s="110"/>
      <c r="K86" s="109"/>
      <c r="L86" s="114"/>
      <c r="M86" s="114"/>
      <c r="N86" s="114"/>
      <c r="O86" s="110"/>
      <c r="P86" s="109"/>
      <c r="Q86" s="114"/>
      <c r="R86" s="114"/>
      <c r="S86" s="114"/>
      <c r="T86" s="110"/>
    </row>
    <row r="87" spans="1:20" x14ac:dyDescent="0.25">
      <c r="A87" s="122"/>
      <c r="B87" s="109"/>
      <c r="C87" s="110"/>
      <c r="D87" s="109"/>
      <c r="E87" s="110"/>
      <c r="F87" s="109"/>
      <c r="G87" s="114"/>
      <c r="H87" s="114"/>
      <c r="I87" s="114"/>
      <c r="J87" s="110"/>
      <c r="K87" s="109"/>
      <c r="L87" s="114"/>
      <c r="M87" s="114"/>
      <c r="N87" s="114"/>
      <c r="O87" s="110"/>
      <c r="P87" s="109"/>
      <c r="Q87" s="114"/>
      <c r="R87" s="114"/>
      <c r="S87" s="114"/>
      <c r="T87" s="110"/>
    </row>
    <row r="88" spans="1:20" x14ac:dyDescent="0.25">
      <c r="A88" s="122"/>
      <c r="B88" s="109"/>
      <c r="C88" s="110"/>
      <c r="D88" s="109"/>
      <c r="E88" s="110"/>
      <c r="F88" s="109"/>
      <c r="G88" s="114"/>
      <c r="H88" s="114"/>
      <c r="I88" s="114"/>
      <c r="J88" s="110"/>
      <c r="K88" s="109"/>
      <c r="L88" s="114"/>
      <c r="M88" s="114"/>
      <c r="N88" s="114"/>
      <c r="O88" s="110"/>
      <c r="P88" s="109"/>
      <c r="Q88" s="114"/>
      <c r="R88" s="114"/>
      <c r="S88" s="114"/>
      <c r="T88" s="110"/>
    </row>
    <row r="89" spans="1:20" x14ac:dyDescent="0.25">
      <c r="A89" s="123"/>
      <c r="B89" s="111"/>
      <c r="C89" s="112"/>
      <c r="D89" s="111"/>
      <c r="E89" s="112"/>
      <c r="F89" s="111"/>
      <c r="G89" s="115"/>
      <c r="H89" s="115"/>
      <c r="I89" s="115"/>
      <c r="J89" s="112"/>
      <c r="K89" s="111"/>
      <c r="L89" s="115"/>
      <c r="M89" s="115"/>
      <c r="N89" s="115"/>
      <c r="O89" s="112"/>
      <c r="P89" s="111"/>
      <c r="Q89" s="115"/>
      <c r="R89" s="115"/>
      <c r="S89" s="115"/>
      <c r="T89" s="112"/>
    </row>
    <row r="90" spans="1:20" x14ac:dyDescent="0.25">
      <c r="A90" s="6" t="s">
        <v>22</v>
      </c>
      <c r="B90" s="116"/>
      <c r="C90" s="117"/>
      <c r="D90" s="116"/>
      <c r="E90" s="117"/>
      <c r="F90" s="127">
        <v>0</v>
      </c>
      <c r="G90" s="128"/>
      <c r="H90" s="128"/>
      <c r="I90" s="128"/>
      <c r="J90" s="129"/>
      <c r="K90" s="116">
        <v>0</v>
      </c>
      <c r="L90" s="118"/>
      <c r="M90" s="118"/>
      <c r="N90" s="118"/>
      <c r="O90" s="117"/>
      <c r="P90" s="119"/>
      <c r="Q90" s="119"/>
      <c r="R90" s="119"/>
      <c r="S90" s="119"/>
      <c r="T90" s="119"/>
    </row>
    <row r="91" spans="1:20" x14ac:dyDescent="0.25">
      <c r="A91" s="10" t="s">
        <v>14</v>
      </c>
      <c r="B91" s="103"/>
      <c r="C91" s="103"/>
      <c r="D91" s="103"/>
      <c r="E91" s="103"/>
      <c r="F91" s="120">
        <f>3.54 + 3.04 + 1.8 + 2.76 + 6.84 + 7.42 + 7.38 + 7.5 + 7.54 + 6.8 + 7.06 + 7.84 + 7.64 + 7.62 + 7.46 + 8.58 + 7.7 + 8.28 + 7.4 + 5.16 + 9.66 + 8.48 + 8.32 + 9.18 + 7.6 + 7.68 + 7.36 + 7.98 + 7.66 + 8.02 + 1.64 + 5.58 + 1.52 + 3.04 + 7.5 + 7.88 + 7.8 + 4.3 + 7.8 + 5.78 + 5.28 + 8.3 + 7.5 + 9.84 + 6.86 + 5.08 + 6.72 + 8.2</f>
        <v>321.91999999999996</v>
      </c>
      <c r="G91" s="120"/>
      <c r="H91" s="120"/>
      <c r="I91" s="120"/>
      <c r="J91" s="120"/>
      <c r="K91" s="103">
        <f>1.82 + 1.76 + 6.6 + 4.5 + 7.22 + 5.92 + 6.8 + 7.88 + 7.88 + 7.76 + 6.9 + 7.58 + 7.76 + 7.64 + 7.64 + 4.58 + 1.7 + 5.72 + 6.04 + 5.44 + 5.76 + 5.64 + 5.86 + 6.66 + 2.74 + 4.56 + 5.84 + 5.42 + 5.56 + 5.38 + 5.4 + 5.76 + 7.92</f>
        <v>191.64000000000001</v>
      </c>
      <c r="L91" s="103"/>
      <c r="M91" s="103"/>
      <c r="N91" s="103"/>
      <c r="O91" s="103"/>
      <c r="P91" s="104"/>
      <c r="Q91" s="104"/>
      <c r="R91" s="104"/>
      <c r="S91" s="104"/>
      <c r="T91" s="104"/>
    </row>
    <row r="92" spans="1:20" ht="15" customHeight="1" x14ac:dyDescent="0.25">
      <c r="A92" s="121">
        <v>45153</v>
      </c>
      <c r="B92" s="107" t="s">
        <v>63</v>
      </c>
      <c r="C92" s="108"/>
      <c r="D92" s="107" t="s">
        <v>27</v>
      </c>
      <c r="E92" s="108"/>
      <c r="F92" s="107"/>
      <c r="G92" s="113"/>
      <c r="H92" s="113"/>
      <c r="I92" s="113"/>
      <c r="J92" s="108"/>
      <c r="K92" s="107"/>
      <c r="L92" s="113"/>
      <c r="M92" s="113"/>
      <c r="N92" s="113"/>
      <c r="O92" s="108"/>
      <c r="P92" s="107"/>
      <c r="Q92" s="113"/>
      <c r="R92" s="113"/>
      <c r="S92" s="113"/>
      <c r="T92" s="108"/>
    </row>
    <row r="93" spans="1:20" x14ac:dyDescent="0.25">
      <c r="A93" s="122"/>
      <c r="B93" s="109"/>
      <c r="C93" s="110"/>
      <c r="D93" s="109"/>
      <c r="E93" s="110"/>
      <c r="F93" s="109"/>
      <c r="G93" s="114"/>
      <c r="H93" s="114"/>
      <c r="I93" s="114"/>
      <c r="J93" s="110"/>
      <c r="K93" s="109"/>
      <c r="L93" s="114"/>
      <c r="M93" s="114"/>
      <c r="N93" s="114"/>
      <c r="O93" s="110"/>
      <c r="P93" s="109"/>
      <c r="Q93" s="114"/>
      <c r="R93" s="114"/>
      <c r="S93" s="114"/>
      <c r="T93" s="110"/>
    </row>
    <row r="94" spans="1:20" x14ac:dyDescent="0.25">
      <c r="A94" s="122"/>
      <c r="B94" s="109"/>
      <c r="C94" s="110"/>
      <c r="D94" s="109"/>
      <c r="E94" s="110"/>
      <c r="F94" s="109"/>
      <c r="G94" s="114"/>
      <c r="H94" s="114"/>
      <c r="I94" s="114"/>
      <c r="J94" s="110"/>
      <c r="K94" s="109"/>
      <c r="L94" s="114"/>
      <c r="M94" s="114"/>
      <c r="N94" s="114"/>
      <c r="O94" s="110"/>
      <c r="P94" s="109"/>
      <c r="Q94" s="114"/>
      <c r="R94" s="114"/>
      <c r="S94" s="114"/>
      <c r="T94" s="110"/>
    </row>
    <row r="95" spans="1:20" x14ac:dyDescent="0.25">
      <c r="A95" s="122"/>
      <c r="B95" s="109"/>
      <c r="C95" s="110"/>
      <c r="D95" s="109"/>
      <c r="E95" s="110"/>
      <c r="F95" s="109"/>
      <c r="G95" s="114"/>
      <c r="H95" s="114"/>
      <c r="I95" s="114"/>
      <c r="J95" s="110"/>
      <c r="K95" s="109"/>
      <c r="L95" s="114"/>
      <c r="M95" s="114"/>
      <c r="N95" s="114"/>
      <c r="O95" s="110"/>
      <c r="P95" s="109"/>
      <c r="Q95" s="114"/>
      <c r="R95" s="114"/>
      <c r="S95" s="114"/>
      <c r="T95" s="110"/>
    </row>
    <row r="96" spans="1:20" x14ac:dyDescent="0.25">
      <c r="A96" s="122"/>
      <c r="B96" s="109"/>
      <c r="C96" s="110"/>
      <c r="D96" s="109"/>
      <c r="E96" s="110"/>
      <c r="F96" s="109"/>
      <c r="G96" s="114"/>
      <c r="H96" s="114"/>
      <c r="I96" s="114"/>
      <c r="J96" s="110"/>
      <c r="K96" s="109"/>
      <c r="L96" s="114"/>
      <c r="M96" s="114"/>
      <c r="N96" s="114"/>
      <c r="O96" s="110"/>
      <c r="P96" s="109"/>
      <c r="Q96" s="114"/>
      <c r="R96" s="114"/>
      <c r="S96" s="114"/>
      <c r="T96" s="110"/>
    </row>
    <row r="97" spans="1:20" x14ac:dyDescent="0.25">
      <c r="A97" s="122"/>
      <c r="B97" s="109"/>
      <c r="C97" s="110"/>
      <c r="D97" s="109"/>
      <c r="E97" s="110"/>
      <c r="F97" s="109"/>
      <c r="G97" s="114"/>
      <c r="H97" s="114"/>
      <c r="I97" s="114"/>
      <c r="J97" s="110"/>
      <c r="K97" s="109"/>
      <c r="L97" s="114"/>
      <c r="M97" s="114"/>
      <c r="N97" s="114"/>
      <c r="O97" s="110"/>
      <c r="P97" s="109"/>
      <c r="Q97" s="114"/>
      <c r="R97" s="114"/>
      <c r="S97" s="114"/>
      <c r="T97" s="110"/>
    </row>
    <row r="98" spans="1:20" x14ac:dyDescent="0.25">
      <c r="A98" s="122"/>
      <c r="B98" s="109"/>
      <c r="C98" s="110"/>
      <c r="D98" s="109"/>
      <c r="E98" s="110"/>
      <c r="F98" s="109"/>
      <c r="G98" s="114"/>
      <c r="H98" s="114"/>
      <c r="I98" s="114"/>
      <c r="J98" s="110"/>
      <c r="K98" s="109"/>
      <c r="L98" s="114"/>
      <c r="M98" s="114"/>
      <c r="N98" s="114"/>
      <c r="O98" s="110"/>
      <c r="P98" s="109"/>
      <c r="Q98" s="114"/>
      <c r="R98" s="114"/>
      <c r="S98" s="114"/>
      <c r="T98" s="110"/>
    </row>
    <row r="99" spans="1:20" x14ac:dyDescent="0.25">
      <c r="A99" s="123"/>
      <c r="B99" s="111"/>
      <c r="C99" s="112"/>
      <c r="D99" s="111"/>
      <c r="E99" s="112"/>
      <c r="F99" s="111"/>
      <c r="G99" s="115"/>
      <c r="H99" s="115"/>
      <c r="I99" s="115"/>
      <c r="J99" s="112"/>
      <c r="K99" s="111"/>
      <c r="L99" s="115"/>
      <c r="M99" s="115"/>
      <c r="N99" s="115"/>
      <c r="O99" s="112"/>
      <c r="P99" s="111"/>
      <c r="Q99" s="115"/>
      <c r="R99" s="115"/>
      <c r="S99" s="115"/>
      <c r="T99" s="112"/>
    </row>
    <row r="100" spans="1:20" x14ac:dyDescent="0.25">
      <c r="A100" s="6" t="s">
        <v>22</v>
      </c>
      <c r="B100" s="116">
        <v>0</v>
      </c>
      <c r="C100" s="117"/>
      <c r="D100" s="116">
        <v>0</v>
      </c>
      <c r="E100" s="117"/>
      <c r="F100" s="124"/>
      <c r="G100" s="125"/>
      <c r="H100" s="125"/>
      <c r="I100" s="125"/>
      <c r="J100" s="126"/>
      <c r="K100" s="116"/>
      <c r="L100" s="118"/>
      <c r="M100" s="118"/>
      <c r="N100" s="118"/>
      <c r="O100" s="117"/>
      <c r="P100" s="119"/>
      <c r="Q100" s="119"/>
      <c r="R100" s="119"/>
      <c r="S100" s="119"/>
      <c r="T100" s="119"/>
    </row>
    <row r="101" spans="1:20" x14ac:dyDescent="0.25">
      <c r="A101" s="12" t="s">
        <v>14</v>
      </c>
      <c r="B101" s="103">
        <f>3.42 + 3.74 + 3.58 + 2.12 + 3.4 + 3.52 + 3.22 + 3.72 + 2.62 + 3.34 + 3.32 + 2.78 + 2.56 + 2.96 + 2.64 + 2.92 + 3.02 + 3.16 + 3.36 + 3.44 + 3.4 + 3.06 + 3.3 + 3.68 + 3.34 + 3.24 + 3.24 + 3.62 + 3.64 + 3.86 + 3.62 + 3.6 + 3.34 + 3.8 + 3.26 + 3.64 + 3.34 + 3.2 + 3.54 + 3.44</f>
        <v>132.00000000000003</v>
      </c>
      <c r="C101" s="103"/>
      <c r="D101" s="103">
        <f>3.24 + 2.72 + 2.82 + 2.98 + 2.82 + 3.28 + 3.36 + 2.26 + 2.16 + 2.08 + 3.44 + 3.32 + 2.9 + 3.84 + 3.8 + 3 + 3.06 + 2.6 + 3.7 + 3.02 + 3.32 + 3.18 + 3.2 + 3.7 + 3.04 + 2.98 + 2.88 + 3.78 + 3.26 + 3.66 + 3.74 + 2.14 + 3.06 + 3.5 + 3.48 + 3.7</f>
        <v>113.02000000000002</v>
      </c>
      <c r="E101" s="103"/>
      <c r="F101" s="120"/>
      <c r="G101" s="120"/>
      <c r="H101" s="120"/>
      <c r="I101" s="120"/>
      <c r="J101" s="120"/>
      <c r="K101" s="103"/>
      <c r="L101" s="103"/>
      <c r="M101" s="103"/>
      <c r="N101" s="103"/>
      <c r="O101" s="103"/>
      <c r="P101" s="104"/>
      <c r="Q101" s="104"/>
      <c r="R101" s="104"/>
      <c r="S101" s="104"/>
      <c r="T101" s="104"/>
    </row>
    <row r="102" spans="1:20" ht="15" customHeight="1" x14ac:dyDescent="0.25">
      <c r="A102" s="121">
        <v>45154</v>
      </c>
      <c r="B102" s="107" t="s">
        <v>30</v>
      </c>
      <c r="C102" s="108"/>
      <c r="D102" s="107" t="s">
        <v>31</v>
      </c>
      <c r="E102" s="108"/>
      <c r="F102" s="107"/>
      <c r="G102" s="113"/>
      <c r="H102" s="113"/>
      <c r="I102" s="113"/>
      <c r="J102" s="108"/>
      <c r="K102" s="107"/>
      <c r="L102" s="113"/>
      <c r="M102" s="113"/>
      <c r="N102" s="113"/>
      <c r="O102" s="108"/>
      <c r="P102" s="107"/>
      <c r="Q102" s="113"/>
      <c r="R102" s="113"/>
      <c r="S102" s="113"/>
      <c r="T102" s="108"/>
    </row>
    <row r="103" spans="1:20" x14ac:dyDescent="0.25">
      <c r="A103" s="122"/>
      <c r="B103" s="109"/>
      <c r="C103" s="110"/>
      <c r="D103" s="109"/>
      <c r="E103" s="110"/>
      <c r="F103" s="109"/>
      <c r="G103" s="114"/>
      <c r="H103" s="114"/>
      <c r="I103" s="114"/>
      <c r="J103" s="110"/>
      <c r="K103" s="109"/>
      <c r="L103" s="114"/>
      <c r="M103" s="114"/>
      <c r="N103" s="114"/>
      <c r="O103" s="110"/>
      <c r="P103" s="109"/>
      <c r="Q103" s="114"/>
      <c r="R103" s="114"/>
      <c r="S103" s="114"/>
      <c r="T103" s="110"/>
    </row>
    <row r="104" spans="1:20" x14ac:dyDescent="0.25">
      <c r="A104" s="122"/>
      <c r="B104" s="109"/>
      <c r="C104" s="110"/>
      <c r="D104" s="109"/>
      <c r="E104" s="110"/>
      <c r="F104" s="109"/>
      <c r="G104" s="114"/>
      <c r="H104" s="114"/>
      <c r="I104" s="114"/>
      <c r="J104" s="110"/>
      <c r="K104" s="109"/>
      <c r="L104" s="114"/>
      <c r="M104" s="114"/>
      <c r="N104" s="114"/>
      <c r="O104" s="110"/>
      <c r="P104" s="109"/>
      <c r="Q104" s="114"/>
      <c r="R104" s="114"/>
      <c r="S104" s="114"/>
      <c r="T104" s="110"/>
    </row>
    <row r="105" spans="1:20" x14ac:dyDescent="0.25">
      <c r="A105" s="122"/>
      <c r="B105" s="109"/>
      <c r="C105" s="110"/>
      <c r="D105" s="109"/>
      <c r="E105" s="110"/>
      <c r="F105" s="109"/>
      <c r="G105" s="114"/>
      <c r="H105" s="114"/>
      <c r="I105" s="114"/>
      <c r="J105" s="110"/>
      <c r="K105" s="109"/>
      <c r="L105" s="114"/>
      <c r="M105" s="114"/>
      <c r="N105" s="114"/>
      <c r="O105" s="110"/>
      <c r="P105" s="109"/>
      <c r="Q105" s="114"/>
      <c r="R105" s="114"/>
      <c r="S105" s="114"/>
      <c r="T105" s="110"/>
    </row>
    <row r="106" spans="1:20" x14ac:dyDescent="0.25">
      <c r="A106" s="122"/>
      <c r="B106" s="109"/>
      <c r="C106" s="110"/>
      <c r="D106" s="109"/>
      <c r="E106" s="110"/>
      <c r="F106" s="109"/>
      <c r="G106" s="114"/>
      <c r="H106" s="114"/>
      <c r="I106" s="114"/>
      <c r="J106" s="110"/>
      <c r="K106" s="109"/>
      <c r="L106" s="114"/>
      <c r="M106" s="114"/>
      <c r="N106" s="114"/>
      <c r="O106" s="110"/>
      <c r="P106" s="109"/>
      <c r="Q106" s="114"/>
      <c r="R106" s="114"/>
      <c r="S106" s="114"/>
      <c r="T106" s="110"/>
    </row>
    <row r="107" spans="1:20" x14ac:dyDescent="0.25">
      <c r="A107" s="122"/>
      <c r="B107" s="109"/>
      <c r="C107" s="110"/>
      <c r="D107" s="109"/>
      <c r="E107" s="110"/>
      <c r="F107" s="109"/>
      <c r="G107" s="114"/>
      <c r="H107" s="114"/>
      <c r="I107" s="114"/>
      <c r="J107" s="110"/>
      <c r="K107" s="109"/>
      <c r="L107" s="114"/>
      <c r="M107" s="114"/>
      <c r="N107" s="114"/>
      <c r="O107" s="110"/>
      <c r="P107" s="109"/>
      <c r="Q107" s="114"/>
      <c r="R107" s="114"/>
      <c r="S107" s="114"/>
      <c r="T107" s="110"/>
    </row>
    <row r="108" spans="1:20" x14ac:dyDescent="0.25">
      <c r="A108" s="122"/>
      <c r="B108" s="109"/>
      <c r="C108" s="110"/>
      <c r="D108" s="109"/>
      <c r="E108" s="110"/>
      <c r="F108" s="109"/>
      <c r="G108" s="114"/>
      <c r="H108" s="114"/>
      <c r="I108" s="114"/>
      <c r="J108" s="110"/>
      <c r="K108" s="109"/>
      <c r="L108" s="114"/>
      <c r="M108" s="114"/>
      <c r="N108" s="114"/>
      <c r="O108" s="110"/>
      <c r="P108" s="109"/>
      <c r="Q108" s="114"/>
      <c r="R108" s="114"/>
      <c r="S108" s="114"/>
      <c r="T108" s="110"/>
    </row>
    <row r="109" spans="1:20" x14ac:dyDescent="0.25">
      <c r="A109" s="123"/>
      <c r="B109" s="111"/>
      <c r="C109" s="112"/>
      <c r="D109" s="111"/>
      <c r="E109" s="112"/>
      <c r="F109" s="111"/>
      <c r="G109" s="115"/>
      <c r="H109" s="115"/>
      <c r="I109" s="115"/>
      <c r="J109" s="112"/>
      <c r="K109" s="111"/>
      <c r="L109" s="115"/>
      <c r="M109" s="115"/>
      <c r="N109" s="115"/>
      <c r="O109" s="112"/>
      <c r="P109" s="111"/>
      <c r="Q109" s="115"/>
      <c r="R109" s="115"/>
      <c r="S109" s="115"/>
      <c r="T109" s="112"/>
    </row>
    <row r="110" spans="1:20" x14ac:dyDescent="0.25">
      <c r="A110" s="6" t="s">
        <v>22</v>
      </c>
      <c r="B110" s="116">
        <v>0</v>
      </c>
      <c r="C110" s="117"/>
      <c r="D110" s="116">
        <v>0</v>
      </c>
      <c r="E110" s="117"/>
      <c r="F110" s="124"/>
      <c r="G110" s="125"/>
      <c r="H110" s="125"/>
      <c r="I110" s="125"/>
      <c r="J110" s="126"/>
      <c r="K110" s="116"/>
      <c r="L110" s="118"/>
      <c r="M110" s="118"/>
      <c r="N110" s="118"/>
      <c r="O110" s="117"/>
      <c r="P110" s="119"/>
      <c r="Q110" s="119"/>
      <c r="R110" s="119"/>
      <c r="S110" s="119"/>
      <c r="T110" s="119"/>
    </row>
    <row r="111" spans="1:20" x14ac:dyDescent="0.25">
      <c r="A111" s="13" t="s">
        <v>14</v>
      </c>
      <c r="B111" s="103">
        <f>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</f>
        <v>141.51999999999998</v>
      </c>
      <c r="C111" s="103"/>
      <c r="D111" s="103">
        <f>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</f>
        <v>124.68</v>
      </c>
      <c r="E111" s="103"/>
      <c r="F111" s="120"/>
      <c r="G111" s="120"/>
      <c r="H111" s="120"/>
      <c r="I111" s="120"/>
      <c r="J111" s="120"/>
      <c r="K111" s="103"/>
      <c r="L111" s="103"/>
      <c r="M111" s="103"/>
      <c r="N111" s="103"/>
      <c r="O111" s="103"/>
      <c r="P111" s="104"/>
      <c r="Q111" s="104"/>
      <c r="R111" s="104"/>
      <c r="S111" s="104"/>
      <c r="T111" s="104"/>
    </row>
    <row r="112" spans="1:20" ht="15" customHeight="1" x14ac:dyDescent="0.25">
      <c r="A112" s="121">
        <v>45159</v>
      </c>
      <c r="B112" s="107" t="s">
        <v>33</v>
      </c>
      <c r="C112" s="108"/>
      <c r="D112" s="107" t="s">
        <v>32</v>
      </c>
      <c r="E112" s="108"/>
      <c r="F112" s="107"/>
      <c r="G112" s="113"/>
      <c r="H112" s="113"/>
      <c r="I112" s="113"/>
      <c r="J112" s="108"/>
      <c r="K112" s="107"/>
      <c r="L112" s="113"/>
      <c r="M112" s="113"/>
      <c r="N112" s="113"/>
      <c r="O112" s="108"/>
      <c r="P112" s="107"/>
      <c r="Q112" s="113"/>
      <c r="R112" s="113"/>
      <c r="S112" s="113"/>
      <c r="T112" s="108"/>
    </row>
    <row r="113" spans="1:20" x14ac:dyDescent="0.25">
      <c r="A113" s="122"/>
      <c r="B113" s="109"/>
      <c r="C113" s="110"/>
      <c r="D113" s="109"/>
      <c r="E113" s="110"/>
      <c r="F113" s="109"/>
      <c r="G113" s="114"/>
      <c r="H113" s="114"/>
      <c r="I113" s="114"/>
      <c r="J113" s="110"/>
      <c r="K113" s="109"/>
      <c r="L113" s="114"/>
      <c r="M113" s="114"/>
      <c r="N113" s="114"/>
      <c r="O113" s="110"/>
      <c r="P113" s="109"/>
      <c r="Q113" s="114"/>
      <c r="R113" s="114"/>
      <c r="S113" s="114"/>
      <c r="T113" s="110"/>
    </row>
    <row r="114" spans="1:20" x14ac:dyDescent="0.25">
      <c r="A114" s="122"/>
      <c r="B114" s="109"/>
      <c r="C114" s="110"/>
      <c r="D114" s="109"/>
      <c r="E114" s="110"/>
      <c r="F114" s="109"/>
      <c r="G114" s="114"/>
      <c r="H114" s="114"/>
      <c r="I114" s="114"/>
      <c r="J114" s="110"/>
      <c r="K114" s="109"/>
      <c r="L114" s="114"/>
      <c r="M114" s="114"/>
      <c r="N114" s="114"/>
      <c r="O114" s="110"/>
      <c r="P114" s="109"/>
      <c r="Q114" s="114"/>
      <c r="R114" s="114"/>
      <c r="S114" s="114"/>
      <c r="T114" s="110"/>
    </row>
    <row r="115" spans="1:20" x14ac:dyDescent="0.25">
      <c r="A115" s="122"/>
      <c r="B115" s="109"/>
      <c r="C115" s="110"/>
      <c r="D115" s="109"/>
      <c r="E115" s="110"/>
      <c r="F115" s="109"/>
      <c r="G115" s="114"/>
      <c r="H115" s="114"/>
      <c r="I115" s="114"/>
      <c r="J115" s="110"/>
      <c r="K115" s="109"/>
      <c r="L115" s="114"/>
      <c r="M115" s="114"/>
      <c r="N115" s="114"/>
      <c r="O115" s="110"/>
      <c r="P115" s="109"/>
      <c r="Q115" s="114"/>
      <c r="R115" s="114"/>
      <c r="S115" s="114"/>
      <c r="T115" s="110"/>
    </row>
    <row r="116" spans="1:20" x14ac:dyDescent="0.25">
      <c r="A116" s="122"/>
      <c r="B116" s="109"/>
      <c r="C116" s="110"/>
      <c r="D116" s="109"/>
      <c r="E116" s="110"/>
      <c r="F116" s="109"/>
      <c r="G116" s="114"/>
      <c r="H116" s="114"/>
      <c r="I116" s="114"/>
      <c r="J116" s="110"/>
      <c r="K116" s="109"/>
      <c r="L116" s="114"/>
      <c r="M116" s="114"/>
      <c r="N116" s="114"/>
      <c r="O116" s="110"/>
      <c r="P116" s="109"/>
      <c r="Q116" s="114"/>
      <c r="R116" s="114"/>
      <c r="S116" s="114"/>
      <c r="T116" s="110"/>
    </row>
    <row r="117" spans="1:20" x14ac:dyDescent="0.25">
      <c r="A117" s="122"/>
      <c r="B117" s="109"/>
      <c r="C117" s="110"/>
      <c r="D117" s="109"/>
      <c r="E117" s="110"/>
      <c r="F117" s="109"/>
      <c r="G117" s="114"/>
      <c r="H117" s="114"/>
      <c r="I117" s="114"/>
      <c r="J117" s="110"/>
      <c r="K117" s="109"/>
      <c r="L117" s="114"/>
      <c r="M117" s="114"/>
      <c r="N117" s="114"/>
      <c r="O117" s="110"/>
      <c r="P117" s="109"/>
      <c r="Q117" s="114"/>
      <c r="R117" s="114"/>
      <c r="S117" s="114"/>
      <c r="T117" s="110"/>
    </row>
    <row r="118" spans="1:20" x14ac:dyDescent="0.25">
      <c r="A118" s="122"/>
      <c r="B118" s="109"/>
      <c r="C118" s="110"/>
      <c r="D118" s="109"/>
      <c r="E118" s="110"/>
      <c r="F118" s="109"/>
      <c r="G118" s="114"/>
      <c r="H118" s="114"/>
      <c r="I118" s="114"/>
      <c r="J118" s="110"/>
      <c r="K118" s="109"/>
      <c r="L118" s="114"/>
      <c r="M118" s="114"/>
      <c r="N118" s="114"/>
      <c r="O118" s="110"/>
      <c r="P118" s="109"/>
      <c r="Q118" s="114"/>
      <c r="R118" s="114"/>
      <c r="S118" s="114"/>
      <c r="T118" s="110"/>
    </row>
    <row r="119" spans="1:20" x14ac:dyDescent="0.25">
      <c r="A119" s="122"/>
      <c r="B119" s="109"/>
      <c r="C119" s="110"/>
      <c r="D119" s="109"/>
      <c r="E119" s="110"/>
      <c r="F119" s="109"/>
      <c r="G119" s="114"/>
      <c r="H119" s="114"/>
      <c r="I119" s="114"/>
      <c r="J119" s="110"/>
      <c r="K119" s="109"/>
      <c r="L119" s="114"/>
      <c r="M119" s="114"/>
      <c r="N119" s="114"/>
      <c r="O119" s="110"/>
      <c r="P119" s="109"/>
      <c r="Q119" s="114"/>
      <c r="R119" s="114"/>
      <c r="S119" s="114"/>
      <c r="T119" s="110"/>
    </row>
    <row r="120" spans="1:20" x14ac:dyDescent="0.25">
      <c r="A120" s="123"/>
      <c r="B120" s="111"/>
      <c r="C120" s="112"/>
      <c r="D120" s="111"/>
      <c r="E120" s="112"/>
      <c r="F120" s="111"/>
      <c r="G120" s="115"/>
      <c r="H120" s="115"/>
      <c r="I120" s="115"/>
      <c r="J120" s="112"/>
      <c r="K120" s="111"/>
      <c r="L120" s="115"/>
      <c r="M120" s="115"/>
      <c r="N120" s="115"/>
      <c r="O120" s="112"/>
      <c r="P120" s="111"/>
      <c r="Q120" s="115"/>
      <c r="R120" s="115"/>
      <c r="S120" s="115"/>
      <c r="T120" s="112"/>
    </row>
    <row r="121" spans="1:20" x14ac:dyDescent="0.25">
      <c r="A121" s="6" t="s">
        <v>22</v>
      </c>
      <c r="B121" s="116">
        <v>0</v>
      </c>
      <c r="C121" s="117"/>
      <c r="D121" s="116">
        <v>0</v>
      </c>
      <c r="E121" s="117"/>
      <c r="F121" s="124"/>
      <c r="G121" s="125"/>
      <c r="H121" s="125"/>
      <c r="I121" s="125"/>
      <c r="J121" s="126"/>
      <c r="K121" s="116"/>
      <c r="L121" s="118"/>
      <c r="M121" s="118"/>
      <c r="N121" s="118"/>
      <c r="O121" s="117"/>
      <c r="P121" s="119"/>
      <c r="Q121" s="119"/>
      <c r="R121" s="119"/>
      <c r="S121" s="119"/>
      <c r="T121" s="119"/>
    </row>
    <row r="122" spans="1:20" x14ac:dyDescent="0.25">
      <c r="A122" s="15" t="s">
        <v>14</v>
      </c>
      <c r="B122" s="103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103"/>
      <c r="D122" s="103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103"/>
      <c r="F122" s="120"/>
      <c r="G122" s="120"/>
      <c r="H122" s="120"/>
      <c r="I122" s="120"/>
      <c r="J122" s="120"/>
      <c r="K122" s="103"/>
      <c r="L122" s="103"/>
      <c r="M122" s="103"/>
      <c r="N122" s="103"/>
      <c r="O122" s="103"/>
      <c r="P122" s="104"/>
      <c r="Q122" s="104"/>
      <c r="R122" s="104"/>
      <c r="S122" s="104"/>
      <c r="T122" s="104"/>
    </row>
    <row r="123" spans="1:20" ht="15" customHeight="1" x14ac:dyDescent="0.25">
      <c r="A123" s="121">
        <v>45160</v>
      </c>
      <c r="B123" s="107" t="s">
        <v>50</v>
      </c>
      <c r="C123" s="108"/>
      <c r="D123" s="107" t="s">
        <v>34</v>
      </c>
      <c r="E123" s="108"/>
      <c r="F123" s="107"/>
      <c r="G123" s="113"/>
      <c r="H123" s="113"/>
      <c r="I123" s="113"/>
      <c r="J123" s="108"/>
      <c r="K123" s="107"/>
      <c r="L123" s="113"/>
      <c r="M123" s="113"/>
      <c r="N123" s="113"/>
      <c r="O123" s="108"/>
      <c r="P123" s="107" t="s">
        <v>48</v>
      </c>
      <c r="Q123" s="113"/>
      <c r="R123" s="113"/>
      <c r="S123" s="113"/>
      <c r="T123" s="108"/>
    </row>
    <row r="124" spans="1:20" x14ac:dyDescent="0.25">
      <c r="A124" s="122"/>
      <c r="B124" s="109"/>
      <c r="C124" s="110"/>
      <c r="D124" s="109"/>
      <c r="E124" s="110"/>
      <c r="F124" s="109"/>
      <c r="G124" s="114"/>
      <c r="H124" s="114"/>
      <c r="I124" s="114"/>
      <c r="J124" s="110"/>
      <c r="K124" s="109"/>
      <c r="L124" s="114"/>
      <c r="M124" s="114"/>
      <c r="N124" s="114"/>
      <c r="O124" s="110"/>
      <c r="P124" s="109"/>
      <c r="Q124" s="114"/>
      <c r="R124" s="114"/>
      <c r="S124" s="114"/>
      <c r="T124" s="110"/>
    </row>
    <row r="125" spans="1:20" x14ac:dyDescent="0.25">
      <c r="A125" s="122"/>
      <c r="B125" s="109"/>
      <c r="C125" s="110"/>
      <c r="D125" s="109"/>
      <c r="E125" s="110"/>
      <c r="F125" s="109"/>
      <c r="G125" s="114"/>
      <c r="H125" s="114"/>
      <c r="I125" s="114"/>
      <c r="J125" s="110"/>
      <c r="K125" s="109"/>
      <c r="L125" s="114"/>
      <c r="M125" s="114"/>
      <c r="N125" s="114"/>
      <c r="O125" s="110"/>
      <c r="P125" s="109"/>
      <c r="Q125" s="114"/>
      <c r="R125" s="114"/>
      <c r="S125" s="114"/>
      <c r="T125" s="110"/>
    </row>
    <row r="126" spans="1:20" x14ac:dyDescent="0.25">
      <c r="A126" s="122"/>
      <c r="B126" s="109"/>
      <c r="C126" s="110"/>
      <c r="D126" s="109"/>
      <c r="E126" s="110"/>
      <c r="F126" s="109"/>
      <c r="G126" s="114"/>
      <c r="H126" s="114"/>
      <c r="I126" s="114"/>
      <c r="J126" s="110"/>
      <c r="K126" s="109"/>
      <c r="L126" s="114"/>
      <c r="M126" s="114"/>
      <c r="N126" s="114"/>
      <c r="O126" s="110"/>
      <c r="P126" s="109"/>
      <c r="Q126" s="114"/>
      <c r="R126" s="114"/>
      <c r="S126" s="114"/>
      <c r="T126" s="110"/>
    </row>
    <row r="127" spans="1:20" x14ac:dyDescent="0.25">
      <c r="A127" s="122"/>
      <c r="B127" s="109"/>
      <c r="C127" s="110"/>
      <c r="D127" s="109"/>
      <c r="E127" s="110"/>
      <c r="F127" s="109"/>
      <c r="G127" s="114"/>
      <c r="H127" s="114"/>
      <c r="I127" s="114"/>
      <c r="J127" s="110"/>
      <c r="K127" s="109"/>
      <c r="L127" s="114"/>
      <c r="M127" s="114"/>
      <c r="N127" s="114"/>
      <c r="O127" s="110"/>
      <c r="P127" s="109"/>
      <c r="Q127" s="114"/>
      <c r="R127" s="114"/>
      <c r="S127" s="114"/>
      <c r="T127" s="110"/>
    </row>
    <row r="128" spans="1:20" x14ac:dyDescent="0.25">
      <c r="A128" s="122"/>
      <c r="B128" s="109"/>
      <c r="C128" s="110"/>
      <c r="D128" s="109"/>
      <c r="E128" s="110"/>
      <c r="F128" s="109"/>
      <c r="G128" s="114"/>
      <c r="H128" s="114"/>
      <c r="I128" s="114"/>
      <c r="J128" s="110"/>
      <c r="K128" s="109"/>
      <c r="L128" s="114"/>
      <c r="M128" s="114"/>
      <c r="N128" s="114"/>
      <c r="O128" s="110"/>
      <c r="P128" s="109"/>
      <c r="Q128" s="114"/>
      <c r="R128" s="114"/>
      <c r="S128" s="114"/>
      <c r="T128" s="110"/>
    </row>
    <row r="129" spans="1:20" x14ac:dyDescent="0.25">
      <c r="A129" s="122"/>
      <c r="B129" s="109"/>
      <c r="C129" s="110"/>
      <c r="D129" s="109"/>
      <c r="E129" s="110"/>
      <c r="F129" s="109"/>
      <c r="G129" s="114"/>
      <c r="H129" s="114"/>
      <c r="I129" s="114"/>
      <c r="J129" s="110"/>
      <c r="K129" s="109"/>
      <c r="L129" s="114"/>
      <c r="M129" s="114"/>
      <c r="N129" s="114"/>
      <c r="O129" s="110"/>
      <c r="P129" s="109"/>
      <c r="Q129" s="114"/>
      <c r="R129" s="114"/>
      <c r="S129" s="114"/>
      <c r="T129" s="110"/>
    </row>
    <row r="130" spans="1:20" x14ac:dyDescent="0.25">
      <c r="A130" s="123"/>
      <c r="B130" s="111"/>
      <c r="C130" s="112"/>
      <c r="D130" s="111"/>
      <c r="E130" s="112"/>
      <c r="F130" s="111"/>
      <c r="G130" s="115"/>
      <c r="H130" s="115"/>
      <c r="I130" s="115"/>
      <c r="J130" s="112"/>
      <c r="K130" s="111"/>
      <c r="L130" s="115"/>
      <c r="M130" s="115"/>
      <c r="N130" s="115"/>
      <c r="O130" s="112"/>
      <c r="P130" s="111"/>
      <c r="Q130" s="115"/>
      <c r="R130" s="115"/>
      <c r="S130" s="115"/>
      <c r="T130" s="112"/>
    </row>
    <row r="131" spans="1:20" x14ac:dyDescent="0.25">
      <c r="A131" s="6" t="s">
        <v>22</v>
      </c>
      <c r="B131" s="116">
        <v>0</v>
      </c>
      <c r="C131" s="117"/>
      <c r="D131" s="116">
        <v>0</v>
      </c>
      <c r="E131" s="117"/>
      <c r="F131" s="124"/>
      <c r="G131" s="125"/>
      <c r="H131" s="125"/>
      <c r="I131" s="125"/>
      <c r="J131" s="126"/>
      <c r="K131" s="116"/>
      <c r="L131" s="118"/>
      <c r="M131" s="118"/>
      <c r="N131" s="118"/>
      <c r="O131" s="117"/>
      <c r="P131" s="119">
        <v>0</v>
      </c>
      <c r="Q131" s="119"/>
      <c r="R131" s="119"/>
      <c r="S131" s="119"/>
      <c r="T131" s="119"/>
    </row>
    <row r="132" spans="1:20" x14ac:dyDescent="0.25">
      <c r="A132" s="16" t="s">
        <v>14</v>
      </c>
      <c r="B132" s="103">
        <f>2.08 + 3.32 + 3.26 + 2.68 + 3.26 + 3.3 + 3.28 + 3.58 + 2.96 + 2.94 + 3.1 + 3.24 + 3.1 + 3.12 + 3.64 + 2.8 + 2.5 + 3.38 + 3.14 + 2.76 + 3.14 + 3.1 + 2.98 + 1.6</f>
        <v>72.259999999999991</v>
      </c>
      <c r="C132" s="103"/>
      <c r="D132" s="103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103"/>
      <c r="F132" s="120"/>
      <c r="G132" s="120"/>
      <c r="H132" s="120"/>
      <c r="I132" s="120"/>
      <c r="J132" s="120"/>
      <c r="K132" s="103"/>
      <c r="L132" s="103"/>
      <c r="M132" s="103"/>
      <c r="N132" s="103"/>
      <c r="O132" s="103"/>
      <c r="P132" s="104">
        <f>1.82 + 2.6 + 2.16 + 2.42 + 2.3 + 2.62 + 3.12 + 2.72 + 1.94 + 2.3 + 2.28</f>
        <v>26.280000000000005</v>
      </c>
      <c r="Q132" s="104"/>
      <c r="R132" s="104"/>
      <c r="S132" s="104"/>
      <c r="T132" s="104"/>
    </row>
    <row r="133" spans="1:20" x14ac:dyDescent="0.25">
      <c r="A133" s="105">
        <v>45162</v>
      </c>
      <c r="B133" s="106"/>
      <c r="C133" s="106"/>
      <c r="D133" s="107" t="s">
        <v>35</v>
      </c>
      <c r="E133" s="108"/>
      <c r="F133" s="107"/>
      <c r="G133" s="113"/>
      <c r="H133" s="113"/>
      <c r="I133" s="113"/>
      <c r="J133" s="108"/>
      <c r="K133" s="107"/>
      <c r="L133" s="113"/>
      <c r="M133" s="113"/>
      <c r="N133" s="113"/>
      <c r="O133" s="108"/>
      <c r="P133" s="106" t="s">
        <v>49</v>
      </c>
      <c r="Q133" s="106"/>
      <c r="R133" s="106"/>
      <c r="S133" s="106"/>
      <c r="T133" s="106"/>
    </row>
    <row r="134" spans="1:20" x14ac:dyDescent="0.25">
      <c r="A134" s="105"/>
      <c r="B134" s="106"/>
      <c r="C134" s="106"/>
      <c r="D134" s="109"/>
      <c r="E134" s="110"/>
      <c r="F134" s="109"/>
      <c r="G134" s="114"/>
      <c r="H134" s="114"/>
      <c r="I134" s="114"/>
      <c r="J134" s="110"/>
      <c r="K134" s="109"/>
      <c r="L134" s="114"/>
      <c r="M134" s="114"/>
      <c r="N134" s="114"/>
      <c r="O134" s="110"/>
      <c r="P134" s="106"/>
      <c r="Q134" s="106"/>
      <c r="R134" s="106"/>
      <c r="S134" s="106"/>
      <c r="T134" s="106"/>
    </row>
    <row r="135" spans="1:20" x14ac:dyDescent="0.25">
      <c r="A135" s="105"/>
      <c r="B135" s="106"/>
      <c r="C135" s="106"/>
      <c r="D135" s="109"/>
      <c r="E135" s="110"/>
      <c r="F135" s="109"/>
      <c r="G135" s="114"/>
      <c r="H135" s="114"/>
      <c r="I135" s="114"/>
      <c r="J135" s="110"/>
      <c r="K135" s="109"/>
      <c r="L135" s="114"/>
      <c r="M135" s="114"/>
      <c r="N135" s="114"/>
      <c r="O135" s="110"/>
      <c r="P135" s="106"/>
      <c r="Q135" s="106"/>
      <c r="R135" s="106"/>
      <c r="S135" s="106"/>
      <c r="T135" s="106"/>
    </row>
    <row r="136" spans="1:20" x14ac:dyDescent="0.25">
      <c r="A136" s="105"/>
      <c r="B136" s="106"/>
      <c r="C136" s="106"/>
      <c r="D136" s="109"/>
      <c r="E136" s="110"/>
      <c r="F136" s="109"/>
      <c r="G136" s="114"/>
      <c r="H136" s="114"/>
      <c r="I136" s="114"/>
      <c r="J136" s="110"/>
      <c r="K136" s="109"/>
      <c r="L136" s="114"/>
      <c r="M136" s="114"/>
      <c r="N136" s="114"/>
      <c r="O136" s="110"/>
      <c r="P136" s="106"/>
      <c r="Q136" s="106"/>
      <c r="R136" s="106"/>
      <c r="S136" s="106"/>
      <c r="T136" s="106"/>
    </row>
    <row r="137" spans="1:20" x14ac:dyDescent="0.25">
      <c r="A137" s="105"/>
      <c r="B137" s="106"/>
      <c r="C137" s="106"/>
      <c r="D137" s="109"/>
      <c r="E137" s="110"/>
      <c r="F137" s="109"/>
      <c r="G137" s="114"/>
      <c r="H137" s="114"/>
      <c r="I137" s="114"/>
      <c r="J137" s="110"/>
      <c r="K137" s="109"/>
      <c r="L137" s="114"/>
      <c r="M137" s="114"/>
      <c r="N137" s="114"/>
      <c r="O137" s="110"/>
      <c r="P137" s="106"/>
      <c r="Q137" s="106"/>
      <c r="R137" s="106"/>
      <c r="S137" s="106"/>
      <c r="T137" s="106"/>
    </row>
    <row r="138" spans="1:20" x14ac:dyDescent="0.25">
      <c r="A138" s="105"/>
      <c r="B138" s="106"/>
      <c r="C138" s="106"/>
      <c r="D138" s="111"/>
      <c r="E138" s="112"/>
      <c r="F138" s="111"/>
      <c r="G138" s="115"/>
      <c r="H138" s="115"/>
      <c r="I138" s="115"/>
      <c r="J138" s="112"/>
      <c r="K138" s="111"/>
      <c r="L138" s="115"/>
      <c r="M138" s="115"/>
      <c r="N138" s="115"/>
      <c r="O138" s="112"/>
      <c r="P138" s="106"/>
      <c r="Q138" s="106"/>
      <c r="R138" s="106"/>
      <c r="S138" s="106"/>
      <c r="T138" s="106"/>
    </row>
    <row r="139" spans="1:20" x14ac:dyDescent="0.25">
      <c r="A139" s="6" t="s">
        <v>22</v>
      </c>
      <c r="B139" s="116"/>
      <c r="C139" s="117"/>
      <c r="D139" s="116">
        <v>0</v>
      </c>
      <c r="E139" s="117"/>
      <c r="F139" s="116"/>
      <c r="G139" s="118"/>
      <c r="H139" s="118"/>
      <c r="I139" s="118"/>
      <c r="J139" s="117"/>
      <c r="K139" s="116"/>
      <c r="L139" s="118"/>
      <c r="M139" s="118"/>
      <c r="N139" s="118"/>
      <c r="O139" s="117"/>
      <c r="P139" s="119">
        <v>0</v>
      </c>
      <c r="Q139" s="119"/>
      <c r="R139" s="119"/>
      <c r="S139" s="119"/>
      <c r="T139" s="119"/>
    </row>
    <row r="140" spans="1:20" x14ac:dyDescent="0.25">
      <c r="A140" s="18" t="s">
        <v>14</v>
      </c>
      <c r="B140" s="103"/>
      <c r="C140" s="103"/>
      <c r="D140" s="103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4">
        <f>2.78 + 1.18 + 2.9 + 3.1 + 3.1 + 2.7 + 2.61 + 2.7 + 2.6 + 2.86 + 2.72 + 1.86 + 2.66 + 3.34 + 2.38 + 3.66 + 3.7 + 1.72 + 2.66 + 2.12 + 2.48 + 2.68 + 3.42 + 1.32 + 1.9 + 2.48 + 1.94</f>
        <v>69.570000000000007</v>
      </c>
      <c r="Q140" s="104"/>
      <c r="R140" s="104"/>
      <c r="S140" s="104"/>
      <c r="T140" s="104"/>
    </row>
    <row r="141" spans="1:20" x14ac:dyDescent="0.25">
      <c r="A141" s="105">
        <v>45163</v>
      </c>
      <c r="B141" s="106" t="s">
        <v>37</v>
      </c>
      <c r="C141" s="106"/>
      <c r="D141" s="107" t="s">
        <v>36</v>
      </c>
      <c r="E141" s="108"/>
      <c r="F141" s="107"/>
      <c r="G141" s="113"/>
      <c r="H141" s="113"/>
      <c r="I141" s="113"/>
      <c r="J141" s="108"/>
      <c r="K141" s="107"/>
      <c r="L141" s="113"/>
      <c r="M141" s="113"/>
      <c r="N141" s="113"/>
      <c r="O141" s="108"/>
      <c r="P141" s="106" t="s">
        <v>38</v>
      </c>
      <c r="Q141" s="106"/>
      <c r="R141" s="106"/>
      <c r="S141" s="106"/>
      <c r="T141" s="106"/>
    </row>
    <row r="142" spans="1:20" x14ac:dyDescent="0.25">
      <c r="A142" s="105"/>
      <c r="B142" s="106"/>
      <c r="C142" s="106"/>
      <c r="D142" s="109"/>
      <c r="E142" s="110"/>
      <c r="F142" s="109"/>
      <c r="G142" s="114"/>
      <c r="H142" s="114"/>
      <c r="I142" s="114"/>
      <c r="J142" s="110"/>
      <c r="K142" s="109"/>
      <c r="L142" s="114"/>
      <c r="M142" s="114"/>
      <c r="N142" s="114"/>
      <c r="O142" s="110"/>
      <c r="P142" s="106"/>
      <c r="Q142" s="106"/>
      <c r="R142" s="106"/>
      <c r="S142" s="106"/>
      <c r="T142" s="106"/>
    </row>
    <row r="143" spans="1:20" x14ac:dyDescent="0.25">
      <c r="A143" s="105"/>
      <c r="B143" s="106"/>
      <c r="C143" s="106"/>
      <c r="D143" s="109"/>
      <c r="E143" s="110"/>
      <c r="F143" s="109"/>
      <c r="G143" s="114"/>
      <c r="H143" s="114"/>
      <c r="I143" s="114"/>
      <c r="J143" s="110"/>
      <c r="K143" s="109"/>
      <c r="L143" s="114"/>
      <c r="M143" s="114"/>
      <c r="N143" s="114"/>
      <c r="O143" s="110"/>
      <c r="P143" s="106"/>
      <c r="Q143" s="106"/>
      <c r="R143" s="106"/>
      <c r="S143" s="106"/>
      <c r="T143" s="106"/>
    </row>
    <row r="144" spans="1:20" x14ac:dyDescent="0.25">
      <c r="A144" s="105"/>
      <c r="B144" s="106"/>
      <c r="C144" s="106"/>
      <c r="D144" s="109"/>
      <c r="E144" s="110"/>
      <c r="F144" s="109"/>
      <c r="G144" s="114"/>
      <c r="H144" s="114"/>
      <c r="I144" s="114"/>
      <c r="J144" s="110"/>
      <c r="K144" s="109"/>
      <c r="L144" s="114"/>
      <c r="M144" s="114"/>
      <c r="N144" s="114"/>
      <c r="O144" s="110"/>
      <c r="P144" s="106"/>
      <c r="Q144" s="106"/>
      <c r="R144" s="106"/>
      <c r="S144" s="106"/>
      <c r="T144" s="106"/>
    </row>
    <row r="145" spans="1:20" x14ac:dyDescent="0.25">
      <c r="A145" s="105"/>
      <c r="B145" s="106"/>
      <c r="C145" s="106"/>
      <c r="D145" s="109"/>
      <c r="E145" s="110"/>
      <c r="F145" s="109"/>
      <c r="G145" s="114"/>
      <c r="H145" s="114"/>
      <c r="I145" s="114"/>
      <c r="J145" s="110"/>
      <c r="K145" s="109"/>
      <c r="L145" s="114"/>
      <c r="M145" s="114"/>
      <c r="N145" s="114"/>
      <c r="O145" s="110"/>
      <c r="P145" s="106"/>
      <c r="Q145" s="106"/>
      <c r="R145" s="106"/>
      <c r="S145" s="106"/>
      <c r="T145" s="106"/>
    </row>
    <row r="146" spans="1:20" x14ac:dyDescent="0.25">
      <c r="A146" s="105"/>
      <c r="B146" s="106"/>
      <c r="C146" s="106"/>
      <c r="D146" s="111"/>
      <c r="E146" s="112"/>
      <c r="F146" s="111"/>
      <c r="G146" s="115"/>
      <c r="H146" s="115"/>
      <c r="I146" s="115"/>
      <c r="J146" s="112"/>
      <c r="K146" s="111"/>
      <c r="L146" s="115"/>
      <c r="M146" s="115"/>
      <c r="N146" s="115"/>
      <c r="O146" s="112"/>
      <c r="P146" s="106"/>
      <c r="Q146" s="106"/>
      <c r="R146" s="106"/>
      <c r="S146" s="106"/>
      <c r="T146" s="106"/>
    </row>
    <row r="147" spans="1:20" x14ac:dyDescent="0.25">
      <c r="A147" s="6" t="s">
        <v>22</v>
      </c>
      <c r="B147" s="116">
        <v>0</v>
      </c>
      <c r="C147" s="117"/>
      <c r="D147" s="116">
        <v>0</v>
      </c>
      <c r="E147" s="117"/>
      <c r="F147" s="116"/>
      <c r="G147" s="118"/>
      <c r="H147" s="118"/>
      <c r="I147" s="118"/>
      <c r="J147" s="117"/>
      <c r="K147" s="116"/>
      <c r="L147" s="118"/>
      <c r="M147" s="118"/>
      <c r="N147" s="118"/>
      <c r="O147" s="117"/>
      <c r="P147" s="119">
        <v>0</v>
      </c>
      <c r="Q147" s="119"/>
      <c r="R147" s="119"/>
      <c r="S147" s="119"/>
      <c r="T147" s="119"/>
    </row>
    <row r="148" spans="1:20" x14ac:dyDescent="0.25">
      <c r="A148" s="20" t="s">
        <v>14</v>
      </c>
      <c r="B148" s="103">
        <f>3 + 3.52 + 3.18 + 4.02 + 2.42 + 3.34 + 3.28 + 3.02 + 2.98 + 3.38 + 3.62 + 3.62 + 3.66 + 1.88 + 2.64 + 2.5 + 2.96 + 3.4 + 3.52 + 3.46 + 1.32 + 2.12 + 3.12 + 0.68 + 1.08 + 3.18 + 3.28 + 2.84</f>
        <v>81.020000000000024</v>
      </c>
      <c r="C148" s="103"/>
      <c r="D148" s="103">
        <f>3.14 + 2.88 + 2.48 + 2.6 + 3.16 + 3.18 + 2.64 + 2.98 + 2.94 + 3.46 + 2.92 + 3.4 + 3.34 + 2.16 + 3.68</f>
        <v>44.96</v>
      </c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4">
        <f>1.82 + 2.1 + 2.36 + 2.44 + 2.86 + 2.74 + 2.36 + 2.72 + 2.5 + 2.58 + 2.7 + 2.82 + 3.08 + 2.98 + 2.84 + 1.02 + 3.44 + 2.48 + 3.32 + 1.7 + 1.94 + 2.72 + 3.44 + 3 + 1.5 + 2.38</f>
        <v>65.839999999999989</v>
      </c>
      <c r="Q148" s="104"/>
      <c r="R148" s="104"/>
      <c r="S148" s="104"/>
      <c r="T148" s="104"/>
    </row>
    <row r="149" spans="1:20" x14ac:dyDescent="0.25">
      <c r="A149" s="105">
        <v>45166</v>
      </c>
      <c r="B149" s="106"/>
      <c r="C149" s="106"/>
      <c r="D149" s="107"/>
      <c r="E149" s="108"/>
      <c r="F149" s="107"/>
      <c r="G149" s="113"/>
      <c r="H149" s="113"/>
      <c r="I149" s="113"/>
      <c r="J149" s="108"/>
      <c r="K149" s="107" t="s">
        <v>44</v>
      </c>
      <c r="L149" s="113"/>
      <c r="M149" s="113"/>
      <c r="N149" s="113"/>
      <c r="O149" s="108"/>
      <c r="P149" s="106" t="s">
        <v>39</v>
      </c>
      <c r="Q149" s="106"/>
      <c r="R149" s="106"/>
      <c r="S149" s="106"/>
      <c r="T149" s="106"/>
    </row>
    <row r="150" spans="1:20" x14ac:dyDescent="0.25">
      <c r="A150" s="105"/>
      <c r="B150" s="106"/>
      <c r="C150" s="106"/>
      <c r="D150" s="109"/>
      <c r="E150" s="110"/>
      <c r="F150" s="109"/>
      <c r="G150" s="114"/>
      <c r="H150" s="114"/>
      <c r="I150" s="114"/>
      <c r="J150" s="110"/>
      <c r="K150" s="109"/>
      <c r="L150" s="114"/>
      <c r="M150" s="114"/>
      <c r="N150" s="114"/>
      <c r="O150" s="110"/>
      <c r="P150" s="106"/>
      <c r="Q150" s="106"/>
      <c r="R150" s="106"/>
      <c r="S150" s="106"/>
      <c r="T150" s="106"/>
    </row>
    <row r="151" spans="1:20" x14ac:dyDescent="0.25">
      <c r="A151" s="105"/>
      <c r="B151" s="106"/>
      <c r="C151" s="106"/>
      <c r="D151" s="109"/>
      <c r="E151" s="110"/>
      <c r="F151" s="109"/>
      <c r="G151" s="114"/>
      <c r="H151" s="114"/>
      <c r="I151" s="114"/>
      <c r="J151" s="110"/>
      <c r="K151" s="109"/>
      <c r="L151" s="114"/>
      <c r="M151" s="114"/>
      <c r="N151" s="114"/>
      <c r="O151" s="110"/>
      <c r="P151" s="106"/>
      <c r="Q151" s="106"/>
      <c r="R151" s="106"/>
      <c r="S151" s="106"/>
      <c r="T151" s="106"/>
    </row>
    <row r="152" spans="1:20" x14ac:dyDescent="0.25">
      <c r="A152" s="105"/>
      <c r="B152" s="106"/>
      <c r="C152" s="106"/>
      <c r="D152" s="109"/>
      <c r="E152" s="110"/>
      <c r="F152" s="109"/>
      <c r="G152" s="114"/>
      <c r="H152" s="114"/>
      <c r="I152" s="114"/>
      <c r="J152" s="110"/>
      <c r="K152" s="109"/>
      <c r="L152" s="114"/>
      <c r="M152" s="114"/>
      <c r="N152" s="114"/>
      <c r="O152" s="110"/>
      <c r="P152" s="106"/>
      <c r="Q152" s="106"/>
      <c r="R152" s="106"/>
      <c r="S152" s="106"/>
      <c r="T152" s="106"/>
    </row>
    <row r="153" spans="1:20" x14ac:dyDescent="0.25">
      <c r="A153" s="105"/>
      <c r="B153" s="106"/>
      <c r="C153" s="106"/>
      <c r="D153" s="109"/>
      <c r="E153" s="110"/>
      <c r="F153" s="109"/>
      <c r="G153" s="114"/>
      <c r="H153" s="114"/>
      <c r="I153" s="114"/>
      <c r="J153" s="110"/>
      <c r="K153" s="109"/>
      <c r="L153" s="114"/>
      <c r="M153" s="114"/>
      <c r="N153" s="114"/>
      <c r="O153" s="110"/>
      <c r="P153" s="106"/>
      <c r="Q153" s="106"/>
      <c r="R153" s="106"/>
      <c r="S153" s="106"/>
      <c r="T153" s="106"/>
    </row>
    <row r="154" spans="1:20" x14ac:dyDescent="0.25">
      <c r="A154" s="105"/>
      <c r="B154" s="106"/>
      <c r="C154" s="106"/>
      <c r="D154" s="111"/>
      <c r="E154" s="112"/>
      <c r="F154" s="111"/>
      <c r="G154" s="115"/>
      <c r="H154" s="115"/>
      <c r="I154" s="115"/>
      <c r="J154" s="112"/>
      <c r="K154" s="111"/>
      <c r="L154" s="115"/>
      <c r="M154" s="115"/>
      <c r="N154" s="115"/>
      <c r="O154" s="112"/>
      <c r="P154" s="106"/>
      <c r="Q154" s="106"/>
      <c r="R154" s="106"/>
      <c r="S154" s="106"/>
      <c r="T154" s="106"/>
    </row>
    <row r="155" spans="1:20" x14ac:dyDescent="0.25">
      <c r="A155" s="6" t="s">
        <v>22</v>
      </c>
      <c r="B155" s="116"/>
      <c r="C155" s="117"/>
      <c r="D155" s="116"/>
      <c r="E155" s="117"/>
      <c r="F155" s="116"/>
      <c r="G155" s="118"/>
      <c r="H155" s="118"/>
      <c r="I155" s="118"/>
      <c r="J155" s="117"/>
      <c r="K155" s="116">
        <v>0</v>
      </c>
      <c r="L155" s="118"/>
      <c r="M155" s="118"/>
      <c r="N155" s="118"/>
      <c r="O155" s="117"/>
      <c r="P155" s="119">
        <v>0</v>
      </c>
      <c r="Q155" s="119"/>
      <c r="R155" s="119"/>
      <c r="S155" s="119"/>
      <c r="T155" s="119"/>
    </row>
    <row r="156" spans="1:20" x14ac:dyDescent="0.25">
      <c r="A156" s="21" t="s">
        <v>14</v>
      </c>
      <c r="B156" s="103"/>
      <c r="C156" s="103"/>
      <c r="D156" s="103"/>
      <c r="E156" s="103"/>
      <c r="F156" s="103"/>
      <c r="G156" s="103"/>
      <c r="H156" s="103"/>
      <c r="I156" s="103"/>
      <c r="J156" s="103"/>
      <c r="K156" s="103">
        <f>2.14 + 5 + 2.5 + 2.1 + 2.3 + 1.38 + 7.58 + 8.2 + 7.76 + 8.24 + 8.36 + 7.7 + 8.18 + 4.94 + 5.4 + 7.8 + 5.6 + 2.62 + 6.54 + 1.38 + 5.3 + 5.06 + 4.74 + 5.58 + 4.04 + 5.08</f>
        <v>135.52000000000001</v>
      </c>
      <c r="L156" s="103"/>
      <c r="M156" s="103"/>
      <c r="N156" s="103"/>
      <c r="O156" s="103"/>
      <c r="P156" s="104">
        <f>1.68 + 4.08 + 3.64 + 2.6 + 4.8 + 3.8 + 5.18 + 2.94 + 5.98 + 3.96 + 7 + 4.18 + 5.44 + 5.64</f>
        <v>60.92</v>
      </c>
      <c r="Q156" s="104"/>
      <c r="R156" s="104"/>
      <c r="S156" s="104"/>
      <c r="T156" s="104"/>
    </row>
    <row r="157" spans="1:20" x14ac:dyDescent="0.25">
      <c r="A157" s="105">
        <v>45167</v>
      </c>
      <c r="B157" s="106"/>
      <c r="C157" s="106"/>
      <c r="D157" s="107"/>
      <c r="E157" s="108"/>
      <c r="F157" s="107" t="s">
        <v>47</v>
      </c>
      <c r="G157" s="113"/>
      <c r="H157" s="113"/>
      <c r="I157" s="113"/>
      <c r="J157" s="108"/>
      <c r="K157" s="107" t="s">
        <v>46</v>
      </c>
      <c r="L157" s="113"/>
      <c r="M157" s="113"/>
      <c r="N157" s="113"/>
      <c r="O157" s="108"/>
      <c r="P157" s="106" t="s">
        <v>45</v>
      </c>
      <c r="Q157" s="106"/>
      <c r="R157" s="106"/>
      <c r="S157" s="106"/>
      <c r="T157" s="106"/>
    </row>
    <row r="158" spans="1:20" x14ac:dyDescent="0.25">
      <c r="A158" s="105"/>
      <c r="B158" s="106"/>
      <c r="C158" s="106"/>
      <c r="D158" s="109"/>
      <c r="E158" s="110"/>
      <c r="F158" s="109"/>
      <c r="G158" s="114"/>
      <c r="H158" s="114"/>
      <c r="I158" s="114"/>
      <c r="J158" s="110"/>
      <c r="K158" s="109"/>
      <c r="L158" s="114"/>
      <c r="M158" s="114"/>
      <c r="N158" s="114"/>
      <c r="O158" s="110"/>
      <c r="P158" s="106"/>
      <c r="Q158" s="106"/>
      <c r="R158" s="106"/>
      <c r="S158" s="106"/>
      <c r="T158" s="106"/>
    </row>
    <row r="159" spans="1:20" x14ac:dyDescent="0.25">
      <c r="A159" s="105"/>
      <c r="B159" s="106"/>
      <c r="C159" s="106"/>
      <c r="D159" s="109"/>
      <c r="E159" s="110"/>
      <c r="F159" s="109"/>
      <c r="G159" s="114"/>
      <c r="H159" s="114"/>
      <c r="I159" s="114"/>
      <c r="J159" s="110"/>
      <c r="K159" s="109"/>
      <c r="L159" s="114"/>
      <c r="M159" s="114"/>
      <c r="N159" s="114"/>
      <c r="O159" s="110"/>
      <c r="P159" s="106"/>
      <c r="Q159" s="106"/>
      <c r="R159" s="106"/>
      <c r="S159" s="106"/>
      <c r="T159" s="106"/>
    </row>
    <row r="160" spans="1:20" x14ac:dyDescent="0.25">
      <c r="A160" s="105"/>
      <c r="B160" s="106"/>
      <c r="C160" s="106"/>
      <c r="D160" s="109"/>
      <c r="E160" s="110"/>
      <c r="F160" s="109"/>
      <c r="G160" s="114"/>
      <c r="H160" s="114"/>
      <c r="I160" s="114"/>
      <c r="J160" s="110"/>
      <c r="K160" s="109"/>
      <c r="L160" s="114"/>
      <c r="M160" s="114"/>
      <c r="N160" s="114"/>
      <c r="O160" s="110"/>
      <c r="P160" s="106"/>
      <c r="Q160" s="106"/>
      <c r="R160" s="106"/>
      <c r="S160" s="106"/>
      <c r="T160" s="106"/>
    </row>
    <row r="161" spans="1:20" x14ac:dyDescent="0.25">
      <c r="A161" s="105"/>
      <c r="B161" s="106"/>
      <c r="C161" s="106"/>
      <c r="D161" s="109"/>
      <c r="E161" s="110"/>
      <c r="F161" s="109"/>
      <c r="G161" s="114"/>
      <c r="H161" s="114"/>
      <c r="I161" s="114"/>
      <c r="J161" s="110"/>
      <c r="K161" s="109"/>
      <c r="L161" s="114"/>
      <c r="M161" s="114"/>
      <c r="N161" s="114"/>
      <c r="O161" s="110"/>
      <c r="P161" s="106"/>
      <c r="Q161" s="106"/>
      <c r="R161" s="106"/>
      <c r="S161" s="106"/>
      <c r="T161" s="106"/>
    </row>
    <row r="162" spans="1:20" x14ac:dyDescent="0.25">
      <c r="A162" s="105"/>
      <c r="B162" s="106"/>
      <c r="C162" s="106"/>
      <c r="D162" s="111"/>
      <c r="E162" s="112"/>
      <c r="F162" s="111"/>
      <c r="G162" s="115"/>
      <c r="H162" s="115"/>
      <c r="I162" s="115"/>
      <c r="J162" s="112"/>
      <c r="K162" s="111"/>
      <c r="L162" s="115"/>
      <c r="M162" s="115"/>
      <c r="N162" s="115"/>
      <c r="O162" s="112"/>
      <c r="P162" s="106"/>
      <c r="Q162" s="106"/>
      <c r="R162" s="106"/>
      <c r="S162" s="106"/>
      <c r="T162" s="106"/>
    </row>
    <row r="163" spans="1:20" x14ac:dyDescent="0.25">
      <c r="A163" s="6" t="s">
        <v>22</v>
      </c>
      <c r="B163" s="116"/>
      <c r="C163" s="117"/>
      <c r="D163" s="116"/>
      <c r="E163" s="117"/>
      <c r="F163" s="116">
        <v>0</v>
      </c>
      <c r="G163" s="118"/>
      <c r="H163" s="118"/>
      <c r="I163" s="118"/>
      <c r="J163" s="117"/>
      <c r="K163" s="116">
        <v>0</v>
      </c>
      <c r="L163" s="118"/>
      <c r="M163" s="118"/>
      <c r="N163" s="118"/>
      <c r="O163" s="117"/>
      <c r="P163" s="119">
        <v>0</v>
      </c>
      <c r="Q163" s="119"/>
      <c r="R163" s="119"/>
      <c r="S163" s="119"/>
      <c r="T163" s="119"/>
    </row>
    <row r="164" spans="1:20" x14ac:dyDescent="0.25">
      <c r="A164" s="22" t="s">
        <v>14</v>
      </c>
      <c r="B164" s="103"/>
      <c r="C164" s="103"/>
      <c r="D164" s="103"/>
      <c r="E164" s="103"/>
      <c r="F164" s="103">
        <f>5.44 + 3.82 + 3.94 + 5.1 + 1.96 + 3.84 + 7.96 + 3.86 + 8.98 + 1.76 + 3.48 + 5.44 + 7.56 + 0.9</f>
        <v>64.039999999999992</v>
      </c>
      <c r="G164" s="103"/>
      <c r="H164" s="103"/>
      <c r="I164" s="103"/>
      <c r="J164" s="103"/>
      <c r="K164" s="103">
        <f>4.72 + 4.84 + 8.26 + 3.54 + 7.36 + 1.82 + 7.38 + 4.46 + 2.72 + 7.92 + 5.46 + 5.4</f>
        <v>63.88</v>
      </c>
      <c r="L164" s="103"/>
      <c r="M164" s="103"/>
      <c r="N164" s="103"/>
      <c r="O164" s="103"/>
      <c r="P164" s="104">
        <f>2.36 + 1.6 + 2.36 + 1.28 + 4.52 + 6.12 + 0.64 + 0.56 + 6.04 + 1.82 + 4.26 + 0.92 + 7.32 + 4.58 + 4.3</f>
        <v>48.68</v>
      </c>
      <c r="Q164" s="104"/>
      <c r="R164" s="104"/>
      <c r="S164" s="104"/>
      <c r="T164" s="104"/>
    </row>
    <row r="165" spans="1:20" x14ac:dyDescent="0.25">
      <c r="A165" s="105">
        <v>45168</v>
      </c>
      <c r="B165" s="106" t="s">
        <v>53</v>
      </c>
      <c r="C165" s="106"/>
      <c r="D165" s="107">
        <v>3.14</v>
      </c>
      <c r="E165" s="108"/>
      <c r="F165" s="107"/>
      <c r="G165" s="113"/>
      <c r="H165" s="113"/>
      <c r="I165" s="113"/>
      <c r="J165" s="108"/>
      <c r="K165" s="107" t="s">
        <v>54</v>
      </c>
      <c r="L165" s="113"/>
      <c r="M165" s="113"/>
      <c r="N165" s="113"/>
      <c r="O165" s="108"/>
      <c r="P165" s="106" t="s">
        <v>55</v>
      </c>
      <c r="Q165" s="106"/>
      <c r="R165" s="106"/>
      <c r="S165" s="106"/>
      <c r="T165" s="106"/>
    </row>
    <row r="166" spans="1:20" x14ac:dyDescent="0.25">
      <c r="A166" s="105"/>
      <c r="B166" s="106"/>
      <c r="C166" s="106"/>
      <c r="D166" s="109"/>
      <c r="E166" s="110"/>
      <c r="F166" s="109"/>
      <c r="G166" s="114"/>
      <c r="H166" s="114"/>
      <c r="I166" s="114"/>
      <c r="J166" s="110"/>
      <c r="K166" s="109"/>
      <c r="L166" s="114"/>
      <c r="M166" s="114"/>
      <c r="N166" s="114"/>
      <c r="O166" s="110"/>
      <c r="P166" s="106"/>
      <c r="Q166" s="106"/>
      <c r="R166" s="106"/>
      <c r="S166" s="106"/>
      <c r="T166" s="106"/>
    </row>
    <row r="167" spans="1:20" x14ac:dyDescent="0.25">
      <c r="A167" s="105"/>
      <c r="B167" s="106"/>
      <c r="C167" s="106"/>
      <c r="D167" s="109"/>
      <c r="E167" s="110"/>
      <c r="F167" s="109"/>
      <c r="G167" s="114"/>
      <c r="H167" s="114"/>
      <c r="I167" s="114"/>
      <c r="J167" s="110"/>
      <c r="K167" s="109"/>
      <c r="L167" s="114"/>
      <c r="M167" s="114"/>
      <c r="N167" s="114"/>
      <c r="O167" s="110"/>
      <c r="P167" s="106"/>
      <c r="Q167" s="106"/>
      <c r="R167" s="106"/>
      <c r="S167" s="106"/>
      <c r="T167" s="106"/>
    </row>
    <row r="168" spans="1:20" x14ac:dyDescent="0.25">
      <c r="A168" s="105"/>
      <c r="B168" s="106"/>
      <c r="C168" s="106"/>
      <c r="D168" s="109"/>
      <c r="E168" s="110"/>
      <c r="F168" s="109"/>
      <c r="G168" s="114"/>
      <c r="H168" s="114"/>
      <c r="I168" s="114"/>
      <c r="J168" s="110"/>
      <c r="K168" s="109"/>
      <c r="L168" s="114"/>
      <c r="M168" s="114"/>
      <c r="N168" s="114"/>
      <c r="O168" s="110"/>
      <c r="P168" s="106"/>
      <c r="Q168" s="106"/>
      <c r="R168" s="106"/>
      <c r="S168" s="106"/>
      <c r="T168" s="106"/>
    </row>
    <row r="169" spans="1:20" x14ac:dyDescent="0.25">
      <c r="A169" s="105"/>
      <c r="B169" s="106"/>
      <c r="C169" s="106"/>
      <c r="D169" s="109"/>
      <c r="E169" s="110"/>
      <c r="F169" s="109"/>
      <c r="G169" s="114"/>
      <c r="H169" s="114"/>
      <c r="I169" s="114"/>
      <c r="J169" s="110"/>
      <c r="K169" s="109"/>
      <c r="L169" s="114"/>
      <c r="M169" s="114"/>
      <c r="N169" s="114"/>
      <c r="O169" s="110"/>
      <c r="P169" s="106"/>
      <c r="Q169" s="106"/>
      <c r="R169" s="106"/>
      <c r="S169" s="106"/>
      <c r="T169" s="106"/>
    </row>
    <row r="170" spans="1:20" x14ac:dyDescent="0.25">
      <c r="A170" s="105"/>
      <c r="B170" s="106"/>
      <c r="C170" s="106"/>
      <c r="D170" s="111"/>
      <c r="E170" s="112"/>
      <c r="F170" s="111"/>
      <c r="G170" s="115"/>
      <c r="H170" s="115"/>
      <c r="I170" s="115"/>
      <c r="J170" s="112"/>
      <c r="K170" s="111"/>
      <c r="L170" s="115"/>
      <c r="M170" s="115"/>
      <c r="N170" s="115"/>
      <c r="O170" s="112"/>
      <c r="P170" s="106"/>
      <c r="Q170" s="106"/>
      <c r="R170" s="106"/>
      <c r="S170" s="106"/>
      <c r="T170" s="106"/>
    </row>
    <row r="171" spans="1:20" x14ac:dyDescent="0.25">
      <c r="A171" s="6" t="s">
        <v>22</v>
      </c>
      <c r="B171" s="116">
        <v>0</v>
      </c>
      <c r="C171" s="117"/>
      <c r="D171" s="116">
        <v>0</v>
      </c>
      <c r="E171" s="117"/>
      <c r="F171" s="116"/>
      <c r="G171" s="118"/>
      <c r="H171" s="118"/>
      <c r="I171" s="118"/>
      <c r="J171" s="117"/>
      <c r="K171" s="116">
        <v>0</v>
      </c>
      <c r="L171" s="118"/>
      <c r="M171" s="118"/>
      <c r="N171" s="118"/>
      <c r="O171" s="117"/>
      <c r="P171" s="119">
        <v>0</v>
      </c>
      <c r="Q171" s="119"/>
      <c r="R171" s="119"/>
      <c r="S171" s="119"/>
      <c r="T171" s="119"/>
    </row>
    <row r="172" spans="1:20" x14ac:dyDescent="0.25">
      <c r="A172" s="23" t="s">
        <v>14</v>
      </c>
      <c r="B172" s="103">
        <f>5.4 + 7.04 + 7.82 + 2.78 + 7.72</f>
        <v>30.76</v>
      </c>
      <c r="C172" s="103"/>
      <c r="D172" s="103">
        <f>3.14</f>
        <v>3.14</v>
      </c>
      <c r="E172" s="103"/>
      <c r="F172" s="103"/>
      <c r="G172" s="103"/>
      <c r="H172" s="103"/>
      <c r="I172" s="103"/>
      <c r="J172" s="103"/>
      <c r="K172" s="103">
        <f>6.54 + 2</f>
        <v>8.5399999999999991</v>
      </c>
      <c r="L172" s="103"/>
      <c r="M172" s="103"/>
      <c r="N172" s="103"/>
      <c r="O172" s="103"/>
      <c r="P172" s="104">
        <f>3.94 + 5.84 + 5.2 + 5.72 + 6.02 + 5.78 + 5.98 + 3.24 + 3.12 + 5.7 + 9.86 + 3.44 + 8.72 + 3.9 + 5.86 + 3.94 + 4.7</f>
        <v>90.960000000000008</v>
      </c>
      <c r="Q172" s="104"/>
      <c r="R172" s="104"/>
      <c r="S172" s="104"/>
      <c r="T172" s="104"/>
    </row>
    <row r="173" spans="1:20" x14ac:dyDescent="0.25">
      <c r="A173" s="105">
        <v>45169</v>
      </c>
      <c r="B173" s="106"/>
      <c r="C173" s="106"/>
      <c r="D173" s="107"/>
      <c r="E173" s="108"/>
      <c r="F173" s="107"/>
      <c r="G173" s="113"/>
      <c r="H173" s="113"/>
      <c r="I173" s="113"/>
      <c r="J173" s="108"/>
      <c r="K173" s="107"/>
      <c r="L173" s="113"/>
      <c r="M173" s="113"/>
      <c r="N173" s="113"/>
      <c r="O173" s="108"/>
      <c r="P173" s="106" t="s">
        <v>56</v>
      </c>
      <c r="Q173" s="106"/>
      <c r="R173" s="106"/>
      <c r="S173" s="106"/>
      <c r="T173" s="106"/>
    </row>
    <row r="174" spans="1:20" x14ac:dyDescent="0.25">
      <c r="A174" s="105"/>
      <c r="B174" s="106"/>
      <c r="C174" s="106"/>
      <c r="D174" s="109"/>
      <c r="E174" s="110"/>
      <c r="F174" s="109"/>
      <c r="G174" s="114"/>
      <c r="H174" s="114"/>
      <c r="I174" s="114"/>
      <c r="J174" s="110"/>
      <c r="K174" s="109"/>
      <c r="L174" s="114"/>
      <c r="M174" s="114"/>
      <c r="N174" s="114"/>
      <c r="O174" s="110"/>
      <c r="P174" s="106"/>
      <c r="Q174" s="106"/>
      <c r="R174" s="106"/>
      <c r="S174" s="106"/>
      <c r="T174" s="106"/>
    </row>
    <row r="175" spans="1:20" x14ac:dyDescent="0.25">
      <c r="A175" s="105"/>
      <c r="B175" s="106"/>
      <c r="C175" s="106"/>
      <c r="D175" s="109"/>
      <c r="E175" s="110"/>
      <c r="F175" s="109"/>
      <c r="G175" s="114"/>
      <c r="H175" s="114"/>
      <c r="I175" s="114"/>
      <c r="J175" s="110"/>
      <c r="K175" s="109"/>
      <c r="L175" s="114"/>
      <c r="M175" s="114"/>
      <c r="N175" s="114"/>
      <c r="O175" s="110"/>
      <c r="P175" s="106"/>
      <c r="Q175" s="106"/>
      <c r="R175" s="106"/>
      <c r="S175" s="106"/>
      <c r="T175" s="106"/>
    </row>
    <row r="176" spans="1:20" x14ac:dyDescent="0.25">
      <c r="A176" s="105"/>
      <c r="B176" s="106"/>
      <c r="C176" s="106"/>
      <c r="D176" s="109"/>
      <c r="E176" s="110"/>
      <c r="F176" s="109"/>
      <c r="G176" s="114"/>
      <c r="H176" s="114"/>
      <c r="I176" s="114"/>
      <c r="J176" s="110"/>
      <c r="K176" s="109"/>
      <c r="L176" s="114"/>
      <c r="M176" s="114"/>
      <c r="N176" s="114"/>
      <c r="O176" s="110"/>
      <c r="P176" s="106"/>
      <c r="Q176" s="106"/>
      <c r="R176" s="106"/>
      <c r="S176" s="106"/>
      <c r="T176" s="106"/>
    </row>
    <row r="177" spans="1:20" x14ac:dyDescent="0.25">
      <c r="A177" s="105"/>
      <c r="B177" s="106"/>
      <c r="C177" s="106"/>
      <c r="D177" s="109"/>
      <c r="E177" s="110"/>
      <c r="F177" s="109"/>
      <c r="G177" s="114"/>
      <c r="H177" s="114"/>
      <c r="I177" s="114"/>
      <c r="J177" s="110"/>
      <c r="K177" s="109"/>
      <c r="L177" s="114"/>
      <c r="M177" s="114"/>
      <c r="N177" s="114"/>
      <c r="O177" s="110"/>
      <c r="P177" s="106"/>
      <c r="Q177" s="106"/>
      <c r="R177" s="106"/>
      <c r="S177" s="106"/>
      <c r="T177" s="106"/>
    </row>
    <row r="178" spans="1:20" x14ac:dyDescent="0.25">
      <c r="A178" s="105"/>
      <c r="B178" s="106"/>
      <c r="C178" s="106"/>
      <c r="D178" s="111"/>
      <c r="E178" s="112"/>
      <c r="F178" s="111"/>
      <c r="G178" s="115"/>
      <c r="H178" s="115"/>
      <c r="I178" s="115"/>
      <c r="J178" s="112"/>
      <c r="K178" s="111"/>
      <c r="L178" s="115"/>
      <c r="M178" s="115"/>
      <c r="N178" s="115"/>
      <c r="O178" s="112"/>
      <c r="P178" s="106"/>
      <c r="Q178" s="106"/>
      <c r="R178" s="106"/>
      <c r="S178" s="106"/>
      <c r="T178" s="106"/>
    </row>
    <row r="179" spans="1:20" x14ac:dyDescent="0.25">
      <c r="A179" s="6" t="s">
        <v>22</v>
      </c>
      <c r="B179" s="116"/>
      <c r="C179" s="117"/>
      <c r="D179" s="116"/>
      <c r="E179" s="117"/>
      <c r="F179" s="116"/>
      <c r="G179" s="118"/>
      <c r="H179" s="118"/>
      <c r="I179" s="118"/>
      <c r="J179" s="117"/>
      <c r="K179" s="116"/>
      <c r="L179" s="118"/>
      <c r="M179" s="118"/>
      <c r="N179" s="118"/>
      <c r="O179" s="117"/>
      <c r="P179" s="119">
        <v>0</v>
      </c>
      <c r="Q179" s="119"/>
      <c r="R179" s="119"/>
      <c r="S179" s="119"/>
      <c r="T179" s="119"/>
    </row>
    <row r="180" spans="1:20" x14ac:dyDescent="0.25">
      <c r="A180" s="23" t="s">
        <v>14</v>
      </c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4">
        <f>1.68 + 1.74 + 3.2 + 1.98 + 2.22 + 2.98 + 3.16 + 2.56 + 3.52 + 4.4 + 4.1 + 6.76 + 6.8 + 2.68 + 6.16 + 4.48 + 4.06 + 6.26 + 6 + 5.66 + 0.74 + 8.66</f>
        <v>89.8</v>
      </c>
      <c r="Q180" s="104"/>
      <c r="R180" s="104"/>
      <c r="S180" s="104"/>
      <c r="T180" s="104"/>
    </row>
  </sheetData>
  <autoFilter ref="A7:C12"/>
  <mergeCells count="307">
    <mergeCell ref="B179:C179"/>
    <mergeCell ref="D179:E179"/>
    <mergeCell ref="F179:J179"/>
    <mergeCell ref="K179:O179"/>
    <mergeCell ref="P179:T179"/>
    <mergeCell ref="B180:C180"/>
    <mergeCell ref="D180:E180"/>
    <mergeCell ref="F180:J180"/>
    <mergeCell ref="K180:O180"/>
    <mergeCell ref="P180:T180"/>
    <mergeCell ref="B172:C172"/>
    <mergeCell ref="D172:E172"/>
    <mergeCell ref="F172:J172"/>
    <mergeCell ref="K172:O172"/>
    <mergeCell ref="P172:T172"/>
    <mergeCell ref="A173:A178"/>
    <mergeCell ref="B173:C178"/>
    <mergeCell ref="D173:E178"/>
    <mergeCell ref="F173:J178"/>
    <mergeCell ref="K173:O178"/>
    <mergeCell ref="P173:T178"/>
    <mergeCell ref="A165:A170"/>
    <mergeCell ref="B165:C170"/>
    <mergeCell ref="D165:E170"/>
    <mergeCell ref="F165:J170"/>
    <mergeCell ref="K165:O170"/>
    <mergeCell ref="P165:T170"/>
    <mergeCell ref="B171:C171"/>
    <mergeCell ref="D171:E171"/>
    <mergeCell ref="F171:J171"/>
    <mergeCell ref="K171:O171"/>
    <mergeCell ref="P171:T171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AL7:AL8"/>
    <mergeCell ref="A1:AL6"/>
    <mergeCell ref="B31:C31"/>
    <mergeCell ref="D31:E31"/>
    <mergeCell ref="F31:J31"/>
    <mergeCell ref="K31:O31"/>
    <mergeCell ref="AK7:AK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16:B16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64:C164"/>
    <mergeCell ref="D164:E164"/>
    <mergeCell ref="F164:J164"/>
    <mergeCell ref="K164:O164"/>
    <mergeCell ref="P164:T164"/>
    <mergeCell ref="A157:A162"/>
    <mergeCell ref="B157:C162"/>
    <mergeCell ref="D157:E162"/>
    <mergeCell ref="F157:J162"/>
    <mergeCell ref="K157:O162"/>
    <mergeCell ref="P157:T162"/>
    <mergeCell ref="B163:C163"/>
    <mergeCell ref="D163:E163"/>
    <mergeCell ref="F163:J163"/>
    <mergeCell ref="K163:O163"/>
    <mergeCell ref="P163:T16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5" zoomScaleNormal="85" workbookViewId="0">
      <pane xSplit="6" ySplit="8" topLeftCell="Y9" activePane="bottomRight" state="frozen"/>
      <selection pane="topRight" activeCell="G1" sqref="G1"/>
      <selection pane="bottomLeft" activeCell="A9" sqref="A9"/>
      <selection pane="bottomRight" activeCell="AK17" sqref="AK17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28515625" customWidth="1"/>
    <col min="6" max="6" width="10" customWidth="1"/>
    <col min="7" max="35" width="8" bestFit="1" customWidth="1"/>
    <col min="36" max="36" width="8" customWidth="1"/>
    <col min="37" max="37" width="15.85546875" customWidth="1"/>
    <col min="38" max="38" width="11.42578125" customWidth="1"/>
  </cols>
  <sheetData>
    <row r="1" spans="1:38" ht="15" customHeight="1" x14ac:dyDescent="0.25">
      <c r="A1" s="140" t="s">
        <v>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36"/>
    </row>
    <row r="2" spans="1:38" ht="15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36"/>
    </row>
    <row r="3" spans="1:38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36"/>
    </row>
    <row r="4" spans="1:38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36"/>
    </row>
    <row r="5" spans="1:38" ht="15" customHeight="1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36"/>
    </row>
    <row r="6" spans="1:38" ht="15" customHeight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37"/>
    </row>
    <row r="7" spans="1:38" ht="15" customHeight="1" x14ac:dyDescent="0.25">
      <c r="A7" s="150" t="s">
        <v>0</v>
      </c>
      <c r="B7" s="145" t="s">
        <v>29</v>
      </c>
      <c r="C7" s="150" t="s">
        <v>28</v>
      </c>
      <c r="D7" s="150" t="s">
        <v>7</v>
      </c>
      <c r="E7" s="155" t="s">
        <v>103</v>
      </c>
      <c r="F7" s="156" t="s">
        <v>5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8"/>
      <c r="AK7" s="145" t="s">
        <v>8</v>
      </c>
      <c r="AL7" s="145" t="s">
        <v>25</v>
      </c>
    </row>
    <row r="8" spans="1:38" x14ac:dyDescent="0.25">
      <c r="A8" s="151"/>
      <c r="B8" s="146"/>
      <c r="C8" s="151"/>
      <c r="D8" s="151"/>
      <c r="E8" s="155"/>
      <c r="F8" s="25" t="s">
        <v>60</v>
      </c>
      <c r="G8" s="3">
        <v>45170</v>
      </c>
      <c r="H8" s="3">
        <v>45171</v>
      </c>
      <c r="I8" s="3">
        <v>45172</v>
      </c>
      <c r="J8" s="3">
        <v>45173</v>
      </c>
      <c r="K8" s="3">
        <v>45174</v>
      </c>
      <c r="L8" s="3">
        <v>45175</v>
      </c>
      <c r="M8" s="3">
        <v>45176</v>
      </c>
      <c r="N8" s="3">
        <v>45177</v>
      </c>
      <c r="O8" s="3">
        <v>45178</v>
      </c>
      <c r="P8" s="3">
        <v>45179</v>
      </c>
      <c r="Q8" s="3">
        <v>45180</v>
      </c>
      <c r="R8" s="3">
        <v>45181</v>
      </c>
      <c r="S8" s="3">
        <v>45182</v>
      </c>
      <c r="T8" s="3">
        <v>45183</v>
      </c>
      <c r="U8" s="3">
        <v>45184</v>
      </c>
      <c r="V8" s="3">
        <v>45185</v>
      </c>
      <c r="W8" s="3">
        <v>45186</v>
      </c>
      <c r="X8" s="3">
        <v>45187</v>
      </c>
      <c r="Y8" s="3">
        <v>45188</v>
      </c>
      <c r="Z8" s="3">
        <v>45189</v>
      </c>
      <c r="AA8" s="3">
        <v>45190</v>
      </c>
      <c r="AB8" s="3">
        <v>45191</v>
      </c>
      <c r="AC8" s="3">
        <v>45192</v>
      </c>
      <c r="AD8" s="3">
        <v>45193</v>
      </c>
      <c r="AE8" s="3">
        <v>45194</v>
      </c>
      <c r="AF8" s="3">
        <v>45195</v>
      </c>
      <c r="AG8" s="3">
        <v>45196</v>
      </c>
      <c r="AH8" s="3">
        <v>45197</v>
      </c>
      <c r="AI8" s="3">
        <v>45198</v>
      </c>
      <c r="AJ8" s="3">
        <v>45199</v>
      </c>
      <c r="AK8" s="146"/>
      <c r="AL8" s="146"/>
    </row>
    <row r="9" spans="1:38" x14ac:dyDescent="0.25">
      <c r="A9" s="28" t="s">
        <v>42</v>
      </c>
      <c r="B9" s="2" t="s">
        <v>3</v>
      </c>
      <c r="C9" s="2">
        <v>20230727005</v>
      </c>
      <c r="D9" s="7">
        <v>900</v>
      </c>
      <c r="E9" s="7">
        <v>902.7</v>
      </c>
      <c r="F9" s="35">
        <f>IFERROR(IF(SUMIF('08'!$C$9:$C$1000,'09'!C9,'08'!$AK$9:$AK$1000)&lt;0,0,SUMIF('08'!$C$9:$C$1000,'09'!C9,'08'!$AK$9:$AK$1000)),0)</f>
        <v>883.15999999999985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 t="shared" ref="AK9:AK10" si="0">SUM(F9:AJ9)</f>
        <v>883.15999999999985</v>
      </c>
      <c r="AL9" s="14">
        <f>SUM(AK9-D9)</f>
        <v>-16.840000000000146</v>
      </c>
    </row>
    <row r="10" spans="1:38" s="19" customFormat="1" x14ac:dyDescent="0.25">
      <c r="A10" s="29" t="s">
        <v>40</v>
      </c>
      <c r="B10" s="2" t="s">
        <v>24</v>
      </c>
      <c r="C10" s="8">
        <v>20230809001</v>
      </c>
      <c r="D10" s="17">
        <v>500</v>
      </c>
      <c r="E10" s="7">
        <v>502</v>
      </c>
      <c r="F10" s="35">
        <f>IFERROR(IF(SUMIF('08'!$C$9:$C$1000,'09'!C10,'08'!$AK$9:$AK$1000)&lt;0,0,SUMIF('08'!$C$9:$C$1000,'09'!C10,'08'!$AK$9:$AK$1000)),0)</f>
        <v>452.05</v>
      </c>
      <c r="G10" s="2">
        <f>Q37</f>
        <v>62.4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7">
        <f t="shared" si="0"/>
        <v>514.45000000000005</v>
      </c>
      <c r="AL10" s="17">
        <f>SUM(AK10-D10)</f>
        <v>14.450000000000045</v>
      </c>
    </row>
    <row r="11" spans="1:38" x14ac:dyDescent="0.25">
      <c r="AK11" s="30"/>
    </row>
    <row r="12" spans="1:38" ht="15" customHeight="1" x14ac:dyDescent="0.25">
      <c r="A12" s="150" t="s">
        <v>0</v>
      </c>
      <c r="B12" s="145" t="s">
        <v>29</v>
      </c>
      <c r="C12" s="150" t="s">
        <v>28</v>
      </c>
      <c r="D12" s="150" t="s">
        <v>7</v>
      </c>
      <c r="E12" s="155" t="s">
        <v>103</v>
      </c>
      <c r="F12" s="147" t="s">
        <v>5</v>
      </c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9"/>
      <c r="AK12" s="145" t="s">
        <v>8</v>
      </c>
      <c r="AL12" s="145" t="s">
        <v>25</v>
      </c>
    </row>
    <row r="13" spans="1:38" ht="15" customHeight="1" x14ac:dyDescent="0.25">
      <c r="A13" s="151"/>
      <c r="B13" s="146"/>
      <c r="C13" s="151"/>
      <c r="D13" s="151"/>
      <c r="E13" s="155"/>
      <c r="F13" s="33" t="s">
        <v>60</v>
      </c>
      <c r="G13" s="3">
        <v>45170</v>
      </c>
      <c r="H13" s="3">
        <v>45171</v>
      </c>
      <c r="I13" s="3">
        <v>45172</v>
      </c>
      <c r="J13" s="3">
        <v>45173</v>
      </c>
      <c r="K13" s="3">
        <v>45174</v>
      </c>
      <c r="L13" s="3">
        <v>45175</v>
      </c>
      <c r="M13" s="3">
        <v>45176</v>
      </c>
      <c r="N13" s="3">
        <v>45177</v>
      </c>
      <c r="O13" s="3">
        <v>45178</v>
      </c>
      <c r="P13" s="3">
        <v>45179</v>
      </c>
      <c r="Q13" s="3">
        <v>45180</v>
      </c>
      <c r="R13" s="3">
        <v>45181</v>
      </c>
      <c r="S13" s="3">
        <v>45182</v>
      </c>
      <c r="T13" s="3">
        <v>45183</v>
      </c>
      <c r="U13" s="3">
        <v>45184</v>
      </c>
      <c r="V13" s="3">
        <v>45185</v>
      </c>
      <c r="W13" s="3">
        <v>45186</v>
      </c>
      <c r="X13" s="3">
        <v>45187</v>
      </c>
      <c r="Y13" s="3">
        <v>45188</v>
      </c>
      <c r="Z13" s="3">
        <v>45189</v>
      </c>
      <c r="AA13" s="3">
        <v>45190</v>
      </c>
      <c r="AB13" s="3">
        <v>45191</v>
      </c>
      <c r="AC13" s="3">
        <v>45192</v>
      </c>
      <c r="AD13" s="3">
        <v>45193</v>
      </c>
      <c r="AE13" s="3">
        <v>45194</v>
      </c>
      <c r="AF13" s="3">
        <v>45195</v>
      </c>
      <c r="AG13" s="3">
        <v>45196</v>
      </c>
      <c r="AH13" s="3">
        <v>45197</v>
      </c>
      <c r="AI13" s="3">
        <v>45198</v>
      </c>
      <c r="AJ13" s="3">
        <v>45199</v>
      </c>
      <c r="AK13" s="146"/>
      <c r="AL13" s="146"/>
    </row>
    <row r="14" spans="1:38" x14ac:dyDescent="0.25">
      <c r="A14" s="34">
        <v>0.127</v>
      </c>
      <c r="B14" s="32" t="s">
        <v>2</v>
      </c>
      <c r="C14" s="1">
        <v>20230926003</v>
      </c>
      <c r="D14" s="35">
        <v>500</v>
      </c>
      <c r="E14" s="7">
        <v>501.75</v>
      </c>
      <c r="F14" s="35">
        <f>'08'!AL9</f>
        <v>18.329999999999927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7">
        <f t="shared" ref="AK14:AK18" si="1">SUM(F14:AJ14)</f>
        <v>18.329999999999927</v>
      </c>
      <c r="AL14" s="14">
        <f>SUM(AK14-D14)</f>
        <v>-481.67000000000007</v>
      </c>
    </row>
    <row r="15" spans="1:38" x14ac:dyDescent="0.25">
      <c r="A15" s="34">
        <v>0.12</v>
      </c>
      <c r="B15" s="32" t="s">
        <v>9</v>
      </c>
      <c r="C15" s="2">
        <v>20230926002</v>
      </c>
      <c r="D15" s="14">
        <v>600</v>
      </c>
      <c r="E15" s="7">
        <v>602.1</v>
      </c>
      <c r="F15" s="35">
        <f>'08'!AL10</f>
        <v>42.170000000000073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7">
        <f t="shared" si="1"/>
        <v>42.170000000000073</v>
      </c>
      <c r="AL15" s="14">
        <f t="shared" ref="AL15:AL18" si="2">SUM(AK15-D15)</f>
        <v>-557.82999999999993</v>
      </c>
    </row>
    <row r="16" spans="1:38" x14ac:dyDescent="0.25">
      <c r="A16" s="34">
        <v>0.2</v>
      </c>
      <c r="B16" s="32" t="s">
        <v>3</v>
      </c>
      <c r="C16" s="2">
        <v>20230926004</v>
      </c>
      <c r="D16" s="14">
        <v>800</v>
      </c>
      <c r="E16" s="7">
        <v>802.4</v>
      </c>
      <c r="F16" s="35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7">
        <f t="shared" si="1"/>
        <v>0</v>
      </c>
      <c r="AL16" s="14">
        <f t="shared" si="2"/>
        <v>-800</v>
      </c>
    </row>
    <row r="17" spans="1:38" x14ac:dyDescent="0.25">
      <c r="A17" s="34">
        <v>0.16</v>
      </c>
      <c r="B17" s="32" t="s">
        <v>4</v>
      </c>
      <c r="C17" s="2">
        <v>20230926001</v>
      </c>
      <c r="D17" s="14">
        <v>300</v>
      </c>
      <c r="E17" s="7">
        <v>300.89999999999998</v>
      </c>
      <c r="F17" s="35">
        <f>'08'!AL12</f>
        <v>287.41999999999996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7">
        <f t="shared" si="1"/>
        <v>287.41999999999996</v>
      </c>
      <c r="AL17" s="14">
        <f t="shared" si="2"/>
        <v>-12.580000000000041</v>
      </c>
    </row>
    <row r="18" spans="1:38" s="19" customFormat="1" x14ac:dyDescent="0.25">
      <c r="A18" s="27">
        <v>0.08</v>
      </c>
      <c r="B18" s="32" t="s">
        <v>24</v>
      </c>
      <c r="C18" s="2">
        <v>20230926005</v>
      </c>
      <c r="D18" s="14">
        <v>1600</v>
      </c>
      <c r="E18" s="7">
        <v>1606.4</v>
      </c>
      <c r="F18" s="35">
        <f t="shared" ref="F18" si="3">AL10</f>
        <v>14.450000000000045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7">
        <f t="shared" si="1"/>
        <v>14.450000000000045</v>
      </c>
      <c r="AL18" s="14">
        <f t="shared" si="2"/>
        <v>-1585.55</v>
      </c>
    </row>
    <row r="20" spans="1:38" x14ac:dyDescent="0.25">
      <c r="A20" s="154" t="s">
        <v>101</v>
      </c>
      <c r="B20" s="154"/>
      <c r="C20" s="53">
        <f>SUM(G9:AJ10,G14:AJ18)</f>
        <v>62.4</v>
      </c>
      <c r="D20" s="53" t="s">
        <v>102</v>
      </c>
    </row>
    <row r="21" spans="1:38" x14ac:dyDescent="0.25">
      <c r="A21" s="54"/>
      <c r="B21" s="54"/>
    </row>
    <row r="22" spans="1:38" ht="15" customHeight="1" x14ac:dyDescent="0.25">
      <c r="A22" s="152" t="s">
        <v>10</v>
      </c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</row>
    <row r="23" spans="1:38" ht="15" customHeight="1" x14ac:dyDescent="0.25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</row>
    <row r="24" spans="1:38" ht="15" customHeight="1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</row>
    <row r="25" spans="1:38" x14ac:dyDescent="0.25">
      <c r="A25" s="130" t="s">
        <v>11</v>
      </c>
      <c r="B25" s="130" t="s">
        <v>0</v>
      </c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</row>
    <row r="26" spans="1:38" x14ac:dyDescent="0.25">
      <c r="A26" s="130"/>
      <c r="B26" s="159" t="s">
        <v>1</v>
      </c>
      <c r="C26" s="159"/>
      <c r="D26" s="159" t="s">
        <v>43</v>
      </c>
      <c r="E26" s="159"/>
      <c r="F26" s="159"/>
      <c r="G26" s="159" t="s">
        <v>42</v>
      </c>
      <c r="H26" s="159"/>
      <c r="I26" s="159"/>
      <c r="J26" s="159"/>
      <c r="K26" s="159"/>
      <c r="L26" s="159" t="s">
        <v>41</v>
      </c>
      <c r="M26" s="159"/>
      <c r="N26" s="159"/>
      <c r="O26" s="159"/>
      <c r="P26" s="159"/>
      <c r="Q26" s="131" t="s">
        <v>40</v>
      </c>
      <c r="R26" s="131"/>
      <c r="S26" s="131"/>
      <c r="T26" s="131"/>
      <c r="U26" s="131"/>
    </row>
    <row r="27" spans="1:38" x14ac:dyDescent="0.25">
      <c r="A27" s="130"/>
      <c r="B27" s="130" t="s">
        <v>12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</row>
    <row r="28" spans="1:38" ht="15" customHeight="1" x14ac:dyDescent="0.25">
      <c r="A28" s="105">
        <v>45170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 t="s">
        <v>59</v>
      </c>
      <c r="R28" s="106"/>
      <c r="S28" s="106"/>
      <c r="T28" s="106"/>
      <c r="U28" s="106"/>
    </row>
    <row r="29" spans="1:38" x14ac:dyDescent="0.25">
      <c r="A29" s="105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</row>
    <row r="30" spans="1:38" x14ac:dyDescent="0.25">
      <c r="A30" s="105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</row>
    <row r="31" spans="1:38" x14ac:dyDescent="0.25">
      <c r="A31" s="105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</row>
    <row r="32" spans="1:38" x14ac:dyDescent="0.2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</row>
    <row r="33" spans="1:21" x14ac:dyDescent="0.25">
      <c r="A33" s="105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</row>
    <row r="34" spans="1:21" x14ac:dyDescent="0.2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</row>
    <row r="35" spans="1:21" x14ac:dyDescent="0.2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</row>
    <row r="36" spans="1:21" x14ac:dyDescent="0.25">
      <c r="A36" s="5" t="s">
        <v>22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19"/>
      <c r="R36" s="119"/>
      <c r="S36" s="119"/>
      <c r="T36" s="119"/>
      <c r="U36" s="119"/>
    </row>
    <row r="37" spans="1:21" x14ac:dyDescent="0.25">
      <c r="A37" s="31" t="s">
        <v>14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04">
        <f>1.24 + 2.1 + 4.32 + 4.18 + 6.64 + 6.1 + 5.82 + 7.66 + 8.94 + 2.9 + 2.7 + 5.54 + 4.26</f>
        <v>62.4</v>
      </c>
      <c r="R37" s="104"/>
      <c r="S37" s="104"/>
      <c r="T37" s="104"/>
      <c r="U37" s="104"/>
    </row>
  </sheetData>
  <mergeCells count="43">
    <mergeCell ref="B36:C36"/>
    <mergeCell ref="B37:C37"/>
    <mergeCell ref="A22:T24"/>
    <mergeCell ref="A25:A27"/>
    <mergeCell ref="B26:C26"/>
    <mergeCell ref="A28:A35"/>
    <mergeCell ref="B28:C35"/>
    <mergeCell ref="D26:F26"/>
    <mergeCell ref="D28:F35"/>
    <mergeCell ref="D36:F36"/>
    <mergeCell ref="D37:F37"/>
    <mergeCell ref="Q28:U35"/>
    <mergeCell ref="Q36:U36"/>
    <mergeCell ref="Q37:U37"/>
    <mergeCell ref="G36:K36"/>
    <mergeCell ref="G37:K37"/>
    <mergeCell ref="L26:P26"/>
    <mergeCell ref="L28:P35"/>
    <mergeCell ref="L36:P36"/>
    <mergeCell ref="L37:P37"/>
    <mergeCell ref="G26:K26"/>
    <mergeCell ref="G28:K35"/>
    <mergeCell ref="AL7:AL8"/>
    <mergeCell ref="AL12:AL13"/>
    <mergeCell ref="B25:U25"/>
    <mergeCell ref="B27:U27"/>
    <mergeCell ref="A1:AK6"/>
    <mergeCell ref="Q26:U26"/>
    <mergeCell ref="A12:A13"/>
    <mergeCell ref="B12:B13"/>
    <mergeCell ref="C12:C13"/>
    <mergeCell ref="A7:A8"/>
    <mergeCell ref="B7:B8"/>
    <mergeCell ref="C7:C8"/>
    <mergeCell ref="AK12:AK13"/>
    <mergeCell ref="D12:D13"/>
    <mergeCell ref="D7:D8"/>
    <mergeCell ref="A20:B20"/>
    <mergeCell ref="E12:E13"/>
    <mergeCell ref="E7:E8"/>
    <mergeCell ref="F12:AJ12"/>
    <mergeCell ref="F7:AJ7"/>
    <mergeCell ref="AK7:AK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zoomScale="85" zoomScaleNormal="85" workbookViewId="0">
      <pane xSplit="6" ySplit="8" topLeftCell="Y9" activePane="bottomRight" state="frozen"/>
      <selection pane="topRight" activeCell="G1" sqref="G1"/>
      <selection pane="bottomLeft" activeCell="A9" sqref="A9"/>
      <selection pane="bottomRight" activeCell="F13" sqref="F13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5" width="8" bestFit="1" customWidth="1"/>
    <col min="36" max="36" width="8" customWidth="1"/>
    <col min="37" max="37" width="15.42578125" customWidth="1"/>
    <col min="38" max="38" width="11.42578125" customWidth="1"/>
  </cols>
  <sheetData>
    <row r="1" spans="1:38" ht="15" customHeight="1" x14ac:dyDescent="0.25">
      <c r="A1" s="140" t="s">
        <v>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36"/>
    </row>
    <row r="2" spans="1:38" ht="15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36"/>
    </row>
    <row r="3" spans="1:38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36"/>
    </row>
    <row r="4" spans="1:38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36"/>
    </row>
    <row r="5" spans="1:38" ht="15" customHeight="1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36"/>
    </row>
    <row r="6" spans="1:38" ht="15" customHeight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37"/>
    </row>
    <row r="7" spans="1:38" ht="15" customHeight="1" x14ac:dyDescent="0.25">
      <c r="A7" s="150" t="s">
        <v>0</v>
      </c>
      <c r="B7" s="145" t="s">
        <v>29</v>
      </c>
      <c r="C7" s="150" t="s">
        <v>28</v>
      </c>
      <c r="D7" s="150" t="s">
        <v>7</v>
      </c>
      <c r="E7" s="155" t="s">
        <v>103</v>
      </c>
      <c r="F7" s="156" t="s">
        <v>5</v>
      </c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8"/>
      <c r="AK7" s="145" t="s">
        <v>8</v>
      </c>
      <c r="AL7" s="145" t="s">
        <v>25</v>
      </c>
    </row>
    <row r="8" spans="1:38" x14ac:dyDescent="0.25">
      <c r="A8" s="151"/>
      <c r="B8" s="146"/>
      <c r="C8" s="151"/>
      <c r="D8" s="151"/>
      <c r="E8" s="155"/>
      <c r="F8" s="25" t="s">
        <v>60</v>
      </c>
      <c r="G8" s="3">
        <v>45200</v>
      </c>
      <c r="H8" s="3">
        <v>45201</v>
      </c>
      <c r="I8" s="3">
        <v>45202</v>
      </c>
      <c r="J8" s="3">
        <v>45203</v>
      </c>
      <c r="K8" s="3">
        <v>45204</v>
      </c>
      <c r="L8" s="3">
        <v>45205</v>
      </c>
      <c r="M8" s="3">
        <v>45206</v>
      </c>
      <c r="N8" s="3">
        <v>45207</v>
      </c>
      <c r="O8" s="3">
        <v>45208</v>
      </c>
      <c r="P8" s="3">
        <v>45209</v>
      </c>
      <c r="Q8" s="3">
        <v>45210</v>
      </c>
      <c r="R8" s="3">
        <v>45211</v>
      </c>
      <c r="S8" s="3">
        <v>45212</v>
      </c>
      <c r="T8" s="3">
        <v>45213</v>
      </c>
      <c r="U8" s="3">
        <v>45214</v>
      </c>
      <c r="V8" s="3">
        <v>45215</v>
      </c>
      <c r="W8" s="3">
        <v>45216</v>
      </c>
      <c r="X8" s="3">
        <v>45217</v>
      </c>
      <c r="Y8" s="3">
        <v>45218</v>
      </c>
      <c r="Z8" s="3">
        <v>45219</v>
      </c>
      <c r="AA8" s="3">
        <v>45220</v>
      </c>
      <c r="AB8" s="3">
        <v>45221</v>
      </c>
      <c r="AC8" s="3">
        <v>45222</v>
      </c>
      <c r="AD8" s="3">
        <v>45223</v>
      </c>
      <c r="AE8" s="3">
        <v>45224</v>
      </c>
      <c r="AF8" s="3">
        <v>45225</v>
      </c>
      <c r="AG8" s="3">
        <v>45226</v>
      </c>
      <c r="AH8" s="3">
        <v>45227</v>
      </c>
      <c r="AI8" s="3">
        <v>45228</v>
      </c>
      <c r="AJ8" s="3">
        <v>45229</v>
      </c>
      <c r="AK8" s="146"/>
      <c r="AL8" s="146"/>
    </row>
    <row r="9" spans="1:38" x14ac:dyDescent="0.25">
      <c r="A9" s="28" t="s">
        <v>42</v>
      </c>
      <c r="B9" s="2" t="s">
        <v>3</v>
      </c>
      <c r="C9" s="2">
        <v>20230727005</v>
      </c>
      <c r="D9" s="17">
        <v>900</v>
      </c>
      <c r="E9" s="7">
        <v>902.7</v>
      </c>
      <c r="F9" s="35">
        <f>IFERROR(IF(SUMIF('09'!$C$9:$C$997,'10'!C9,'09'!$AK$9:$AK$997)&lt;0,0,SUMIF('09'!$C$9:$C$997,'10'!C9,'09'!$AK$9:$AK$997)),0)</f>
        <v>883.15999999999985</v>
      </c>
      <c r="G9" s="2"/>
      <c r="H9" s="2"/>
      <c r="I9" s="2"/>
      <c r="J9" s="2"/>
      <c r="K9" s="2"/>
      <c r="L9" s="2">
        <f>G69</f>
        <v>253.99999999999991</v>
      </c>
      <c r="M9" s="2"/>
      <c r="N9" s="2"/>
      <c r="O9" s="2"/>
      <c r="P9" s="2"/>
      <c r="Q9" s="2"/>
      <c r="R9" s="2"/>
      <c r="S9" s="1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>SUM(F9:AJ9)</f>
        <v>1137.1599999999999</v>
      </c>
      <c r="AL9" s="17">
        <f>SUM(AK9-D9)</f>
        <v>237.15999999999985</v>
      </c>
    </row>
    <row r="10" spans="1:38" x14ac:dyDescent="0.25">
      <c r="AK10" s="30"/>
    </row>
    <row r="11" spans="1:38" ht="15" customHeight="1" x14ac:dyDescent="0.25">
      <c r="A11" s="150" t="s">
        <v>0</v>
      </c>
      <c r="B11" s="145" t="s">
        <v>29</v>
      </c>
      <c r="C11" s="150" t="s">
        <v>28</v>
      </c>
      <c r="D11" s="150" t="s">
        <v>7</v>
      </c>
      <c r="E11" s="155" t="s">
        <v>103</v>
      </c>
      <c r="F11" s="147" t="s">
        <v>5</v>
      </c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9"/>
      <c r="AK11" s="145" t="s">
        <v>8</v>
      </c>
      <c r="AL11" s="145" t="s">
        <v>25</v>
      </c>
    </row>
    <row r="12" spans="1:38" x14ac:dyDescent="0.25">
      <c r="A12" s="151"/>
      <c r="B12" s="146"/>
      <c r="C12" s="151"/>
      <c r="D12" s="151"/>
      <c r="E12" s="155"/>
      <c r="F12" s="33" t="s">
        <v>60</v>
      </c>
      <c r="G12" s="3">
        <v>45200</v>
      </c>
      <c r="H12" s="3">
        <v>45201</v>
      </c>
      <c r="I12" s="3">
        <v>45202</v>
      </c>
      <c r="J12" s="3">
        <v>45203</v>
      </c>
      <c r="K12" s="3">
        <v>45204</v>
      </c>
      <c r="L12" s="3">
        <v>45205</v>
      </c>
      <c r="M12" s="3">
        <v>45206</v>
      </c>
      <c r="N12" s="3">
        <v>45207</v>
      </c>
      <c r="O12" s="3">
        <v>45208</v>
      </c>
      <c r="P12" s="3">
        <v>45209</v>
      </c>
      <c r="Q12" s="3">
        <v>45210</v>
      </c>
      <c r="R12" s="3">
        <v>45211</v>
      </c>
      <c r="S12" s="3">
        <v>45212</v>
      </c>
      <c r="T12" s="3">
        <v>45213</v>
      </c>
      <c r="U12" s="3">
        <v>45214</v>
      </c>
      <c r="V12" s="3">
        <v>45215</v>
      </c>
      <c r="W12" s="3">
        <v>45216</v>
      </c>
      <c r="X12" s="3">
        <v>45217</v>
      </c>
      <c r="Y12" s="3">
        <v>45218</v>
      </c>
      <c r="Z12" s="3">
        <v>45219</v>
      </c>
      <c r="AA12" s="3">
        <v>45220</v>
      </c>
      <c r="AB12" s="3">
        <v>45221</v>
      </c>
      <c r="AC12" s="3">
        <v>45222</v>
      </c>
      <c r="AD12" s="3">
        <v>45223</v>
      </c>
      <c r="AE12" s="3">
        <v>45224</v>
      </c>
      <c r="AF12" s="3">
        <v>45225</v>
      </c>
      <c r="AG12" s="3">
        <v>45226</v>
      </c>
      <c r="AH12" s="3">
        <v>45227</v>
      </c>
      <c r="AI12" s="3">
        <v>45228</v>
      </c>
      <c r="AJ12" s="3">
        <v>45229</v>
      </c>
      <c r="AK12" s="146"/>
      <c r="AL12" s="146"/>
    </row>
    <row r="13" spans="1:38" x14ac:dyDescent="0.25">
      <c r="A13" s="34" t="s">
        <v>1</v>
      </c>
      <c r="B13" s="39" t="s">
        <v>2</v>
      </c>
      <c r="C13" s="1">
        <v>20230926003</v>
      </c>
      <c r="D13" s="26">
        <v>500</v>
      </c>
      <c r="E13" s="7">
        <v>501.75</v>
      </c>
      <c r="F13" s="35">
        <f>IFERROR(IF(SUMIF('09'!$C$9:$C$997,'10'!C13,'09'!$AK$9:$AK$997)&lt;0,0,SUMIF('09'!$C$9:$C$997,'10'!C13,'09'!$AK$9:$AK$997)),0)</f>
        <v>18.329999999999927</v>
      </c>
      <c r="G13" s="2"/>
      <c r="H13" s="2"/>
      <c r="I13" s="2"/>
      <c r="J13" s="2"/>
      <c r="K13" s="2"/>
      <c r="L13" s="2"/>
      <c r="M13" s="2"/>
      <c r="N13" s="2"/>
      <c r="O13" s="2">
        <f>B89</f>
        <v>55.859999999999992</v>
      </c>
      <c r="P13" s="2">
        <f>B99</f>
        <v>154.96000000000004</v>
      </c>
      <c r="Q13" s="2">
        <f>B109</f>
        <v>78.56</v>
      </c>
      <c r="R13" s="2"/>
      <c r="S13" s="2"/>
      <c r="T13" s="2"/>
      <c r="U13" s="2"/>
      <c r="V13" s="2"/>
      <c r="W13" s="2"/>
      <c r="X13" s="2"/>
      <c r="Y13" s="2"/>
      <c r="Z13" s="2">
        <f>B159</f>
        <v>62.599999999999994</v>
      </c>
      <c r="AA13" s="2">
        <f>B169</f>
        <v>98.819999999999979</v>
      </c>
      <c r="AB13" s="2"/>
      <c r="AC13" s="2">
        <f>B179</f>
        <v>97.580000000000013</v>
      </c>
      <c r="AD13" s="2">
        <f>B191</f>
        <v>5.76</v>
      </c>
      <c r="AE13" s="2"/>
      <c r="AF13" s="2"/>
      <c r="AG13" s="2"/>
      <c r="AH13" s="2"/>
      <c r="AI13" s="2"/>
      <c r="AJ13" s="2"/>
      <c r="AK13" s="7">
        <f>SUM(F13:AJ13)</f>
        <v>572.46999999999991</v>
      </c>
      <c r="AL13" s="17">
        <f>SUM(AK13-D13)</f>
        <v>72.469999999999914</v>
      </c>
    </row>
    <row r="14" spans="1:38" x14ac:dyDescent="0.25">
      <c r="A14" s="34" t="s">
        <v>43</v>
      </c>
      <c r="B14" s="39" t="s">
        <v>9</v>
      </c>
      <c r="C14" s="2">
        <v>20230926002</v>
      </c>
      <c r="D14" s="14">
        <v>600</v>
      </c>
      <c r="E14" s="7">
        <v>602.1</v>
      </c>
      <c r="F14" s="35">
        <f>IFERROR(IF(SUMIF('09'!$C$9:$C$997,'10'!C14,'09'!$AK$9:$AK$997)&lt;0,0,SUMIF('09'!$C$9:$C$997,'10'!C14,'09'!$AK$9:$AK$997)),0)</f>
        <v>42.170000000000073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>
        <f>D179</f>
        <v>66.86</v>
      </c>
      <c r="AD14" s="2">
        <f>D191</f>
        <v>197.29999999999995</v>
      </c>
      <c r="AE14" s="2">
        <f>D201</f>
        <v>170.27999999999997</v>
      </c>
      <c r="AF14" s="2"/>
      <c r="AG14" s="2">
        <f>D211</f>
        <v>109.28000000000002</v>
      </c>
      <c r="AH14" s="2"/>
      <c r="AI14" s="2"/>
      <c r="AJ14" s="2"/>
      <c r="AK14" s="7">
        <f>SUM(F14:AJ14)</f>
        <v>585.89</v>
      </c>
      <c r="AL14" s="14">
        <f>SUM(AK14-D14)</f>
        <v>-14.110000000000014</v>
      </c>
    </row>
    <row r="15" spans="1:38" x14ac:dyDescent="0.25">
      <c r="A15" s="34" t="s">
        <v>42</v>
      </c>
      <c r="B15" s="39" t="s">
        <v>3</v>
      </c>
      <c r="C15" s="2">
        <v>20230926004</v>
      </c>
      <c r="D15" s="17">
        <v>800</v>
      </c>
      <c r="E15" s="7">
        <v>802.4</v>
      </c>
      <c r="F15" s="35">
        <f>AL9</f>
        <v>237.15999999999985</v>
      </c>
      <c r="G15" s="2"/>
      <c r="H15" s="2"/>
      <c r="I15" s="2"/>
      <c r="J15" s="2"/>
      <c r="K15" s="2"/>
      <c r="L15" s="48"/>
      <c r="M15" s="2">
        <f>G79</f>
        <v>97.58</v>
      </c>
      <c r="N15" s="2"/>
      <c r="O15" s="2">
        <f>G89</f>
        <v>186.20000000000002</v>
      </c>
      <c r="P15" s="2"/>
      <c r="Q15" s="2">
        <f>G109</f>
        <v>11.84</v>
      </c>
      <c r="R15" s="2"/>
      <c r="S15" s="11"/>
      <c r="T15" s="2"/>
      <c r="U15" s="2"/>
      <c r="V15" s="2"/>
      <c r="W15" s="2"/>
      <c r="X15" s="2">
        <f>G139</f>
        <v>167.51999999999998</v>
      </c>
      <c r="Y15" s="2">
        <f>G149</f>
        <v>320.33999999999997</v>
      </c>
      <c r="AA15" s="48"/>
      <c r="AB15" s="2"/>
      <c r="AC15" s="2"/>
      <c r="AD15" s="2"/>
      <c r="AE15" s="2"/>
      <c r="AF15" s="2"/>
      <c r="AG15" s="2"/>
      <c r="AH15" s="2"/>
      <c r="AI15" s="2"/>
      <c r="AJ15" s="2"/>
      <c r="AK15" s="7">
        <f t="shared" ref="AK15:AK20" si="0">SUM(F15:AJ15)</f>
        <v>1020.6399999999999</v>
      </c>
      <c r="AL15" s="17">
        <f>SUM(AK15-D15)</f>
        <v>220.63999999999987</v>
      </c>
    </row>
    <row r="16" spans="1:38" x14ac:dyDescent="0.25">
      <c r="A16" s="34" t="s">
        <v>42</v>
      </c>
      <c r="B16" s="45" t="s">
        <v>3</v>
      </c>
      <c r="C16" s="2">
        <v>20231020001</v>
      </c>
      <c r="D16" s="17">
        <v>280</v>
      </c>
      <c r="E16" s="7">
        <v>280.83999999999997</v>
      </c>
      <c r="F16" s="35">
        <f>AL15</f>
        <v>220.63999999999987</v>
      </c>
      <c r="G16" s="2"/>
      <c r="H16" s="2"/>
      <c r="I16" s="2"/>
      <c r="J16" s="2"/>
      <c r="K16" s="2"/>
      <c r="L16" s="48"/>
      <c r="M16" s="2"/>
      <c r="N16" s="2"/>
      <c r="O16" s="2"/>
      <c r="P16" s="2"/>
      <c r="Q16" s="2"/>
      <c r="R16" s="2"/>
      <c r="S16" s="11"/>
      <c r="T16" s="2"/>
      <c r="U16" s="2"/>
      <c r="V16" s="2"/>
      <c r="W16" s="2"/>
      <c r="X16" s="2"/>
      <c r="Y16" s="2"/>
      <c r="Z16" s="2">
        <f>G159</f>
        <v>56.04</v>
      </c>
      <c r="AA16" s="2">
        <f>G169</f>
        <v>16.239999999999998</v>
      </c>
      <c r="AB16" s="2"/>
      <c r="AC16" s="2"/>
      <c r="AD16" s="2"/>
      <c r="AE16" s="2"/>
      <c r="AF16" s="2"/>
      <c r="AG16" s="2"/>
      <c r="AH16" s="2"/>
      <c r="AI16" s="2"/>
      <c r="AJ16" s="2"/>
      <c r="AK16" s="7">
        <f t="shared" si="0"/>
        <v>292.9199999999999</v>
      </c>
      <c r="AL16" s="17">
        <f>SUM(AK16-D16)</f>
        <v>12.919999999999902</v>
      </c>
    </row>
    <row r="17" spans="1:38" x14ac:dyDescent="0.25">
      <c r="A17" s="34" t="s">
        <v>42</v>
      </c>
      <c r="B17" s="82" t="s">
        <v>3</v>
      </c>
      <c r="C17" s="2">
        <v>20231020036</v>
      </c>
      <c r="D17" s="17">
        <v>12.92</v>
      </c>
      <c r="E17" s="14">
        <v>12.96</v>
      </c>
      <c r="F17" s="84">
        <f>AL16</f>
        <v>12.919999999999902</v>
      </c>
      <c r="G17" s="2"/>
      <c r="H17" s="2"/>
      <c r="I17" s="2"/>
      <c r="J17" s="2"/>
      <c r="K17" s="2"/>
      <c r="M17" s="2"/>
      <c r="N17" s="2"/>
      <c r="O17" s="2"/>
      <c r="P17" s="2"/>
      <c r="Q17" s="2"/>
      <c r="R17" s="2"/>
      <c r="S17" s="11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7">
        <f>SUM(G17:AJ17)</f>
        <v>0</v>
      </c>
      <c r="AL17" s="87">
        <f>AK17+F17-D17</f>
        <v>-9.7699626167013776E-14</v>
      </c>
    </row>
    <row r="18" spans="1:38" x14ac:dyDescent="0.25">
      <c r="A18" s="34" t="s">
        <v>41</v>
      </c>
      <c r="B18" s="39" t="s">
        <v>4</v>
      </c>
      <c r="C18" s="2">
        <v>20230926001</v>
      </c>
      <c r="D18" s="14">
        <v>300</v>
      </c>
      <c r="E18" s="7">
        <v>300.89999999999998</v>
      </c>
      <c r="F18" s="35">
        <f>IFERROR(IF(SUMIF('09'!$C$9:$C$997,'10'!C18,'09'!$AK$9:$AK$997)&lt;0,0,SUMIF('09'!$C$9:$C$997,'10'!C18,'09'!$AK$9:$AK$997)),0)</f>
        <v>287.41999999999996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7">
        <f t="shared" si="0"/>
        <v>287.41999999999996</v>
      </c>
      <c r="AL18" s="14">
        <f>SUM(AK18-D18)</f>
        <v>-12.580000000000041</v>
      </c>
    </row>
    <row r="19" spans="1:38" s="19" customFormat="1" x14ac:dyDescent="0.25">
      <c r="A19" s="27" t="s">
        <v>40</v>
      </c>
      <c r="B19" s="39" t="s">
        <v>24</v>
      </c>
      <c r="C19" s="2">
        <v>20230926005</v>
      </c>
      <c r="D19" s="14">
        <v>1600</v>
      </c>
      <c r="E19" s="7">
        <v>1606.4</v>
      </c>
      <c r="F19" s="35">
        <f>IFERROR(IF(SUMIF('09'!$C$9:$C$997,'10'!C19,'09'!$AK$9:$AK$997)&lt;0,0,SUMIF('09'!$C$9:$C$997,'10'!C19,'09'!$AK$9:$AK$997)),0)</f>
        <v>14.450000000000045</v>
      </c>
      <c r="G19" s="2"/>
      <c r="H19" s="2"/>
      <c r="I19" s="2">
        <f>Q39</f>
        <v>132.23999999999998</v>
      </c>
      <c r="J19" s="2">
        <f>Q49</f>
        <v>125.33999999999997</v>
      </c>
      <c r="K19" s="2">
        <f>Q59</f>
        <v>148.38000000000002</v>
      </c>
      <c r="L19" s="2">
        <f>Q69</f>
        <v>82.68</v>
      </c>
      <c r="M19" s="2">
        <f>Q79</f>
        <v>27.84</v>
      </c>
      <c r="N19" s="2"/>
      <c r="O19" s="2">
        <f>Q89</f>
        <v>82.16</v>
      </c>
      <c r="P19" s="2">
        <f>Q99</f>
        <v>94.90000000000002</v>
      </c>
      <c r="Q19" s="2">
        <f>Q109</f>
        <v>104.18</v>
      </c>
      <c r="R19" s="2"/>
      <c r="S19" s="2"/>
      <c r="T19" s="2"/>
      <c r="U19" s="2"/>
      <c r="V19" s="2">
        <f>Q119</f>
        <v>172.51999999999995</v>
      </c>
      <c r="W19" s="2">
        <f>Q129</f>
        <v>175.77999999999997</v>
      </c>
      <c r="X19" s="2">
        <f>Q139</f>
        <v>88.260000000000019</v>
      </c>
      <c r="Y19" s="2">
        <f>Q149</f>
        <v>103.36000000000003</v>
      </c>
      <c r="Z19" s="2">
        <f>Q159</f>
        <v>51.14</v>
      </c>
      <c r="AA19" s="2">
        <f>Q169</f>
        <v>44.989999999999995</v>
      </c>
      <c r="AB19" s="2"/>
      <c r="AC19" s="2">
        <f>Q179</f>
        <v>65.58</v>
      </c>
      <c r="AD19" s="2">
        <f>Q191</f>
        <v>61</v>
      </c>
      <c r="AE19" s="2">
        <f>Q201</f>
        <v>14.379999999999999</v>
      </c>
      <c r="AF19" s="2"/>
      <c r="AG19" s="2"/>
      <c r="AH19" s="2"/>
      <c r="AI19" s="2"/>
      <c r="AJ19" s="2"/>
      <c r="AK19" s="7">
        <f t="shared" si="0"/>
        <v>1589.18</v>
      </c>
      <c r="AL19" s="14">
        <f>SUM(AK19-D19)</f>
        <v>-10.819999999999936</v>
      </c>
    </row>
    <row r="20" spans="1:38" s="19" customFormat="1" x14ac:dyDescent="0.25">
      <c r="A20" s="27" t="s">
        <v>64</v>
      </c>
      <c r="B20" s="41" t="s">
        <v>65</v>
      </c>
      <c r="C20" s="2">
        <v>20231002001</v>
      </c>
      <c r="D20" s="46">
        <v>100</v>
      </c>
      <c r="E20" s="7">
        <v>100.4</v>
      </c>
      <c r="F20" s="7"/>
      <c r="G20" s="2"/>
      <c r="H20" s="2"/>
      <c r="I20" s="2"/>
      <c r="J20" s="2"/>
      <c r="K20" s="2"/>
      <c r="L20" s="2">
        <f>V69</f>
        <v>53.060000000000009</v>
      </c>
      <c r="M20" s="2">
        <f>V79</f>
        <v>23.86</v>
      </c>
      <c r="N20" s="2"/>
      <c r="O20" s="2">
        <f>V89</f>
        <v>24.36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7">
        <f t="shared" si="0"/>
        <v>101.28000000000002</v>
      </c>
      <c r="AL20" s="17">
        <f>SUM(AK20-D20)</f>
        <v>1.2800000000000153</v>
      </c>
    </row>
    <row r="22" spans="1:38" x14ac:dyDescent="0.25">
      <c r="A22" s="154" t="s">
        <v>101</v>
      </c>
      <c r="B22" s="154"/>
      <c r="C22" s="54">
        <f>SUM(G13:AJ20,G9:AJ9)</f>
        <v>3883.6299999999997</v>
      </c>
      <c r="D22" s="53" t="s">
        <v>102</v>
      </c>
      <c r="AK22" s="30"/>
    </row>
    <row r="24" spans="1:38" ht="15" customHeight="1" x14ac:dyDescent="0.25">
      <c r="A24" s="152" t="s">
        <v>10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38" ht="15" customHeight="1" x14ac:dyDescent="0.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38" ht="15" customHeight="1" x14ac:dyDescent="0.2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38" x14ac:dyDescent="0.25">
      <c r="A27" s="130" t="s">
        <v>11</v>
      </c>
      <c r="B27" s="147" t="s">
        <v>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9"/>
    </row>
    <row r="28" spans="1:38" x14ac:dyDescent="0.25">
      <c r="A28" s="130"/>
      <c r="B28" s="159" t="s">
        <v>1</v>
      </c>
      <c r="C28" s="159"/>
      <c r="D28" s="159" t="s">
        <v>43</v>
      </c>
      <c r="E28" s="159"/>
      <c r="F28" s="159"/>
      <c r="G28" s="159" t="s">
        <v>42</v>
      </c>
      <c r="H28" s="159"/>
      <c r="I28" s="159"/>
      <c r="J28" s="159"/>
      <c r="K28" s="159"/>
      <c r="L28" s="159" t="s">
        <v>41</v>
      </c>
      <c r="M28" s="159"/>
      <c r="N28" s="159"/>
      <c r="O28" s="159"/>
      <c r="P28" s="159"/>
      <c r="Q28" s="131" t="s">
        <v>40</v>
      </c>
      <c r="R28" s="131"/>
      <c r="S28" s="131"/>
      <c r="T28" s="131"/>
      <c r="U28" s="131"/>
      <c r="V28" s="131" t="s">
        <v>64</v>
      </c>
      <c r="W28" s="131"/>
      <c r="X28" s="131"/>
      <c r="Y28" s="131"/>
      <c r="Z28" s="131"/>
    </row>
    <row r="29" spans="1:38" x14ac:dyDescent="0.25">
      <c r="A29" s="130"/>
      <c r="B29" s="147" t="s">
        <v>12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9"/>
    </row>
    <row r="30" spans="1:38" x14ac:dyDescent="0.25">
      <c r="A30" s="105">
        <v>45202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 t="s">
        <v>61</v>
      </c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38" x14ac:dyDescent="0.25">
      <c r="A31" s="105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38" x14ac:dyDescent="0.2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x14ac:dyDescent="0.25">
      <c r="A33" s="105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x14ac:dyDescent="0.2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x14ac:dyDescent="0.2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x14ac:dyDescent="0.25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x14ac:dyDescent="0.2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x14ac:dyDescent="0.25">
      <c r="A38" s="5" t="s">
        <v>22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19"/>
      <c r="R38" s="119"/>
      <c r="S38" s="119"/>
      <c r="T38" s="119"/>
      <c r="U38" s="119"/>
      <c r="V38" s="119"/>
      <c r="W38" s="119"/>
      <c r="X38" s="119"/>
      <c r="Y38" s="119"/>
      <c r="Z38" s="119"/>
    </row>
    <row r="39" spans="1:26" x14ac:dyDescent="0.25">
      <c r="A39" s="38" t="s">
        <v>14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04">
        <f>2.36 + 5.82 + 4.68 + 4.34 + 3.26 + 4.44 + 5.24 + 4.4 + 4.58 + 4.42 + 4.94 + 6.42 + 6.34 + 6.62 + 7.14 + 6.66 + 3.74 + 6.38 + 6.48 + 2.5 + 7.76 + 5.54 + 4.6 + 3.28 + 6.42 + 3.88</f>
        <v>132.23999999999998</v>
      </c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x14ac:dyDescent="0.25">
      <c r="A40" s="105">
        <v>45203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 t="s">
        <v>62</v>
      </c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x14ac:dyDescent="0.25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x14ac:dyDescent="0.25">
      <c r="A42" s="105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x14ac:dyDescent="0.25">
      <c r="A43" s="105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x14ac:dyDescent="0.25">
      <c r="A44" s="105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x14ac:dyDescent="0.25">
      <c r="A45" s="105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x14ac:dyDescent="0.25">
      <c r="A46" s="105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x14ac:dyDescent="0.25">
      <c r="A47" s="105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spans="1:26" x14ac:dyDescent="0.25">
      <c r="A48" s="5" t="s">
        <v>22</v>
      </c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 spans="1:26" x14ac:dyDescent="0.25">
      <c r="A49" s="40" t="s">
        <v>14</v>
      </c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04">
        <f t="shared" ref="Q49" si="1">7.1 + 6.26 + 6.26 + 8.52 + 4.96 + 6.6 + 2.82 + 6.86 + 6.78 + 5.08 + 4.74 + 0.96 + 7.56 + 5.68 + 1.38 + 4.78 + 7.24 + 5.38 + 5.14 + 4.88 + 1.84 + 2.36 + 1.36 + 5.62 + 5.18</f>
        <v>125.33999999999997</v>
      </c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x14ac:dyDescent="0.25">
      <c r="A50" s="105">
        <v>45204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 t="s">
        <v>66</v>
      </c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x14ac:dyDescent="0.25">
      <c r="A51" s="105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x14ac:dyDescent="0.25">
      <c r="A52" s="105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x14ac:dyDescent="0.25">
      <c r="A53" s="105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x14ac:dyDescent="0.25">
      <c r="A54" s="105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x14ac:dyDescent="0.25">
      <c r="A55" s="105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x14ac:dyDescent="0.25">
      <c r="A56" s="105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x14ac:dyDescent="0.25">
      <c r="A57" s="105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x14ac:dyDescent="0.25">
      <c r="A58" s="5" t="s">
        <v>22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spans="1:26" x14ac:dyDescent="0.25">
      <c r="A59" s="42" t="s">
        <v>14</v>
      </c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04">
        <f>7.98 + 6.3 + 5.72 + 8.1 + 8.02 + 5.92 + 5.48 + 7.86 + 6.3 + 8.68 + 5.6 + 5.64 + 6.72 + 6.02 + 4.72 + 7.68 + 5.7 + 8.22 + 6.5 + 8.5 + 8.14 + 4.58</f>
        <v>148.38000000000002</v>
      </c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x14ac:dyDescent="0.25">
      <c r="A60" s="105">
        <v>45205</v>
      </c>
      <c r="B60" s="106"/>
      <c r="C60" s="106"/>
      <c r="D60" s="106"/>
      <c r="E60" s="106"/>
      <c r="F60" s="106"/>
      <c r="G60" s="106" t="s">
        <v>67</v>
      </c>
      <c r="H60" s="106"/>
      <c r="I60" s="106"/>
      <c r="J60" s="106"/>
      <c r="K60" s="106"/>
      <c r="L60" s="106"/>
      <c r="M60" s="106"/>
      <c r="N60" s="106"/>
      <c r="O60" s="106"/>
      <c r="P60" s="106"/>
      <c r="Q60" s="106" t="s">
        <v>68</v>
      </c>
      <c r="R60" s="106"/>
      <c r="S60" s="106"/>
      <c r="T60" s="106"/>
      <c r="U60" s="106"/>
      <c r="V60" s="106" t="s">
        <v>81</v>
      </c>
      <c r="W60" s="106"/>
      <c r="X60" s="106"/>
      <c r="Y60" s="106"/>
      <c r="Z60" s="106"/>
    </row>
    <row r="61" spans="1:26" x14ac:dyDescent="0.25">
      <c r="A61" s="105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spans="1:26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spans="1:26" x14ac:dyDescent="0.25">
      <c r="A63" s="105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spans="1:26" x14ac:dyDescent="0.25">
      <c r="A64" s="105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spans="1:26" x14ac:dyDescent="0.25">
      <c r="A65" s="105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spans="1:26" x14ac:dyDescent="0.2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x14ac:dyDescent="0.25">
      <c r="A67" s="105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x14ac:dyDescent="0.25">
      <c r="A68" s="5" t="s">
        <v>22</v>
      </c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spans="1:26" x14ac:dyDescent="0.25">
      <c r="A69" s="42" t="s">
        <v>14</v>
      </c>
      <c r="B69" s="139"/>
      <c r="C69" s="139"/>
      <c r="D69" s="139"/>
      <c r="E69" s="139"/>
      <c r="F69" s="139"/>
      <c r="G69" s="103">
        <f>7 + 5.08 + 5.98 + 5.66 + 8.78 + 5.08 + 5.16 + 6.42 + 6.16 + 5.68 + 5.12 + 5.72 + 6.06 + 5.44 + 8.74 + 5.04 + 6.2 + 7.06 + 1.74 + 5.58 + 8.06 + 9 + 8.68 + 1.92 + 6.42 + 6.04 + 6.42 + 5.06 + 5 + 6.32 + 8.88 + 4.98 + 5.02 + 5.76 + 7.06 + 6.6 + 6.62 + 6.64 + 7.42 + 7.06 + 5.58 + 1.76</f>
        <v>253.99999999999991</v>
      </c>
      <c r="H69" s="103"/>
      <c r="I69" s="103"/>
      <c r="J69" s="103"/>
      <c r="K69" s="103"/>
      <c r="L69" s="139"/>
      <c r="M69" s="139"/>
      <c r="N69" s="139"/>
      <c r="O69" s="139"/>
      <c r="P69" s="139"/>
      <c r="Q69" s="104">
        <f>5.6 + 1.14 + 6.12 + 3.24 + 3.58 + 5.24 + 8.16 + 6.2 + 6.56 + 4.86 + 4.38 + 3.06 + 4.04 + 5.34 + 4.72 + 0.98 + 3.36 + 6.1</f>
        <v>82.68</v>
      </c>
      <c r="R69" s="104"/>
      <c r="S69" s="104"/>
      <c r="T69" s="104"/>
      <c r="U69" s="104"/>
      <c r="V69" s="104">
        <f>1.98 + 2 + 2.02 + 1.9 + 1.82 + 2.2 + 1.62 + 1.92 + 1.94 + 1.96 + 2.26 + 1.7 + 1.92 + 1.94 + 1.82 + 1.96 + 1.9 + 1.98 + 2.02 + 1.84 + 1.94 + 2.28 + 2.22 + 2.22 + 2.2 + 1.66 + 1.84</f>
        <v>53.060000000000009</v>
      </c>
      <c r="W69" s="104"/>
      <c r="X69" s="104"/>
      <c r="Y69" s="104"/>
      <c r="Z69" s="104"/>
    </row>
    <row r="70" spans="1:26" x14ac:dyDescent="0.25">
      <c r="A70" s="105">
        <v>45206</v>
      </c>
      <c r="B70" s="106"/>
      <c r="C70" s="106"/>
      <c r="D70" s="106"/>
      <c r="E70" s="106"/>
      <c r="F70" s="106"/>
      <c r="G70" s="106" t="s">
        <v>107</v>
      </c>
      <c r="H70" s="106"/>
      <c r="I70" s="106"/>
      <c r="J70" s="106"/>
      <c r="K70" s="106"/>
      <c r="L70" s="106"/>
      <c r="M70" s="106"/>
      <c r="N70" s="106"/>
      <c r="O70" s="106"/>
      <c r="P70" s="106"/>
      <c r="Q70" s="106" t="s">
        <v>69</v>
      </c>
      <c r="R70" s="106"/>
      <c r="S70" s="106"/>
      <c r="T70" s="106"/>
      <c r="U70" s="106"/>
      <c r="V70" s="106" t="s">
        <v>108</v>
      </c>
      <c r="W70" s="106"/>
      <c r="X70" s="106"/>
      <c r="Y70" s="106"/>
      <c r="Z70" s="106"/>
    </row>
    <row r="71" spans="1:26" x14ac:dyDescent="0.25">
      <c r="A71" s="105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spans="1:26" x14ac:dyDescent="0.2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spans="1:26" x14ac:dyDescent="0.25">
      <c r="A73" s="105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spans="1:26" x14ac:dyDescent="0.25">
      <c r="A74" s="105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spans="1:26" x14ac:dyDescent="0.25">
      <c r="A75" s="105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spans="1:26" x14ac:dyDescent="0.25">
      <c r="A76" s="105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spans="1:26" x14ac:dyDescent="0.25">
      <c r="A77" s="105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spans="1:26" x14ac:dyDescent="0.25">
      <c r="A78" s="5" t="s">
        <v>22</v>
      </c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19"/>
      <c r="R78" s="119"/>
      <c r="S78" s="119"/>
      <c r="T78" s="119"/>
      <c r="U78" s="119"/>
      <c r="V78" s="119"/>
      <c r="W78" s="119"/>
      <c r="X78" s="119"/>
      <c r="Y78" s="119"/>
      <c r="Z78" s="119"/>
    </row>
    <row r="79" spans="1:26" x14ac:dyDescent="0.25">
      <c r="A79" s="42" t="s">
        <v>14</v>
      </c>
      <c r="B79" s="139"/>
      <c r="C79" s="139"/>
      <c r="D79" s="139"/>
      <c r="E79" s="139"/>
      <c r="F79" s="139"/>
      <c r="G79" s="103">
        <f>6.92 + 6 + 6.88 + 6.86 + 2.74 + 7.08 + 6.96 + 4.16 + 6.78 + 6.44 + 7.06 + 1.9 + 6.82 + 6.82 + 7.12 + 7.04</f>
        <v>97.58</v>
      </c>
      <c r="H79" s="103"/>
      <c r="I79" s="103"/>
      <c r="J79" s="103"/>
      <c r="K79" s="103"/>
      <c r="L79" s="139"/>
      <c r="M79" s="139"/>
      <c r="N79" s="139"/>
      <c r="O79" s="139"/>
      <c r="P79" s="139"/>
      <c r="Q79" s="104">
        <f>5.44 + 4.86 + 4.76 + 3.72 + 3.54 + 4.3 + 1.22</f>
        <v>27.84</v>
      </c>
      <c r="R79" s="104"/>
      <c r="S79" s="104"/>
      <c r="T79" s="104"/>
      <c r="U79" s="104"/>
      <c r="V79" s="104">
        <f>1.88 + 2.12 + 1.88 + 1.96 + 1.86 + 1.58 + 2 + 1.88 + 1.56 + 1.82 + 1.88 + 1.86 + 1.58</f>
        <v>23.86</v>
      </c>
      <c r="W79" s="104"/>
      <c r="X79" s="104"/>
      <c r="Y79" s="104"/>
      <c r="Z79" s="104"/>
    </row>
    <row r="80" spans="1:26" x14ac:dyDescent="0.25">
      <c r="A80" s="105">
        <v>45208</v>
      </c>
      <c r="B80" s="106" t="s">
        <v>70</v>
      </c>
      <c r="C80" s="106"/>
      <c r="D80" s="106"/>
      <c r="E80" s="106"/>
      <c r="F80" s="106"/>
      <c r="G80" s="106" t="s">
        <v>72</v>
      </c>
      <c r="H80" s="106"/>
      <c r="I80" s="106"/>
      <c r="J80" s="106"/>
      <c r="K80" s="106"/>
      <c r="L80" s="106"/>
      <c r="M80" s="106"/>
      <c r="N80" s="106"/>
      <c r="O80" s="106"/>
      <c r="P80" s="106"/>
      <c r="Q80" s="106" t="s">
        <v>71</v>
      </c>
      <c r="R80" s="106"/>
      <c r="S80" s="106"/>
      <c r="T80" s="106"/>
      <c r="U80" s="106"/>
      <c r="V80" s="106" t="s">
        <v>73</v>
      </c>
      <c r="W80" s="106"/>
      <c r="X80" s="106"/>
      <c r="Y80" s="106"/>
      <c r="Z80" s="106"/>
    </row>
    <row r="81" spans="1:26" x14ac:dyDescent="0.25">
      <c r="A81" s="105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spans="1:26" x14ac:dyDescent="0.25">
      <c r="A82" s="105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spans="1:26" x14ac:dyDescent="0.25">
      <c r="A83" s="105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spans="1:26" x14ac:dyDescent="0.25">
      <c r="A84" s="105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spans="1:26" x14ac:dyDescent="0.25">
      <c r="A85" s="105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6" x14ac:dyDescent="0.25">
      <c r="A86" s="105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spans="1:26" x14ac:dyDescent="0.25">
      <c r="A87" s="105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spans="1:26" x14ac:dyDescent="0.25">
      <c r="A88" s="5" t="s">
        <v>22</v>
      </c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19"/>
      <c r="R88" s="119"/>
      <c r="S88" s="119"/>
      <c r="T88" s="119"/>
      <c r="U88" s="119"/>
      <c r="V88" s="119"/>
      <c r="W88" s="119"/>
      <c r="X88" s="119"/>
      <c r="Y88" s="119"/>
      <c r="Z88" s="119"/>
    </row>
    <row r="89" spans="1:26" x14ac:dyDescent="0.25">
      <c r="A89" s="42" t="s">
        <v>14</v>
      </c>
      <c r="B89" s="103">
        <f>6.54 + 6.6 + 4.72 + 5.8 + 6.38 + 6.54 + 5.3 + 5.76 + 6.36 + 1.86</f>
        <v>55.859999999999992</v>
      </c>
      <c r="C89" s="103"/>
      <c r="D89" s="103"/>
      <c r="E89" s="103"/>
      <c r="F89" s="103"/>
      <c r="G89" s="103">
        <f>7.06 + 3.78 + 8.64 + 5.78 + 6.32 + 6.12 + 7.26 + 6.18 + 6.12 + 3.86 + 5.98 + 4.24 + 6.84 + 7.26 + 6.46 + 3.2 + 2.22 + 8.66 + 4.04 + 5.06 + 6.2 + 6.88 + 6.86 + 6.38 + 6.3 + 7.1 + 6.8 + 8.26 + 5.08 + 1.98 + 9.28</f>
        <v>186.20000000000002</v>
      </c>
      <c r="H89" s="103"/>
      <c r="I89" s="103"/>
      <c r="J89" s="103"/>
      <c r="K89" s="103"/>
      <c r="L89" s="103"/>
      <c r="M89" s="103"/>
      <c r="N89" s="103"/>
      <c r="O89" s="103"/>
      <c r="P89" s="103"/>
      <c r="Q89" s="104">
        <f>6.24 + 4.94 + 3.8 + 5.3 + 4.58 + 4.26 + 3.7 + 4.78 + 4.66 + 1.74 + 1.22 + 5.72 + 5.68 + 6.18 + 7.04 + 4.6 + 5.9 + 1.82</f>
        <v>82.16</v>
      </c>
      <c r="R89" s="104"/>
      <c r="S89" s="104"/>
      <c r="T89" s="104"/>
      <c r="U89" s="104"/>
      <c r="V89" s="104">
        <f>0.9 + 1.44 + 2.1 + 2.06 + 2.5 + 1.88 + 1.16 + 1.66 + 2.04 + 2.5 + 1.74 + 2.6 + 1.78</f>
        <v>24.36</v>
      </c>
      <c r="W89" s="104"/>
      <c r="X89" s="104"/>
      <c r="Y89" s="104"/>
      <c r="Z89" s="104"/>
    </row>
    <row r="90" spans="1:26" x14ac:dyDescent="0.25">
      <c r="A90" s="105">
        <v>45209</v>
      </c>
      <c r="B90" s="106" t="s">
        <v>74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 t="s">
        <v>75</v>
      </c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x14ac:dyDescent="0.25">
      <c r="A91" s="105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x14ac:dyDescent="0.25">
      <c r="A92" s="105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x14ac:dyDescent="0.25">
      <c r="A93" s="105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x14ac:dyDescent="0.25">
      <c r="A94" s="105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x14ac:dyDescent="0.25">
      <c r="A95" s="105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x14ac:dyDescent="0.25">
      <c r="A96" s="105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x14ac:dyDescent="0.25">
      <c r="A97" s="105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x14ac:dyDescent="0.25">
      <c r="A98" s="5" t="s">
        <v>22</v>
      </c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 spans="1:26" x14ac:dyDescent="0.25">
      <c r="A99" s="42" t="s">
        <v>14</v>
      </c>
      <c r="B99" s="103">
        <f>7.66 + 2.18 + 6.04 + 7.44 + 7.56 + 5.1 + 5.52 + 3.14 + 7.54 + 2.6 + 6.02 + 5.9 + 8.32 + 3.36 + 4.36 + 2.48 + 5.32 + 2.58 + 4.74 + 5.94 + 7.14 + 2.66 + 2.5 + 2.48 + 3.12 + 2.58 + 5.16 + 5.72 + 2.48 + 3.16 + 3.66 + 2.62 + 3.18 + 2.18 + 2.52</f>
        <v>154.96000000000004</v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4">
        <f>1.4 + 4.38 + 8.18 + 1.88 + 2.52 + 3.64 + 8.24 + 0.72 + 2.66 + 2.02 + 1.66 + 2.18 + 3.52 + 5.22 + 4.54 + 6.22 + 6.26 + 8.96 + 2.7 + 2.74 + 1.4 + 5 + 4.12 + 1.38 + 0.56 + 2.8</f>
        <v>94.90000000000002</v>
      </c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x14ac:dyDescent="0.25">
      <c r="A100" s="105">
        <v>45210</v>
      </c>
      <c r="B100" s="106" t="s">
        <v>76</v>
      </c>
      <c r="C100" s="106"/>
      <c r="D100" s="106"/>
      <c r="E100" s="106"/>
      <c r="F100" s="106"/>
      <c r="G100" s="106" t="s">
        <v>77</v>
      </c>
      <c r="H100" s="106"/>
      <c r="I100" s="106"/>
      <c r="J100" s="106"/>
      <c r="K100" s="106"/>
      <c r="L100" s="106"/>
      <c r="M100" s="106"/>
      <c r="N100" s="106"/>
      <c r="O100" s="106"/>
      <c r="P100" s="106"/>
      <c r="Q100" s="106" t="s">
        <v>78</v>
      </c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x14ac:dyDescent="0.25">
      <c r="A101" s="105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x14ac:dyDescent="0.25">
      <c r="A102" s="105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x14ac:dyDescent="0.25">
      <c r="A103" s="105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x14ac:dyDescent="0.25">
      <c r="A104" s="105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x14ac:dyDescent="0.25">
      <c r="A105" s="105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x14ac:dyDescent="0.25">
      <c r="A106" s="105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x14ac:dyDescent="0.25">
      <c r="A107" s="105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x14ac:dyDescent="0.25">
      <c r="A108" s="5" t="s">
        <v>22</v>
      </c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</row>
    <row r="109" spans="1:26" x14ac:dyDescent="0.25">
      <c r="A109" s="42" t="s">
        <v>14</v>
      </c>
      <c r="B109" s="103">
        <f>4.4 + 4.78 + 4.3 + 4.14 + 3.92 + 4.3 + 4.46 + 5.12 + 4.24 + 3.98 + 3.96 + 4.06 +3.98 + 3.04 + 3.4 + 0.64 + 2.28 + 1.98 + 1.48 + 1.1 + 3.94 + 5.06</f>
        <v>78.56</v>
      </c>
      <c r="C109" s="103"/>
      <c r="D109" s="103"/>
      <c r="E109" s="103"/>
      <c r="F109" s="103"/>
      <c r="G109" s="103">
        <f>7.08 + 4.76</f>
        <v>11.84</v>
      </c>
      <c r="H109" s="103"/>
      <c r="I109" s="103"/>
      <c r="J109" s="103"/>
      <c r="K109" s="103"/>
      <c r="L109" s="103"/>
      <c r="M109" s="103"/>
      <c r="N109" s="103"/>
      <c r="O109" s="103"/>
      <c r="P109" s="103"/>
      <c r="Q109" s="104">
        <f>4.58 + 4.36 + 2.36 + 1.56 + 4.98 + 6.96 + 5.6 + 1.14 + 4.38 + 6.34 + 1.66 + 1.58 + 1.18 + 3.16 + 3.46 + 5.2 + 3.74 + 3.56 + 8.56 + 7.88 + 3.16 + 7.1 + 4.26 + 7.42</f>
        <v>104.18</v>
      </c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x14ac:dyDescent="0.25">
      <c r="A110" s="105">
        <v>45215</v>
      </c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 t="s">
        <v>79</v>
      </c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x14ac:dyDescent="0.25">
      <c r="A114" s="105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x14ac:dyDescent="0.25">
      <c r="A115" s="105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x14ac:dyDescent="0.25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x14ac:dyDescent="0.25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x14ac:dyDescent="0.25">
      <c r="A118" s="5" t="s">
        <v>22</v>
      </c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</row>
    <row r="119" spans="1:26" x14ac:dyDescent="0.25">
      <c r="A119" s="43" t="s">
        <v>14</v>
      </c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4">
        <f>5.94 + 6.62 + 6.44 + 4.28 + 7.16 + 4.38 + 7.26 + 7.16 + 7.02 + 7.22 + 4.16 + 5.14 + 4.62 + 4.9 + 5.34 + 3.54 + 6.4 + 4.58 + 5.48 + 3.92 + 2.36 + 5.74 + 7.18 + 3.68 + 1.8 + 3.64 + 5.42 + 3.76 + 4.54 + 4.42 + 3.98 + 4 + 3.34 + 2.78 + 4.32</f>
        <v>172.51999999999995</v>
      </c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x14ac:dyDescent="0.25">
      <c r="A120" s="105">
        <v>45216</v>
      </c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62" t="s">
        <v>80</v>
      </c>
      <c r="R120" s="162"/>
      <c r="S120" s="162"/>
      <c r="T120" s="162"/>
      <c r="U120" s="162"/>
      <c r="V120" s="106"/>
      <c r="W120" s="106"/>
      <c r="X120" s="106"/>
      <c r="Y120" s="106"/>
      <c r="Z120" s="106"/>
    </row>
    <row r="121" spans="1:26" x14ac:dyDescent="0.25">
      <c r="A121" s="105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62"/>
      <c r="R121" s="162"/>
      <c r="S121" s="162"/>
      <c r="T121" s="162"/>
      <c r="U121" s="162"/>
      <c r="V121" s="106"/>
      <c r="W121" s="106"/>
      <c r="X121" s="106"/>
      <c r="Y121" s="106"/>
      <c r="Z121" s="106"/>
    </row>
    <row r="122" spans="1:26" x14ac:dyDescent="0.25">
      <c r="A122" s="105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62"/>
      <c r="R122" s="162"/>
      <c r="S122" s="162"/>
      <c r="T122" s="162"/>
      <c r="U122" s="162"/>
      <c r="V122" s="106"/>
      <c r="W122" s="106"/>
      <c r="X122" s="106"/>
      <c r="Y122" s="106"/>
      <c r="Z122" s="106"/>
    </row>
    <row r="123" spans="1:26" x14ac:dyDescent="0.25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62"/>
      <c r="R123" s="162"/>
      <c r="S123" s="162"/>
      <c r="T123" s="162"/>
      <c r="U123" s="162"/>
      <c r="V123" s="106"/>
      <c r="W123" s="106"/>
      <c r="X123" s="106"/>
      <c r="Y123" s="106"/>
      <c r="Z123" s="106"/>
    </row>
    <row r="124" spans="1:26" x14ac:dyDescent="0.25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62"/>
      <c r="R124" s="162"/>
      <c r="S124" s="162"/>
      <c r="T124" s="162"/>
      <c r="U124" s="162"/>
      <c r="V124" s="106"/>
      <c r="W124" s="106"/>
      <c r="X124" s="106"/>
      <c r="Y124" s="106"/>
      <c r="Z124" s="106"/>
    </row>
    <row r="125" spans="1:26" x14ac:dyDescent="0.25">
      <c r="A125" s="105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62"/>
      <c r="R125" s="162"/>
      <c r="S125" s="162"/>
      <c r="T125" s="162"/>
      <c r="U125" s="162"/>
      <c r="V125" s="106"/>
      <c r="W125" s="106"/>
      <c r="X125" s="106"/>
      <c r="Y125" s="106"/>
      <c r="Z125" s="106"/>
    </row>
    <row r="126" spans="1:26" x14ac:dyDescent="0.25">
      <c r="A126" s="105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62"/>
      <c r="R126" s="162"/>
      <c r="S126" s="162"/>
      <c r="T126" s="162"/>
      <c r="U126" s="162"/>
      <c r="V126" s="106"/>
      <c r="W126" s="106"/>
      <c r="X126" s="106"/>
      <c r="Y126" s="106"/>
      <c r="Z126" s="106"/>
    </row>
    <row r="127" spans="1:26" x14ac:dyDescent="0.25">
      <c r="A127" s="105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62"/>
      <c r="R127" s="162"/>
      <c r="S127" s="162"/>
      <c r="T127" s="162"/>
      <c r="U127" s="162"/>
      <c r="V127" s="106"/>
      <c r="W127" s="106"/>
      <c r="X127" s="106"/>
      <c r="Y127" s="106"/>
      <c r="Z127" s="106"/>
    </row>
    <row r="128" spans="1:26" x14ac:dyDescent="0.25">
      <c r="A128" s="5" t="s">
        <v>22</v>
      </c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</row>
    <row r="129" spans="1:26" x14ac:dyDescent="0.25">
      <c r="A129" s="44" t="s">
        <v>14</v>
      </c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4">
        <f>3.46 + 2.56 + 5.8 + 4.4 + 6.56 + 4.72 + 6.42 + 4.52 + 5 + 4.42 + 5.36 + 5.16 + 4.54 + 5.46 + 4.62 + 5.64 + 2.82 + 2.24 + 3.06 + 3.86 + 5.96 + 7.6 + 8.12 + 7.5 + 7.48 + 7.64 + 7.88 + 4.72 + 5.66 + 2.5 + 4.72 + 7.62 + 7.76</f>
        <v>175.77999999999997</v>
      </c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x14ac:dyDescent="0.25">
      <c r="A130" s="105">
        <v>45217</v>
      </c>
      <c r="B130" s="106"/>
      <c r="C130" s="106"/>
      <c r="D130" s="106"/>
      <c r="E130" s="106"/>
      <c r="F130" s="106"/>
      <c r="G130" s="106" t="s">
        <v>83</v>
      </c>
      <c r="H130" s="106"/>
      <c r="I130" s="106"/>
      <c r="J130" s="106"/>
      <c r="K130" s="106"/>
      <c r="L130" s="106"/>
      <c r="M130" s="106"/>
      <c r="N130" s="106"/>
      <c r="O130" s="106"/>
      <c r="P130" s="106"/>
      <c r="Q130" s="162" t="s">
        <v>82</v>
      </c>
      <c r="R130" s="162"/>
      <c r="S130" s="162"/>
      <c r="T130" s="162"/>
      <c r="U130" s="162"/>
      <c r="V130" s="106"/>
      <c r="W130" s="106"/>
      <c r="X130" s="106"/>
      <c r="Y130" s="106"/>
      <c r="Z130" s="106"/>
    </row>
    <row r="131" spans="1:26" x14ac:dyDescent="0.25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62"/>
      <c r="R131" s="162"/>
      <c r="S131" s="162"/>
      <c r="T131" s="162"/>
      <c r="U131" s="162"/>
      <c r="V131" s="106"/>
      <c r="W131" s="106"/>
      <c r="X131" s="106"/>
      <c r="Y131" s="106"/>
      <c r="Z131" s="106"/>
    </row>
    <row r="132" spans="1:26" x14ac:dyDescent="0.25">
      <c r="A132" s="105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62"/>
      <c r="R132" s="162"/>
      <c r="S132" s="162"/>
      <c r="T132" s="162"/>
      <c r="U132" s="162"/>
      <c r="V132" s="106"/>
      <c r="W132" s="106"/>
      <c r="X132" s="106"/>
      <c r="Y132" s="106"/>
      <c r="Z132" s="106"/>
    </row>
    <row r="133" spans="1:26" x14ac:dyDescent="0.25">
      <c r="A133" s="105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62"/>
      <c r="R133" s="162"/>
      <c r="S133" s="162"/>
      <c r="T133" s="162"/>
      <c r="U133" s="162"/>
      <c r="V133" s="106"/>
      <c r="W133" s="106"/>
      <c r="X133" s="106"/>
      <c r="Y133" s="106"/>
      <c r="Z133" s="106"/>
    </row>
    <row r="134" spans="1:26" x14ac:dyDescent="0.25">
      <c r="A134" s="105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62"/>
      <c r="R134" s="162"/>
      <c r="S134" s="162"/>
      <c r="T134" s="162"/>
      <c r="U134" s="162"/>
      <c r="V134" s="106"/>
      <c r="W134" s="106"/>
      <c r="X134" s="106"/>
      <c r="Y134" s="106"/>
      <c r="Z134" s="106"/>
    </row>
    <row r="135" spans="1:26" x14ac:dyDescent="0.25">
      <c r="A135" s="105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62"/>
      <c r="R135" s="162"/>
      <c r="S135" s="162"/>
      <c r="T135" s="162"/>
      <c r="U135" s="162"/>
      <c r="V135" s="106"/>
      <c r="W135" s="106"/>
      <c r="X135" s="106"/>
      <c r="Y135" s="106"/>
      <c r="Z135" s="106"/>
    </row>
    <row r="136" spans="1:26" x14ac:dyDescent="0.25">
      <c r="A136" s="105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62"/>
      <c r="R136" s="162"/>
      <c r="S136" s="162"/>
      <c r="T136" s="162"/>
      <c r="U136" s="162"/>
      <c r="V136" s="106"/>
      <c r="W136" s="106"/>
      <c r="X136" s="106"/>
      <c r="Y136" s="106"/>
      <c r="Z136" s="106"/>
    </row>
    <row r="137" spans="1:26" x14ac:dyDescent="0.25">
      <c r="A137" s="105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62"/>
      <c r="R137" s="162"/>
      <c r="S137" s="162"/>
      <c r="T137" s="162"/>
      <c r="U137" s="162"/>
      <c r="V137" s="106"/>
      <c r="W137" s="106"/>
      <c r="X137" s="106"/>
      <c r="Y137" s="106"/>
      <c r="Z137" s="106"/>
    </row>
    <row r="138" spans="1:26" x14ac:dyDescent="0.25">
      <c r="A138" s="5" t="s">
        <v>22</v>
      </c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</row>
    <row r="139" spans="1:26" x14ac:dyDescent="0.25">
      <c r="A139" s="47" t="s">
        <v>14</v>
      </c>
      <c r="B139" s="103"/>
      <c r="C139" s="103"/>
      <c r="D139" s="103"/>
      <c r="E139" s="103"/>
      <c r="F139" s="103"/>
      <c r="G139" s="103">
        <f t="shared" ref="G139" si="2">6.82 + 7.22 + 6.9 + 5.8 + 7.38 + 6.2 + 7.1 + 7.66 + 5.18 + 6.02 + 6.56 + 6.58 + 5.88 + 5.36 + 6.2 + 5.86 + 6.06 + 6.14 + 6.1 + 6.7 + 6.5 + 6.64 + 3.88 + 3.82 + 3.7 + 3.82 + 3.9 + 3.74 + 3.8</f>
        <v>167.51999999999998</v>
      </c>
      <c r="H139" s="103"/>
      <c r="I139" s="103"/>
      <c r="J139" s="103"/>
      <c r="K139" s="103"/>
      <c r="L139" s="103"/>
      <c r="M139" s="103"/>
      <c r="N139" s="103"/>
      <c r="O139" s="103"/>
      <c r="P139" s="103"/>
      <c r="Q139" s="104">
        <f>1.34 + 3.66 + 5.34 + 3.48 + 5.34 + 5.44 + 5.44 + 3.2 + 6.2 + 2.82 + 4.62 + 7.16 + 5.84 + 5.14 + 5.06 + 6.72 + 5.62 + 5.84</f>
        <v>88.260000000000019</v>
      </c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x14ac:dyDescent="0.25">
      <c r="A140" s="105">
        <v>45218</v>
      </c>
      <c r="B140" s="106"/>
      <c r="C140" s="106"/>
      <c r="D140" s="106"/>
      <c r="E140" s="106"/>
      <c r="F140" s="106"/>
      <c r="G140" s="106" t="s">
        <v>84</v>
      </c>
      <c r="H140" s="106"/>
      <c r="I140" s="106"/>
      <c r="J140" s="106"/>
      <c r="K140" s="106"/>
      <c r="L140" s="106"/>
      <c r="M140" s="106"/>
      <c r="N140" s="106"/>
      <c r="O140" s="106"/>
      <c r="P140" s="106"/>
      <c r="Q140" s="162" t="s">
        <v>85</v>
      </c>
      <c r="R140" s="162"/>
      <c r="S140" s="162"/>
      <c r="T140" s="162"/>
      <c r="U140" s="162"/>
      <c r="V140" s="106"/>
      <c r="W140" s="106"/>
      <c r="X140" s="106"/>
      <c r="Y140" s="106"/>
      <c r="Z140" s="106"/>
    </row>
    <row r="141" spans="1:26" x14ac:dyDescent="0.25">
      <c r="A141" s="105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62"/>
      <c r="R141" s="162"/>
      <c r="S141" s="162"/>
      <c r="T141" s="162"/>
      <c r="U141" s="162"/>
      <c r="V141" s="106"/>
      <c r="W141" s="106"/>
      <c r="X141" s="106"/>
      <c r="Y141" s="106"/>
      <c r="Z141" s="106"/>
    </row>
    <row r="142" spans="1:26" x14ac:dyDescent="0.25">
      <c r="A142" s="105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62"/>
      <c r="R142" s="162"/>
      <c r="S142" s="162"/>
      <c r="T142" s="162"/>
      <c r="U142" s="162"/>
      <c r="V142" s="106"/>
      <c r="W142" s="106"/>
      <c r="X142" s="106"/>
      <c r="Y142" s="106"/>
      <c r="Z142" s="106"/>
    </row>
    <row r="143" spans="1:26" x14ac:dyDescent="0.25">
      <c r="A143" s="105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62"/>
      <c r="R143" s="162"/>
      <c r="S143" s="162"/>
      <c r="T143" s="162"/>
      <c r="U143" s="162"/>
      <c r="V143" s="106"/>
      <c r="W143" s="106"/>
      <c r="X143" s="106"/>
      <c r="Y143" s="106"/>
      <c r="Z143" s="106"/>
    </row>
    <row r="144" spans="1:26" x14ac:dyDescent="0.25">
      <c r="A144" s="105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62"/>
      <c r="R144" s="162"/>
      <c r="S144" s="162"/>
      <c r="T144" s="162"/>
      <c r="U144" s="162"/>
      <c r="V144" s="106"/>
      <c r="W144" s="106"/>
      <c r="X144" s="106"/>
      <c r="Y144" s="106"/>
      <c r="Z144" s="106"/>
    </row>
    <row r="145" spans="1:26" x14ac:dyDescent="0.25">
      <c r="A145" s="105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62"/>
      <c r="R145" s="162"/>
      <c r="S145" s="162"/>
      <c r="T145" s="162"/>
      <c r="U145" s="162"/>
      <c r="V145" s="106"/>
      <c r="W145" s="106"/>
      <c r="X145" s="106"/>
      <c r="Y145" s="106"/>
      <c r="Z145" s="106"/>
    </row>
    <row r="146" spans="1:26" x14ac:dyDescent="0.25">
      <c r="A146" s="105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62"/>
      <c r="R146" s="162"/>
      <c r="S146" s="162"/>
      <c r="T146" s="162"/>
      <c r="U146" s="162"/>
      <c r="V146" s="106"/>
      <c r="W146" s="106"/>
      <c r="X146" s="106"/>
      <c r="Y146" s="106"/>
      <c r="Z146" s="106"/>
    </row>
    <row r="147" spans="1:26" x14ac:dyDescent="0.25">
      <c r="A147" s="105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62"/>
      <c r="R147" s="162"/>
      <c r="S147" s="162"/>
      <c r="T147" s="162"/>
      <c r="U147" s="162"/>
      <c r="V147" s="106"/>
      <c r="W147" s="106"/>
      <c r="X147" s="106"/>
      <c r="Y147" s="106"/>
      <c r="Z147" s="106"/>
    </row>
    <row r="148" spans="1:26" x14ac:dyDescent="0.25">
      <c r="A148" s="5" t="s">
        <v>22</v>
      </c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</row>
    <row r="149" spans="1:26" x14ac:dyDescent="0.25">
      <c r="A149" s="47" t="s">
        <v>14</v>
      </c>
      <c r="B149" s="103"/>
      <c r="C149" s="103"/>
      <c r="D149" s="103"/>
      <c r="E149" s="103"/>
      <c r="F149" s="103"/>
      <c r="G149" s="103">
        <f>6.98 + 6.98 + 6.94 + 6.92 + 3.32 + 7.06 + 6.96 + 6.94 + 6.4 + 6.52 + 6.22 + 5.56 + 5.74 + 7.76 + 7.76 + 6.96 + 7.76 + 7.52 + 7.82 + 7.52 + 7.86 + 7.6 + 7.88 + 1.5 + 3.36 + 3.26 + 3.44 + 1.34 + 1.38 + 3.32 + 0.66 + 3.5 + 7.48 + 6.16 + 1.6 + 6.26 + 6.36 + 7.92 + 2.1 + 6.22 + 1.62 + 7.84 + 6.02 + 6.92 + 6.44 + 4.46 + 6.46 + 7.6 + 8.32 + 7.28 + 7.92 + 7.7 + 7.3 + 3.4 + 6.22</f>
        <v>320.33999999999997</v>
      </c>
      <c r="H149" s="103"/>
      <c r="I149" s="103"/>
      <c r="J149" s="103"/>
      <c r="K149" s="103"/>
      <c r="L149" s="103"/>
      <c r="M149" s="103"/>
      <c r="N149" s="103"/>
      <c r="O149" s="103"/>
      <c r="P149" s="103"/>
      <c r="Q149" s="104">
        <f t="shared" ref="Q149" si="3">3.56 + 4 + 5.04 + 6.46 + 6.76 + 7.14 + 5.52 + 3.1 + 3.54 + 2.42 + 6.12 + 6.66 + 5.28 + 6.66 + 1.54 + 5.56 + 3.68 + 6.98 + 6.56 + 3.54 + 3.24</f>
        <v>103.36000000000003</v>
      </c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x14ac:dyDescent="0.25">
      <c r="A150" s="105">
        <v>45219</v>
      </c>
      <c r="B150" s="106" t="s">
        <v>87</v>
      </c>
      <c r="C150" s="106"/>
      <c r="D150" s="106"/>
      <c r="E150" s="106"/>
      <c r="F150" s="106"/>
      <c r="G150" s="106" t="s">
        <v>88</v>
      </c>
      <c r="H150" s="106"/>
      <c r="I150" s="106"/>
      <c r="J150" s="106"/>
      <c r="K150" s="106"/>
      <c r="L150" s="106"/>
      <c r="M150" s="106"/>
      <c r="N150" s="106"/>
      <c r="O150" s="106"/>
      <c r="P150" s="106"/>
      <c r="Q150" s="162" t="s">
        <v>86</v>
      </c>
      <c r="R150" s="162"/>
      <c r="S150" s="162"/>
      <c r="T150" s="162"/>
      <c r="U150" s="162"/>
      <c r="V150" s="106"/>
      <c r="W150" s="106"/>
      <c r="X150" s="106"/>
      <c r="Y150" s="106"/>
      <c r="Z150" s="106"/>
    </row>
    <row r="151" spans="1:26" x14ac:dyDescent="0.25">
      <c r="A151" s="105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62"/>
      <c r="R151" s="162"/>
      <c r="S151" s="162"/>
      <c r="T151" s="162"/>
      <c r="U151" s="162"/>
      <c r="V151" s="106"/>
      <c r="W151" s="106"/>
      <c r="X151" s="106"/>
      <c r="Y151" s="106"/>
      <c r="Z151" s="106"/>
    </row>
    <row r="152" spans="1:26" x14ac:dyDescent="0.25">
      <c r="A152" s="105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62"/>
      <c r="R152" s="162"/>
      <c r="S152" s="162"/>
      <c r="T152" s="162"/>
      <c r="U152" s="162"/>
      <c r="V152" s="106"/>
      <c r="W152" s="106"/>
      <c r="X152" s="106"/>
      <c r="Y152" s="106"/>
      <c r="Z152" s="106"/>
    </row>
    <row r="153" spans="1:26" x14ac:dyDescent="0.25">
      <c r="A153" s="105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62"/>
      <c r="R153" s="162"/>
      <c r="S153" s="162"/>
      <c r="T153" s="162"/>
      <c r="U153" s="162"/>
      <c r="V153" s="106"/>
      <c r="W153" s="106"/>
      <c r="X153" s="106"/>
      <c r="Y153" s="106"/>
      <c r="Z153" s="106"/>
    </row>
    <row r="154" spans="1:26" x14ac:dyDescent="0.25">
      <c r="A154" s="105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62"/>
      <c r="R154" s="162"/>
      <c r="S154" s="162"/>
      <c r="T154" s="162"/>
      <c r="U154" s="162"/>
      <c r="V154" s="106"/>
      <c r="W154" s="106"/>
      <c r="X154" s="106"/>
      <c r="Y154" s="106"/>
      <c r="Z154" s="106"/>
    </row>
    <row r="155" spans="1:26" x14ac:dyDescent="0.25">
      <c r="A155" s="105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62"/>
      <c r="R155" s="162"/>
      <c r="S155" s="162"/>
      <c r="T155" s="162"/>
      <c r="U155" s="162"/>
      <c r="V155" s="106"/>
      <c r="W155" s="106"/>
      <c r="X155" s="106"/>
      <c r="Y155" s="106"/>
      <c r="Z155" s="106"/>
    </row>
    <row r="156" spans="1:26" x14ac:dyDescent="0.25">
      <c r="A156" s="105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62"/>
      <c r="R156" s="162"/>
      <c r="S156" s="162"/>
      <c r="T156" s="162"/>
      <c r="U156" s="162"/>
      <c r="V156" s="106"/>
      <c r="W156" s="106"/>
      <c r="X156" s="106"/>
      <c r="Y156" s="106"/>
      <c r="Z156" s="106"/>
    </row>
    <row r="157" spans="1:26" x14ac:dyDescent="0.25">
      <c r="A157" s="105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62"/>
      <c r="R157" s="162"/>
      <c r="S157" s="162"/>
      <c r="T157" s="162"/>
      <c r="U157" s="162"/>
      <c r="V157" s="106"/>
      <c r="W157" s="106"/>
      <c r="X157" s="106"/>
      <c r="Y157" s="106"/>
      <c r="Z157" s="106"/>
    </row>
    <row r="158" spans="1:26" x14ac:dyDescent="0.25">
      <c r="A158" s="5" t="s">
        <v>22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</row>
    <row r="159" spans="1:26" x14ac:dyDescent="0.25">
      <c r="A159" s="47" t="s">
        <v>14</v>
      </c>
      <c r="B159" s="103">
        <f>3.46 + 1.1 + 1.9 + 2.66 + 1.16 + 7 + 7.72 + 7.24 + 7.76 + 7.62 + 7.4 + 7.58</f>
        <v>62.599999999999994</v>
      </c>
      <c r="C159" s="103"/>
      <c r="D159" s="103"/>
      <c r="E159" s="103"/>
      <c r="F159" s="103"/>
      <c r="G159" s="103">
        <f>4.8 + 6.9 + 3.68 + 7.9 + 6.22 + 6.22 + 7.48 + 6.44 + 6.4</f>
        <v>56.04</v>
      </c>
      <c r="H159" s="103"/>
      <c r="I159" s="103"/>
      <c r="J159" s="103"/>
      <c r="K159" s="103"/>
      <c r="L159" s="103"/>
      <c r="M159" s="103"/>
      <c r="N159" s="103"/>
      <c r="O159" s="103"/>
      <c r="P159" s="103"/>
      <c r="Q159" s="104">
        <f>2.46 + 5.38 + 2.6 + 7.78 + 8.42 + 4.24 + 7.26 + 8.8 + 4.2</f>
        <v>51.14</v>
      </c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x14ac:dyDescent="0.25">
      <c r="A160" s="105">
        <v>45220</v>
      </c>
      <c r="B160" s="106" t="s">
        <v>90</v>
      </c>
      <c r="C160" s="106"/>
      <c r="D160" s="106"/>
      <c r="E160" s="106"/>
      <c r="F160" s="106"/>
      <c r="G160" s="106" t="s">
        <v>91</v>
      </c>
      <c r="H160" s="106"/>
      <c r="I160" s="106"/>
      <c r="J160" s="106"/>
      <c r="K160" s="106"/>
      <c r="L160" s="106"/>
      <c r="M160" s="106"/>
      <c r="N160" s="106"/>
      <c r="O160" s="106"/>
      <c r="P160" s="106"/>
      <c r="Q160" s="162" t="s">
        <v>89</v>
      </c>
      <c r="R160" s="162"/>
      <c r="S160" s="162"/>
      <c r="T160" s="162"/>
      <c r="U160" s="162"/>
      <c r="V160" s="106"/>
      <c r="W160" s="106"/>
      <c r="X160" s="106"/>
      <c r="Y160" s="106"/>
      <c r="Z160" s="106"/>
    </row>
    <row r="161" spans="1:26" x14ac:dyDescent="0.25">
      <c r="A161" s="105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62"/>
      <c r="R161" s="162"/>
      <c r="S161" s="162"/>
      <c r="T161" s="162"/>
      <c r="U161" s="162"/>
      <c r="V161" s="106"/>
      <c r="W161" s="106"/>
      <c r="X161" s="106"/>
      <c r="Y161" s="106"/>
      <c r="Z161" s="106"/>
    </row>
    <row r="162" spans="1:26" x14ac:dyDescent="0.25">
      <c r="A162" s="105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62"/>
      <c r="R162" s="162"/>
      <c r="S162" s="162"/>
      <c r="T162" s="162"/>
      <c r="U162" s="162"/>
      <c r="V162" s="106"/>
      <c r="W162" s="106"/>
      <c r="X162" s="106"/>
      <c r="Y162" s="106"/>
      <c r="Z162" s="106"/>
    </row>
    <row r="163" spans="1:26" x14ac:dyDescent="0.25">
      <c r="A163" s="105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62"/>
      <c r="R163" s="162"/>
      <c r="S163" s="162"/>
      <c r="T163" s="162"/>
      <c r="U163" s="162"/>
      <c r="V163" s="106"/>
      <c r="W163" s="106"/>
      <c r="X163" s="106"/>
      <c r="Y163" s="106"/>
      <c r="Z163" s="106"/>
    </row>
    <row r="164" spans="1:26" x14ac:dyDescent="0.25">
      <c r="A164" s="105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62"/>
      <c r="R164" s="162"/>
      <c r="S164" s="162"/>
      <c r="T164" s="162"/>
      <c r="U164" s="162"/>
      <c r="V164" s="106"/>
      <c r="W164" s="106"/>
      <c r="X164" s="106"/>
      <c r="Y164" s="106"/>
      <c r="Z164" s="106"/>
    </row>
    <row r="165" spans="1:26" x14ac:dyDescent="0.25">
      <c r="A165" s="105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62"/>
      <c r="R165" s="162"/>
      <c r="S165" s="162"/>
      <c r="T165" s="162"/>
      <c r="U165" s="162"/>
      <c r="V165" s="106"/>
      <c r="W165" s="106"/>
      <c r="X165" s="106"/>
      <c r="Y165" s="106"/>
      <c r="Z165" s="106"/>
    </row>
    <row r="166" spans="1:26" x14ac:dyDescent="0.25">
      <c r="A166" s="105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62"/>
      <c r="R166" s="162"/>
      <c r="S166" s="162"/>
      <c r="T166" s="162"/>
      <c r="U166" s="162"/>
      <c r="V166" s="106"/>
      <c r="W166" s="106"/>
      <c r="X166" s="106"/>
      <c r="Y166" s="106"/>
      <c r="Z166" s="106"/>
    </row>
    <row r="167" spans="1:26" x14ac:dyDescent="0.25">
      <c r="A167" s="105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62"/>
      <c r="R167" s="162"/>
      <c r="S167" s="162"/>
      <c r="T167" s="162"/>
      <c r="U167" s="162"/>
      <c r="V167" s="106"/>
      <c r="W167" s="106"/>
      <c r="X167" s="106"/>
      <c r="Y167" s="106"/>
      <c r="Z167" s="106"/>
    </row>
    <row r="168" spans="1:26" x14ac:dyDescent="0.25">
      <c r="A168" s="5" t="s">
        <v>22</v>
      </c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 spans="1:26" x14ac:dyDescent="0.25">
      <c r="A169" s="47" t="s">
        <v>14</v>
      </c>
      <c r="B169" s="103">
        <f>2.48 + 2.6 + 1.76 + 6.3 + 6.16 + 5.88 + 5.78 + 5.4 + 6.26 + 5.26 + 5.54 + 6.3 + 3.84 + 3.72 + 2.2 + 3.84 + 3.8 + 1.96 + 3.5 + 3.88 + 3.46 + 3.28 + 3.62 + 2</f>
        <v>98.819999999999979</v>
      </c>
      <c r="C169" s="103"/>
      <c r="D169" s="103"/>
      <c r="E169" s="103"/>
      <c r="F169" s="103"/>
      <c r="G169" s="103">
        <f t="shared" ref="G169" si="4">5.5 + 6.86 + 3.88</f>
        <v>16.239999999999998</v>
      </c>
      <c r="H169" s="103"/>
      <c r="I169" s="103"/>
      <c r="J169" s="103"/>
      <c r="K169" s="103"/>
      <c r="L169" s="103"/>
      <c r="M169" s="103"/>
      <c r="N169" s="103"/>
      <c r="O169" s="103"/>
      <c r="P169" s="103"/>
      <c r="Q169" s="104">
        <f>4.26 + 0.8 + 4.26 + 4.3 + 3.9 + 3.86 + 0.9 + 3.26 + 0.6 + 0.96 + 2.28 + 0.59 + 2.32 + 2.48 + 1.78 + 2.46 + 2.12 + 1.66 + 2.2</f>
        <v>44.989999999999995</v>
      </c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x14ac:dyDescent="0.25">
      <c r="A170" s="105">
        <v>45222</v>
      </c>
      <c r="B170" s="106" t="s">
        <v>94</v>
      </c>
      <c r="C170" s="106"/>
      <c r="D170" s="106" t="s">
        <v>92</v>
      </c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62" t="s">
        <v>93</v>
      </c>
      <c r="R170" s="162"/>
      <c r="S170" s="162"/>
      <c r="T170" s="162"/>
      <c r="U170" s="162"/>
      <c r="V170" s="106"/>
      <c r="W170" s="106"/>
      <c r="X170" s="106"/>
      <c r="Y170" s="106"/>
      <c r="Z170" s="106"/>
    </row>
    <row r="171" spans="1:26" x14ac:dyDescent="0.25">
      <c r="A171" s="105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62"/>
      <c r="R171" s="162"/>
      <c r="S171" s="162"/>
      <c r="T171" s="162"/>
      <c r="U171" s="162"/>
      <c r="V171" s="106"/>
      <c r="W171" s="106"/>
      <c r="X171" s="106"/>
      <c r="Y171" s="106"/>
      <c r="Z171" s="106"/>
    </row>
    <row r="172" spans="1:26" x14ac:dyDescent="0.25">
      <c r="A172" s="105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62"/>
      <c r="R172" s="162"/>
      <c r="S172" s="162"/>
      <c r="T172" s="162"/>
      <c r="U172" s="162"/>
      <c r="V172" s="106"/>
      <c r="W172" s="106"/>
      <c r="X172" s="106"/>
      <c r="Y172" s="106"/>
      <c r="Z172" s="106"/>
    </row>
    <row r="173" spans="1:26" x14ac:dyDescent="0.25">
      <c r="A173" s="105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62"/>
      <c r="R173" s="162"/>
      <c r="S173" s="162"/>
      <c r="T173" s="162"/>
      <c r="U173" s="162"/>
      <c r="V173" s="106"/>
      <c r="W173" s="106"/>
      <c r="X173" s="106"/>
      <c r="Y173" s="106"/>
      <c r="Z173" s="106"/>
    </row>
    <row r="174" spans="1:26" x14ac:dyDescent="0.25">
      <c r="A174" s="105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62"/>
      <c r="R174" s="162"/>
      <c r="S174" s="162"/>
      <c r="T174" s="162"/>
      <c r="U174" s="162"/>
      <c r="V174" s="106"/>
      <c r="W174" s="106"/>
      <c r="X174" s="106"/>
      <c r="Y174" s="106"/>
      <c r="Z174" s="106"/>
    </row>
    <row r="175" spans="1:26" x14ac:dyDescent="0.25">
      <c r="A175" s="105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62"/>
      <c r="R175" s="162"/>
      <c r="S175" s="162"/>
      <c r="T175" s="162"/>
      <c r="U175" s="162"/>
      <c r="V175" s="106"/>
      <c r="W175" s="106"/>
      <c r="X175" s="106"/>
      <c r="Y175" s="106"/>
      <c r="Z175" s="106"/>
    </row>
    <row r="176" spans="1:26" x14ac:dyDescent="0.25">
      <c r="A176" s="105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62"/>
      <c r="R176" s="162"/>
      <c r="S176" s="162"/>
      <c r="T176" s="162"/>
      <c r="U176" s="162"/>
      <c r="V176" s="106"/>
      <c r="W176" s="106"/>
      <c r="X176" s="106"/>
      <c r="Y176" s="106"/>
      <c r="Z176" s="106"/>
    </row>
    <row r="177" spans="1:26" x14ac:dyDescent="0.25">
      <c r="A177" s="105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62"/>
      <c r="R177" s="162"/>
      <c r="S177" s="162"/>
      <c r="T177" s="162"/>
      <c r="U177" s="162"/>
      <c r="V177" s="106"/>
      <c r="W177" s="106"/>
      <c r="X177" s="106"/>
      <c r="Y177" s="106"/>
      <c r="Z177" s="106"/>
    </row>
    <row r="178" spans="1:26" x14ac:dyDescent="0.25">
      <c r="A178" s="5" t="s">
        <v>22</v>
      </c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 spans="1:26" x14ac:dyDescent="0.25">
      <c r="A179" s="49" t="s">
        <v>14</v>
      </c>
      <c r="B179" s="103">
        <f>1.3 + 1.92 + 1.08 + 1.42 + 2.02 + 1.98 + 2.4 + 3.16 + 1.64 + 2.64 + 0.66 + 3.44 + 2.14 + 1.92 + 4.02 + 4.22 + 2.7 + 4.08 + 2.06 + 4.24 + 4.26 + 3.96 + 3.7 + 3.66 + 3.8 + 3.74 + 3.74 + 3.66 + 3.78 + 3.14 + 4.04 + 3.7 + 3.36</f>
        <v>97.580000000000013</v>
      </c>
      <c r="C179" s="103"/>
      <c r="D179" s="103">
        <f>2.14 + 2.42 + 1.92 + 2.54 + 3.06 + 2.32 + 2.28 + 2.76 + 3.6 + 3.34 + 3.16 + 3.76 + 3.5 + 3.6 + 3.28 + 2.22 + 2.18 + 3.64 + 3.54 + 3.64 + 2.12 + 2.18 + 3.66</f>
        <v>66.86</v>
      </c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4">
        <f>2.32 + 1.52 + 1.84 + 1.06 + 3.62 + 2.68 + 3.38 + 2.42 + 3.94 + 2.44 + 3.22 + 3.14 + 2.58 + 1.52 + 3.04 + 2.36 + 3.34 + 2.5 + 2.36 + 1.04 + 2.94 + 3.06 + 2.72 + 2.04 + 2.8 + 1.7</f>
        <v>65.58</v>
      </c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5" customHeight="1" x14ac:dyDescent="0.25">
      <c r="A180" s="121">
        <v>45223</v>
      </c>
      <c r="B180" s="107" t="s">
        <v>95</v>
      </c>
      <c r="C180" s="108"/>
      <c r="D180" s="107" t="s">
        <v>97</v>
      </c>
      <c r="E180" s="113"/>
      <c r="F180" s="108"/>
      <c r="G180" s="107"/>
      <c r="H180" s="113"/>
      <c r="I180" s="113"/>
      <c r="J180" s="113"/>
      <c r="K180" s="108"/>
      <c r="L180" s="107"/>
      <c r="M180" s="113"/>
      <c r="N180" s="113"/>
      <c r="O180" s="113"/>
      <c r="P180" s="108"/>
      <c r="Q180" s="163" t="s">
        <v>96</v>
      </c>
      <c r="R180" s="164"/>
      <c r="S180" s="164"/>
      <c r="T180" s="164"/>
      <c r="U180" s="165"/>
      <c r="V180" s="107"/>
      <c r="W180" s="113"/>
      <c r="X180" s="113"/>
      <c r="Y180" s="113"/>
      <c r="Z180" s="108"/>
    </row>
    <row r="181" spans="1:26" x14ac:dyDescent="0.25">
      <c r="A181" s="122"/>
      <c r="B181" s="109"/>
      <c r="C181" s="110"/>
      <c r="D181" s="109"/>
      <c r="E181" s="114"/>
      <c r="F181" s="110"/>
      <c r="G181" s="109"/>
      <c r="H181" s="114"/>
      <c r="I181" s="114"/>
      <c r="J181" s="114"/>
      <c r="K181" s="110"/>
      <c r="L181" s="109"/>
      <c r="M181" s="114"/>
      <c r="N181" s="114"/>
      <c r="O181" s="114"/>
      <c r="P181" s="110"/>
      <c r="Q181" s="166"/>
      <c r="R181" s="167"/>
      <c r="S181" s="167"/>
      <c r="T181" s="167"/>
      <c r="U181" s="168"/>
      <c r="V181" s="109"/>
      <c r="W181" s="114"/>
      <c r="X181" s="114"/>
      <c r="Y181" s="114"/>
      <c r="Z181" s="110"/>
    </row>
    <row r="182" spans="1:26" x14ac:dyDescent="0.25">
      <c r="A182" s="122"/>
      <c r="B182" s="109"/>
      <c r="C182" s="110"/>
      <c r="D182" s="109"/>
      <c r="E182" s="114"/>
      <c r="F182" s="110"/>
      <c r="G182" s="109"/>
      <c r="H182" s="114"/>
      <c r="I182" s="114"/>
      <c r="J182" s="114"/>
      <c r="K182" s="110"/>
      <c r="L182" s="109"/>
      <c r="M182" s="114"/>
      <c r="N182" s="114"/>
      <c r="O182" s="114"/>
      <c r="P182" s="110"/>
      <c r="Q182" s="166"/>
      <c r="R182" s="167"/>
      <c r="S182" s="167"/>
      <c r="T182" s="167"/>
      <c r="U182" s="168"/>
      <c r="V182" s="109"/>
      <c r="W182" s="114"/>
      <c r="X182" s="114"/>
      <c r="Y182" s="114"/>
      <c r="Z182" s="110"/>
    </row>
    <row r="183" spans="1:26" x14ac:dyDescent="0.25">
      <c r="A183" s="122"/>
      <c r="B183" s="109"/>
      <c r="C183" s="110"/>
      <c r="D183" s="109"/>
      <c r="E183" s="114"/>
      <c r="F183" s="110"/>
      <c r="G183" s="109"/>
      <c r="H183" s="114"/>
      <c r="I183" s="114"/>
      <c r="J183" s="114"/>
      <c r="K183" s="110"/>
      <c r="L183" s="109"/>
      <c r="M183" s="114"/>
      <c r="N183" s="114"/>
      <c r="O183" s="114"/>
      <c r="P183" s="110"/>
      <c r="Q183" s="166"/>
      <c r="R183" s="167"/>
      <c r="S183" s="167"/>
      <c r="T183" s="167"/>
      <c r="U183" s="168"/>
      <c r="V183" s="109"/>
      <c r="W183" s="114"/>
      <c r="X183" s="114"/>
      <c r="Y183" s="114"/>
      <c r="Z183" s="110"/>
    </row>
    <row r="184" spans="1:26" x14ac:dyDescent="0.25">
      <c r="A184" s="122"/>
      <c r="B184" s="109"/>
      <c r="C184" s="110"/>
      <c r="D184" s="109"/>
      <c r="E184" s="114"/>
      <c r="F184" s="110"/>
      <c r="G184" s="109"/>
      <c r="H184" s="114"/>
      <c r="I184" s="114"/>
      <c r="J184" s="114"/>
      <c r="K184" s="110"/>
      <c r="L184" s="109"/>
      <c r="M184" s="114"/>
      <c r="N184" s="114"/>
      <c r="O184" s="114"/>
      <c r="P184" s="110"/>
      <c r="Q184" s="166"/>
      <c r="R184" s="167"/>
      <c r="S184" s="167"/>
      <c r="T184" s="167"/>
      <c r="U184" s="168"/>
      <c r="V184" s="109"/>
      <c r="W184" s="114"/>
      <c r="X184" s="114"/>
      <c r="Y184" s="114"/>
      <c r="Z184" s="110"/>
    </row>
    <row r="185" spans="1:26" x14ac:dyDescent="0.25">
      <c r="A185" s="122"/>
      <c r="B185" s="109"/>
      <c r="C185" s="110"/>
      <c r="D185" s="109"/>
      <c r="E185" s="114"/>
      <c r="F185" s="110"/>
      <c r="G185" s="109"/>
      <c r="H185" s="114"/>
      <c r="I185" s="114"/>
      <c r="J185" s="114"/>
      <c r="K185" s="110"/>
      <c r="L185" s="109"/>
      <c r="M185" s="114"/>
      <c r="N185" s="114"/>
      <c r="O185" s="114"/>
      <c r="P185" s="110"/>
      <c r="Q185" s="166"/>
      <c r="R185" s="167"/>
      <c r="S185" s="167"/>
      <c r="T185" s="167"/>
      <c r="U185" s="168"/>
      <c r="V185" s="109"/>
      <c r="W185" s="114"/>
      <c r="X185" s="114"/>
      <c r="Y185" s="114"/>
      <c r="Z185" s="110"/>
    </row>
    <row r="186" spans="1:26" x14ac:dyDescent="0.25">
      <c r="A186" s="122"/>
      <c r="B186" s="109"/>
      <c r="C186" s="110"/>
      <c r="D186" s="109"/>
      <c r="E186" s="114"/>
      <c r="F186" s="110"/>
      <c r="G186" s="109"/>
      <c r="H186" s="114"/>
      <c r="I186" s="114"/>
      <c r="J186" s="114"/>
      <c r="K186" s="110"/>
      <c r="L186" s="109"/>
      <c r="M186" s="114"/>
      <c r="N186" s="114"/>
      <c r="O186" s="114"/>
      <c r="P186" s="110"/>
      <c r="Q186" s="166"/>
      <c r="R186" s="167"/>
      <c r="S186" s="167"/>
      <c r="T186" s="167"/>
      <c r="U186" s="168"/>
      <c r="V186" s="109"/>
      <c r="W186" s="114"/>
      <c r="X186" s="114"/>
      <c r="Y186" s="114"/>
      <c r="Z186" s="110"/>
    </row>
    <row r="187" spans="1:26" x14ac:dyDescent="0.25">
      <c r="A187" s="122"/>
      <c r="B187" s="109"/>
      <c r="C187" s="110"/>
      <c r="D187" s="109"/>
      <c r="E187" s="114"/>
      <c r="F187" s="110"/>
      <c r="G187" s="109"/>
      <c r="H187" s="114"/>
      <c r="I187" s="114"/>
      <c r="J187" s="114"/>
      <c r="K187" s="110"/>
      <c r="L187" s="109"/>
      <c r="M187" s="114"/>
      <c r="N187" s="114"/>
      <c r="O187" s="114"/>
      <c r="P187" s="110"/>
      <c r="Q187" s="166"/>
      <c r="R187" s="167"/>
      <c r="S187" s="167"/>
      <c r="T187" s="167"/>
      <c r="U187" s="168"/>
      <c r="V187" s="109"/>
      <c r="W187" s="114"/>
      <c r="X187" s="114"/>
      <c r="Y187" s="114"/>
      <c r="Z187" s="110"/>
    </row>
    <row r="188" spans="1:26" x14ac:dyDescent="0.25">
      <c r="A188" s="122"/>
      <c r="B188" s="109"/>
      <c r="C188" s="110"/>
      <c r="D188" s="109"/>
      <c r="E188" s="114"/>
      <c r="F188" s="110"/>
      <c r="G188" s="109"/>
      <c r="H188" s="114"/>
      <c r="I188" s="114"/>
      <c r="J188" s="114"/>
      <c r="K188" s="110"/>
      <c r="L188" s="109"/>
      <c r="M188" s="114"/>
      <c r="N188" s="114"/>
      <c r="O188" s="114"/>
      <c r="P188" s="110"/>
      <c r="Q188" s="166"/>
      <c r="R188" s="167"/>
      <c r="S188" s="167"/>
      <c r="T188" s="167"/>
      <c r="U188" s="168"/>
      <c r="V188" s="109"/>
      <c r="W188" s="114"/>
      <c r="X188" s="114"/>
      <c r="Y188" s="114"/>
      <c r="Z188" s="110"/>
    </row>
    <row r="189" spans="1:26" ht="15" customHeight="1" x14ac:dyDescent="0.25">
      <c r="A189" s="123"/>
      <c r="B189" s="111"/>
      <c r="C189" s="112"/>
      <c r="D189" s="111"/>
      <c r="E189" s="115"/>
      <c r="F189" s="112"/>
      <c r="G189" s="111"/>
      <c r="H189" s="115"/>
      <c r="I189" s="115"/>
      <c r="J189" s="115"/>
      <c r="K189" s="112"/>
      <c r="L189" s="111"/>
      <c r="M189" s="115"/>
      <c r="N189" s="115"/>
      <c r="O189" s="115"/>
      <c r="P189" s="112"/>
      <c r="Q189" s="169"/>
      <c r="R189" s="170"/>
      <c r="S189" s="170"/>
      <c r="T189" s="170"/>
      <c r="U189" s="171"/>
      <c r="V189" s="111"/>
      <c r="W189" s="115"/>
      <c r="X189" s="115"/>
      <c r="Y189" s="115"/>
      <c r="Z189" s="112"/>
    </row>
    <row r="190" spans="1:26" x14ac:dyDescent="0.25">
      <c r="A190" s="5" t="s">
        <v>22</v>
      </c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</row>
    <row r="191" spans="1:26" x14ac:dyDescent="0.25">
      <c r="A191" s="50" t="s">
        <v>14</v>
      </c>
      <c r="B191" s="103">
        <f>1.96 + 3.8</f>
        <v>5.76</v>
      </c>
      <c r="C191" s="103"/>
      <c r="D191" s="103">
        <f>3.86 + 3.24 + 3.54 + 3.7 + 1.1 + 1.56 + 1.18 + 1.92 + 3.9 + 3.14 + 3.26 + 3.1 + 2.52 + 3.56 + 1.04 + 2.3 + 2.82 + 3.36 + 3.28 + 3.76 + 1 + 1.2 + 3.22 + 3.74 + 3.88 + 3.84 + 3.84 + 2.38 + 3.74 + 3.82 + 3.74 + 3.82 + 2.98 + 2.86 + 2.74 + 2.38 + 2.96 + 2.96 + 2.98 + 2.56 + 2.66 + 3.14 + 3.16 + 2.46 + 2.56 + 2.98 + 1.72 + 2.06 + 2.96 + 2.72 + 2.94 + 2.36 + 1.26 + 2.12 + 2.7 + 2.7 + 2.56 + 2.94 + 2.74 + 3 + 2.36 + 3.02 + 3 + 2.92 + 3 + 2.88 + 2.82 + 2.88 + 2.96 + 2.94</f>
        <v>197.29999999999995</v>
      </c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4">
        <f>1.36 + 2.96 + 2.48 + 2.78 + 4.32 + 3.92 + 3.38 + 3.84 + 4.7 + 4.56 + 3.1 + 1.4 + 1.7 + 2.3 + 2.36 + 2 + 2.4 + 1.54 + 2.6 + 2.78 + 2.68 + 1.84</f>
        <v>61</v>
      </c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x14ac:dyDescent="0.25">
      <c r="A192" s="105">
        <v>45224</v>
      </c>
      <c r="B192" s="106"/>
      <c r="C192" s="106"/>
      <c r="D192" s="106" t="s">
        <v>99</v>
      </c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62" t="s">
        <v>98</v>
      </c>
      <c r="R192" s="162"/>
      <c r="S192" s="162"/>
      <c r="T192" s="162"/>
      <c r="U192" s="162"/>
      <c r="V192" s="106"/>
      <c r="W192" s="106"/>
      <c r="X192" s="106"/>
      <c r="Y192" s="106"/>
      <c r="Z192" s="106"/>
    </row>
    <row r="193" spans="1:26" x14ac:dyDescent="0.25">
      <c r="A193" s="105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62"/>
      <c r="R193" s="162"/>
      <c r="S193" s="162"/>
      <c r="T193" s="162"/>
      <c r="U193" s="162"/>
      <c r="V193" s="106"/>
      <c r="W193" s="106"/>
      <c r="X193" s="106"/>
      <c r="Y193" s="106"/>
      <c r="Z193" s="106"/>
    </row>
    <row r="194" spans="1:26" x14ac:dyDescent="0.25">
      <c r="A194" s="105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62"/>
      <c r="R194" s="162"/>
      <c r="S194" s="162"/>
      <c r="T194" s="162"/>
      <c r="U194" s="162"/>
      <c r="V194" s="106"/>
      <c r="W194" s="106"/>
      <c r="X194" s="106"/>
      <c r="Y194" s="106"/>
      <c r="Z194" s="106"/>
    </row>
    <row r="195" spans="1:26" x14ac:dyDescent="0.25">
      <c r="A195" s="105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62"/>
      <c r="R195" s="162"/>
      <c r="S195" s="162"/>
      <c r="T195" s="162"/>
      <c r="U195" s="162"/>
      <c r="V195" s="106"/>
      <c r="W195" s="106"/>
      <c r="X195" s="106"/>
      <c r="Y195" s="106"/>
      <c r="Z195" s="106"/>
    </row>
    <row r="196" spans="1:26" x14ac:dyDescent="0.25">
      <c r="A196" s="105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62"/>
      <c r="R196" s="162"/>
      <c r="S196" s="162"/>
      <c r="T196" s="162"/>
      <c r="U196" s="162"/>
      <c r="V196" s="106"/>
      <c r="W196" s="106"/>
      <c r="X196" s="106"/>
      <c r="Y196" s="106"/>
      <c r="Z196" s="106"/>
    </row>
    <row r="197" spans="1:26" x14ac:dyDescent="0.25">
      <c r="A197" s="105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62"/>
      <c r="R197" s="162"/>
      <c r="S197" s="162"/>
      <c r="T197" s="162"/>
      <c r="U197" s="162"/>
      <c r="V197" s="106"/>
      <c r="W197" s="106"/>
      <c r="X197" s="106"/>
      <c r="Y197" s="106"/>
      <c r="Z197" s="106"/>
    </row>
    <row r="198" spans="1:26" x14ac:dyDescent="0.25">
      <c r="A198" s="105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62"/>
      <c r="R198" s="162"/>
      <c r="S198" s="162"/>
      <c r="T198" s="162"/>
      <c r="U198" s="162"/>
      <c r="V198" s="106"/>
      <c r="W198" s="106"/>
      <c r="X198" s="106"/>
      <c r="Y198" s="106"/>
      <c r="Z198" s="106"/>
    </row>
    <row r="199" spans="1:26" x14ac:dyDescent="0.25">
      <c r="A199" s="105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62"/>
      <c r="R199" s="162"/>
      <c r="S199" s="162"/>
      <c r="T199" s="162"/>
      <c r="U199" s="162"/>
      <c r="V199" s="106"/>
      <c r="W199" s="106"/>
      <c r="X199" s="106"/>
      <c r="Y199" s="106"/>
      <c r="Z199" s="106"/>
    </row>
    <row r="200" spans="1:26" x14ac:dyDescent="0.25">
      <c r="A200" s="5" t="s">
        <v>22</v>
      </c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</row>
    <row r="201" spans="1:26" x14ac:dyDescent="0.25">
      <c r="A201" s="51" t="s">
        <v>14</v>
      </c>
      <c r="B201" s="103"/>
      <c r="C201" s="103"/>
      <c r="D201" s="103">
        <f>2.96 + 3.48 + 3.48 + 3.08 + 3.66 + 4.32 + 3.06 + 3.8 + 3.64 + 2.86 + 1.38 + 3.82 + 2.78 + 0.84 + 3.86 + 3.76 + 3.7 + 3.76 + 3.74 + 3.76 + 3.56 + 2.4 + 3.48 + 3.18 + 3.52 + 3.16 + 3.8 + 3.74 + 2.58 + 2.94 + 2.92 + 2.66 + 2.1 + 2.68 + 2.64 + 2.86 + 2.98 + 2.66 + 2.8 + 2.62 + 1.74 + 2.96 + 2.98 + 2.6 + 2.62 + 3.04 + 2.64 + 2.64 + 3.18 + 2.62 + 3.24 + 3.22 + 2.44 + 2.72 + 3.22 + 3.4</f>
        <v>170.27999999999997</v>
      </c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4">
        <f>1.66 + 1.48 + 1.82 + 3.9 + 2.34 + 1.22 + 1.96</f>
        <v>14.379999999999999</v>
      </c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x14ac:dyDescent="0.25">
      <c r="A202" s="105">
        <v>45226</v>
      </c>
      <c r="B202" s="106"/>
      <c r="C202" s="106"/>
      <c r="D202" s="106" t="s">
        <v>100</v>
      </c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62"/>
      <c r="R202" s="162"/>
      <c r="S202" s="162"/>
      <c r="T202" s="162"/>
      <c r="U202" s="162"/>
      <c r="V202" s="106"/>
      <c r="W202" s="106"/>
      <c r="X202" s="106"/>
      <c r="Y202" s="106"/>
      <c r="Z202" s="106"/>
    </row>
    <row r="203" spans="1:26" x14ac:dyDescent="0.25">
      <c r="A203" s="105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62"/>
      <c r="R203" s="162"/>
      <c r="S203" s="162"/>
      <c r="T203" s="162"/>
      <c r="U203" s="162"/>
      <c r="V203" s="106"/>
      <c r="W203" s="106"/>
      <c r="X203" s="106"/>
      <c r="Y203" s="106"/>
      <c r="Z203" s="106"/>
    </row>
    <row r="204" spans="1:26" x14ac:dyDescent="0.25">
      <c r="A204" s="105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62"/>
      <c r="R204" s="162"/>
      <c r="S204" s="162"/>
      <c r="T204" s="162"/>
      <c r="U204" s="162"/>
      <c r="V204" s="106"/>
      <c r="W204" s="106"/>
      <c r="X204" s="106"/>
      <c r="Y204" s="106"/>
      <c r="Z204" s="106"/>
    </row>
    <row r="205" spans="1:26" x14ac:dyDescent="0.25">
      <c r="A205" s="105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62"/>
      <c r="R205" s="162"/>
      <c r="S205" s="162"/>
      <c r="T205" s="162"/>
      <c r="U205" s="162"/>
      <c r="V205" s="106"/>
      <c r="W205" s="106"/>
      <c r="X205" s="106"/>
      <c r="Y205" s="106"/>
      <c r="Z205" s="106"/>
    </row>
    <row r="206" spans="1:26" x14ac:dyDescent="0.25">
      <c r="A206" s="105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62"/>
      <c r="R206" s="162"/>
      <c r="S206" s="162"/>
      <c r="T206" s="162"/>
      <c r="U206" s="162"/>
      <c r="V206" s="106"/>
      <c r="W206" s="106"/>
      <c r="X206" s="106"/>
      <c r="Y206" s="106"/>
      <c r="Z206" s="106"/>
    </row>
    <row r="207" spans="1:26" x14ac:dyDescent="0.25">
      <c r="A207" s="105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62"/>
      <c r="R207" s="162"/>
      <c r="S207" s="162"/>
      <c r="T207" s="162"/>
      <c r="U207" s="162"/>
      <c r="V207" s="106"/>
      <c r="W207" s="106"/>
      <c r="X207" s="106"/>
      <c r="Y207" s="106"/>
      <c r="Z207" s="106"/>
    </row>
    <row r="208" spans="1:26" x14ac:dyDescent="0.25">
      <c r="A208" s="105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62"/>
      <c r="R208" s="162"/>
      <c r="S208" s="162"/>
      <c r="T208" s="162"/>
      <c r="U208" s="162"/>
      <c r="V208" s="106"/>
      <c r="W208" s="106"/>
      <c r="X208" s="106"/>
      <c r="Y208" s="106"/>
      <c r="Z208" s="106"/>
    </row>
    <row r="209" spans="1:26" x14ac:dyDescent="0.25">
      <c r="A209" s="105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62"/>
      <c r="R209" s="162"/>
      <c r="S209" s="162"/>
      <c r="T209" s="162"/>
      <c r="U209" s="162"/>
      <c r="V209" s="106"/>
      <c r="W209" s="106"/>
      <c r="X209" s="106"/>
      <c r="Y209" s="106"/>
      <c r="Z209" s="106"/>
    </row>
    <row r="210" spans="1:26" x14ac:dyDescent="0.25">
      <c r="A210" s="5" t="s">
        <v>22</v>
      </c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</row>
    <row r="211" spans="1:26" x14ac:dyDescent="0.25">
      <c r="A211" s="52" t="s">
        <v>14</v>
      </c>
      <c r="B211" s="103"/>
      <c r="C211" s="103"/>
      <c r="D211" s="103">
        <f>1.68 + 1.46 + 0.88 + 1.56 + 2.92 + 2.5 + 3.64 + 3.4 + 3.6 + 3.58 + 3.54 + 3.58 + 3.56 + 3.8 + 2.28 + 3.82 + 3.88 + 3.8 + 3.98 + 3.9 + 3.98 + 3.44 + 3.54 + 1.9 + 4.48 + 2.18 + 1.8 + 2.98 + 3.06 + 3.2 + 2.68 + 3.02 + 3.02 + 2.36 + 3.14 + 3.14</f>
        <v>109.28000000000002</v>
      </c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</sheetData>
  <mergeCells count="370">
    <mergeCell ref="L201:P201"/>
    <mergeCell ref="Q201:U201"/>
    <mergeCell ref="V201:Z201"/>
    <mergeCell ref="A24:Z26"/>
    <mergeCell ref="B179:C179"/>
    <mergeCell ref="D179:F179"/>
    <mergeCell ref="G179:K179"/>
    <mergeCell ref="L179:P179"/>
    <mergeCell ref="Q179:U179"/>
    <mergeCell ref="V179:Z179"/>
    <mergeCell ref="A192:A199"/>
    <mergeCell ref="B192:C199"/>
    <mergeCell ref="D192:F199"/>
    <mergeCell ref="G192:K199"/>
    <mergeCell ref="L192:P199"/>
    <mergeCell ref="Q192:U199"/>
    <mergeCell ref="V192:Z199"/>
    <mergeCell ref="A180:A189"/>
    <mergeCell ref="B180:C189"/>
    <mergeCell ref="B191:C191"/>
    <mergeCell ref="D191:F191"/>
    <mergeCell ref="G191:K191"/>
    <mergeCell ref="L191:P191"/>
    <mergeCell ref="Q191:U191"/>
    <mergeCell ref="V170:Z177"/>
    <mergeCell ref="B178:C178"/>
    <mergeCell ref="D178:F178"/>
    <mergeCell ref="G178:K178"/>
    <mergeCell ref="L178:P178"/>
    <mergeCell ref="Q178:U178"/>
    <mergeCell ref="V178:Z178"/>
    <mergeCell ref="L190:P190"/>
    <mergeCell ref="Q190:U190"/>
    <mergeCell ref="V190:Z190"/>
    <mergeCell ref="D180:F189"/>
    <mergeCell ref="G180:K189"/>
    <mergeCell ref="L180:P189"/>
    <mergeCell ref="Q180:U189"/>
    <mergeCell ref="B190:C190"/>
    <mergeCell ref="D190:F190"/>
    <mergeCell ref="G190:K190"/>
    <mergeCell ref="A170:A177"/>
    <mergeCell ref="B170:C177"/>
    <mergeCell ref="D170:F177"/>
    <mergeCell ref="G170:K177"/>
    <mergeCell ref="L170:P177"/>
    <mergeCell ref="Q170:U177"/>
    <mergeCell ref="B129:C129"/>
    <mergeCell ref="D129:F129"/>
    <mergeCell ref="G129:K129"/>
    <mergeCell ref="L129:P129"/>
    <mergeCell ref="Q129:U129"/>
    <mergeCell ref="A130:A137"/>
    <mergeCell ref="B130:C137"/>
    <mergeCell ref="D130:F137"/>
    <mergeCell ref="G130:K137"/>
    <mergeCell ref="L130:P137"/>
    <mergeCell ref="Q130:U137"/>
    <mergeCell ref="A140:A147"/>
    <mergeCell ref="B140:C147"/>
    <mergeCell ref="D140:F147"/>
    <mergeCell ref="G140:K147"/>
    <mergeCell ref="L140:P147"/>
    <mergeCell ref="Q140:U147"/>
    <mergeCell ref="A150:A157"/>
    <mergeCell ref="V129:Z129"/>
    <mergeCell ref="A120:A127"/>
    <mergeCell ref="B120:C127"/>
    <mergeCell ref="D120:F127"/>
    <mergeCell ref="G120:K127"/>
    <mergeCell ref="L120:P127"/>
    <mergeCell ref="Q120:U127"/>
    <mergeCell ref="V120:Z127"/>
    <mergeCell ref="B128:C128"/>
    <mergeCell ref="D128:F128"/>
    <mergeCell ref="G128:K128"/>
    <mergeCell ref="L128:P128"/>
    <mergeCell ref="Q128:U128"/>
    <mergeCell ref="V128:Z128"/>
    <mergeCell ref="V48:Z48"/>
    <mergeCell ref="V49:Z49"/>
    <mergeCell ref="B27:Z27"/>
    <mergeCell ref="B29:Z29"/>
    <mergeCell ref="V28:Z28"/>
    <mergeCell ref="V30:Z37"/>
    <mergeCell ref="V38:Z38"/>
    <mergeCell ref="V39:Z39"/>
    <mergeCell ref="V40:Z47"/>
    <mergeCell ref="Q30:U37"/>
    <mergeCell ref="B39:C39"/>
    <mergeCell ref="D39:F39"/>
    <mergeCell ref="G39:K39"/>
    <mergeCell ref="L39:P39"/>
    <mergeCell ref="Q39:U39"/>
    <mergeCell ref="B38:C38"/>
    <mergeCell ref="D38:F38"/>
    <mergeCell ref="G38:K38"/>
    <mergeCell ref="L38:P38"/>
    <mergeCell ref="Q38:U38"/>
    <mergeCell ref="Q28:U28"/>
    <mergeCell ref="A1:AK6"/>
    <mergeCell ref="A7:A8"/>
    <mergeCell ref="B7:B8"/>
    <mergeCell ref="C7:C8"/>
    <mergeCell ref="D7:D8"/>
    <mergeCell ref="AK7:AK8"/>
    <mergeCell ref="AK11:AK12"/>
    <mergeCell ref="A11:A12"/>
    <mergeCell ref="B11:B12"/>
    <mergeCell ref="C11:C12"/>
    <mergeCell ref="D11:D12"/>
    <mergeCell ref="E7:E8"/>
    <mergeCell ref="E11:E12"/>
    <mergeCell ref="F7:AJ7"/>
    <mergeCell ref="F11:AJ11"/>
    <mergeCell ref="A30:A37"/>
    <mergeCell ref="B30:C37"/>
    <mergeCell ref="D30:F37"/>
    <mergeCell ref="G30:K37"/>
    <mergeCell ref="L30:P37"/>
    <mergeCell ref="A27:A29"/>
    <mergeCell ref="B28:C28"/>
    <mergeCell ref="D28:F28"/>
    <mergeCell ref="G28:K28"/>
    <mergeCell ref="L28:P28"/>
    <mergeCell ref="A40:A47"/>
    <mergeCell ref="B40:C47"/>
    <mergeCell ref="D40:F47"/>
    <mergeCell ref="G40:K47"/>
    <mergeCell ref="L40:P47"/>
    <mergeCell ref="Q40:U47"/>
    <mergeCell ref="B49:C49"/>
    <mergeCell ref="D49:F49"/>
    <mergeCell ref="G49:K49"/>
    <mergeCell ref="L49:P49"/>
    <mergeCell ref="Q49:U49"/>
    <mergeCell ref="B48:C48"/>
    <mergeCell ref="D48:F48"/>
    <mergeCell ref="G48:K48"/>
    <mergeCell ref="L48:P48"/>
    <mergeCell ref="Q48:U48"/>
    <mergeCell ref="Q50:U57"/>
    <mergeCell ref="V50:Z57"/>
    <mergeCell ref="B58:C58"/>
    <mergeCell ref="D58:F58"/>
    <mergeCell ref="G58:K58"/>
    <mergeCell ref="L58:P58"/>
    <mergeCell ref="Q58:U58"/>
    <mergeCell ref="V58:Z58"/>
    <mergeCell ref="A50:A57"/>
    <mergeCell ref="B50:C57"/>
    <mergeCell ref="D50:F57"/>
    <mergeCell ref="G50:K57"/>
    <mergeCell ref="L50:P57"/>
    <mergeCell ref="V59:Z59"/>
    <mergeCell ref="A60:A67"/>
    <mergeCell ref="B60:C67"/>
    <mergeCell ref="D60:F67"/>
    <mergeCell ref="G60:K67"/>
    <mergeCell ref="L60:P67"/>
    <mergeCell ref="Q60:U67"/>
    <mergeCell ref="V60:Z67"/>
    <mergeCell ref="B59:C59"/>
    <mergeCell ref="D59:F59"/>
    <mergeCell ref="G59:K59"/>
    <mergeCell ref="L59:P59"/>
    <mergeCell ref="Q59:U59"/>
    <mergeCell ref="V68:Z68"/>
    <mergeCell ref="B69:C69"/>
    <mergeCell ref="D69:F69"/>
    <mergeCell ref="G69:K69"/>
    <mergeCell ref="L69:P69"/>
    <mergeCell ref="Q69:U69"/>
    <mergeCell ref="V69:Z69"/>
    <mergeCell ref="B68:C68"/>
    <mergeCell ref="D68:F68"/>
    <mergeCell ref="G68:K68"/>
    <mergeCell ref="L68:P68"/>
    <mergeCell ref="Q68:U68"/>
    <mergeCell ref="Q70:U77"/>
    <mergeCell ref="V70:Z77"/>
    <mergeCell ref="B78:C78"/>
    <mergeCell ref="D78:F78"/>
    <mergeCell ref="G78:K78"/>
    <mergeCell ref="L78:P78"/>
    <mergeCell ref="Q78:U78"/>
    <mergeCell ref="V78:Z78"/>
    <mergeCell ref="A70:A77"/>
    <mergeCell ref="B70:C77"/>
    <mergeCell ref="D70:F77"/>
    <mergeCell ref="G70:K77"/>
    <mergeCell ref="L70:P77"/>
    <mergeCell ref="V79:Z79"/>
    <mergeCell ref="A80:A87"/>
    <mergeCell ref="B80:C87"/>
    <mergeCell ref="D80:F87"/>
    <mergeCell ref="G80:K87"/>
    <mergeCell ref="L80:P87"/>
    <mergeCell ref="Q80:U87"/>
    <mergeCell ref="V80:Z87"/>
    <mergeCell ref="B79:C79"/>
    <mergeCell ref="D79:F79"/>
    <mergeCell ref="G79:K79"/>
    <mergeCell ref="L79:P79"/>
    <mergeCell ref="Q79:U79"/>
    <mergeCell ref="V88:Z88"/>
    <mergeCell ref="B89:C89"/>
    <mergeCell ref="D89:F89"/>
    <mergeCell ref="G89:K89"/>
    <mergeCell ref="L89:P89"/>
    <mergeCell ref="Q89:U89"/>
    <mergeCell ref="V89:Z89"/>
    <mergeCell ref="B88:C88"/>
    <mergeCell ref="D88:F88"/>
    <mergeCell ref="G88:K88"/>
    <mergeCell ref="L88:P88"/>
    <mergeCell ref="Q88:U88"/>
    <mergeCell ref="Q90:U97"/>
    <mergeCell ref="V90:Z97"/>
    <mergeCell ref="B98:C98"/>
    <mergeCell ref="D98:F98"/>
    <mergeCell ref="G98:K98"/>
    <mergeCell ref="L98:P98"/>
    <mergeCell ref="Q98:U98"/>
    <mergeCell ref="V98:Z98"/>
    <mergeCell ref="A90:A97"/>
    <mergeCell ref="B90:C97"/>
    <mergeCell ref="D90:F97"/>
    <mergeCell ref="G90:K97"/>
    <mergeCell ref="L90:P97"/>
    <mergeCell ref="V99:Z99"/>
    <mergeCell ref="A100:A107"/>
    <mergeCell ref="B100:C107"/>
    <mergeCell ref="D100:F107"/>
    <mergeCell ref="G100:K107"/>
    <mergeCell ref="L100:P107"/>
    <mergeCell ref="Q100:U107"/>
    <mergeCell ref="V100:Z107"/>
    <mergeCell ref="B99:C99"/>
    <mergeCell ref="D99:F99"/>
    <mergeCell ref="G99:K99"/>
    <mergeCell ref="L99:P99"/>
    <mergeCell ref="Q99:U99"/>
    <mergeCell ref="V108:Z108"/>
    <mergeCell ref="B109:C109"/>
    <mergeCell ref="D109:F109"/>
    <mergeCell ref="G109:K109"/>
    <mergeCell ref="L109:P109"/>
    <mergeCell ref="Q109:U109"/>
    <mergeCell ref="V109:Z109"/>
    <mergeCell ref="B108:C108"/>
    <mergeCell ref="D108:F108"/>
    <mergeCell ref="G108:K108"/>
    <mergeCell ref="L108:P108"/>
    <mergeCell ref="Q108:U108"/>
    <mergeCell ref="B119:C119"/>
    <mergeCell ref="D119:F119"/>
    <mergeCell ref="G119:K119"/>
    <mergeCell ref="L119:P119"/>
    <mergeCell ref="Q119:U119"/>
    <mergeCell ref="V119:Z119"/>
    <mergeCell ref="A110:A117"/>
    <mergeCell ref="B110:C117"/>
    <mergeCell ref="D110:F117"/>
    <mergeCell ref="G110:K117"/>
    <mergeCell ref="L110:P117"/>
    <mergeCell ref="Q110:U117"/>
    <mergeCell ref="V110:Z117"/>
    <mergeCell ref="B118:C118"/>
    <mergeCell ref="D118:F118"/>
    <mergeCell ref="G118:K118"/>
    <mergeCell ref="L118:P118"/>
    <mergeCell ref="Q118:U118"/>
    <mergeCell ref="V118:Z118"/>
    <mergeCell ref="V130:Z137"/>
    <mergeCell ref="B138:C138"/>
    <mergeCell ref="D138:F138"/>
    <mergeCell ref="G138:K138"/>
    <mergeCell ref="L138:P138"/>
    <mergeCell ref="Q138:U138"/>
    <mergeCell ref="V138:Z138"/>
    <mergeCell ref="B139:C139"/>
    <mergeCell ref="D139:F139"/>
    <mergeCell ref="G139:K139"/>
    <mergeCell ref="L139:P139"/>
    <mergeCell ref="Q139:U139"/>
    <mergeCell ref="V139:Z139"/>
    <mergeCell ref="V140:Z147"/>
    <mergeCell ref="B148:C148"/>
    <mergeCell ref="D148:F148"/>
    <mergeCell ref="G148:K148"/>
    <mergeCell ref="L148:P148"/>
    <mergeCell ref="Q148:U148"/>
    <mergeCell ref="V148:Z148"/>
    <mergeCell ref="B149:C149"/>
    <mergeCell ref="D149:F149"/>
    <mergeCell ref="G149:K149"/>
    <mergeCell ref="L149:P149"/>
    <mergeCell ref="Q149:U149"/>
    <mergeCell ref="V149:Z149"/>
    <mergeCell ref="B150:C157"/>
    <mergeCell ref="D150:F157"/>
    <mergeCell ref="G150:K157"/>
    <mergeCell ref="L150:P157"/>
    <mergeCell ref="Q150:U157"/>
    <mergeCell ref="V150:Z157"/>
    <mergeCell ref="B158:C158"/>
    <mergeCell ref="D158:F158"/>
    <mergeCell ref="G158:K158"/>
    <mergeCell ref="L158:P158"/>
    <mergeCell ref="Q158:U158"/>
    <mergeCell ref="V158:Z158"/>
    <mergeCell ref="L159:P159"/>
    <mergeCell ref="Q159:U159"/>
    <mergeCell ref="V159:Z159"/>
    <mergeCell ref="A160:A167"/>
    <mergeCell ref="B160:C167"/>
    <mergeCell ref="D160:F167"/>
    <mergeCell ref="G160:K167"/>
    <mergeCell ref="L160:P167"/>
    <mergeCell ref="Q160:U167"/>
    <mergeCell ref="V160:Z167"/>
    <mergeCell ref="B211:C211"/>
    <mergeCell ref="D211:F211"/>
    <mergeCell ref="G211:K211"/>
    <mergeCell ref="L211:P211"/>
    <mergeCell ref="Q211:U211"/>
    <mergeCell ref="V211:Z211"/>
    <mergeCell ref="V180:Z189"/>
    <mergeCell ref="A202:A209"/>
    <mergeCell ref="B202:C209"/>
    <mergeCell ref="D202:F209"/>
    <mergeCell ref="G202:K209"/>
    <mergeCell ref="L202:P209"/>
    <mergeCell ref="Q202:U209"/>
    <mergeCell ref="V202:Z209"/>
    <mergeCell ref="B200:C200"/>
    <mergeCell ref="D200:F200"/>
    <mergeCell ref="G200:K200"/>
    <mergeCell ref="L200:P200"/>
    <mergeCell ref="Q200:U200"/>
    <mergeCell ref="V200:Z200"/>
    <mergeCell ref="B201:C201"/>
    <mergeCell ref="D201:F201"/>
    <mergeCell ref="G201:K201"/>
    <mergeCell ref="V191:Z191"/>
    <mergeCell ref="A22:B22"/>
    <mergeCell ref="AL7:AL8"/>
    <mergeCell ref="AL11:AL12"/>
    <mergeCell ref="B210:C210"/>
    <mergeCell ref="D210:F210"/>
    <mergeCell ref="G210:K210"/>
    <mergeCell ref="L210:P210"/>
    <mergeCell ref="Q210:U210"/>
    <mergeCell ref="V210:Z210"/>
    <mergeCell ref="B168:C168"/>
    <mergeCell ref="D168:F168"/>
    <mergeCell ref="G168:K168"/>
    <mergeCell ref="L168:P168"/>
    <mergeCell ref="Q168:U168"/>
    <mergeCell ref="V168:Z168"/>
    <mergeCell ref="B169:C169"/>
    <mergeCell ref="D169:F169"/>
    <mergeCell ref="G169:K169"/>
    <mergeCell ref="L169:P169"/>
    <mergeCell ref="Q169:U169"/>
    <mergeCell ref="V169:Z169"/>
    <mergeCell ref="B159:C159"/>
    <mergeCell ref="D159:F159"/>
    <mergeCell ref="G159:K15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49"/>
  <sheetViews>
    <sheetView zoomScale="85" zoomScaleNormal="85" workbookViewId="0">
      <pane xSplit="6" ySplit="8" topLeftCell="Y9" activePane="bottomRight" state="frozen"/>
      <selection pane="topRight" activeCell="G1" sqref="G1"/>
      <selection pane="bottomLeft" activeCell="A9" sqref="A9"/>
      <selection pane="bottomRight" activeCell="AK23" sqref="AK23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5" width="8" bestFit="1" customWidth="1"/>
    <col min="36" max="36" width="8" customWidth="1"/>
    <col min="37" max="37" width="15.42578125" customWidth="1"/>
    <col min="38" max="38" width="11.42578125" customWidth="1"/>
  </cols>
  <sheetData>
    <row r="1" spans="1:38" ht="15" customHeight="1" x14ac:dyDescent="0.25">
      <c r="A1" s="140" t="s">
        <v>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36"/>
    </row>
    <row r="2" spans="1:38" ht="15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36"/>
    </row>
    <row r="3" spans="1:38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36"/>
    </row>
    <row r="4" spans="1:38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36"/>
    </row>
    <row r="5" spans="1:38" ht="15" customHeight="1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36"/>
    </row>
    <row r="6" spans="1:38" ht="15" customHeight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37"/>
    </row>
    <row r="7" spans="1:38" ht="15" customHeight="1" x14ac:dyDescent="0.25">
      <c r="A7" s="150" t="s">
        <v>0</v>
      </c>
      <c r="B7" s="145" t="s">
        <v>29</v>
      </c>
      <c r="C7" s="150" t="s">
        <v>28</v>
      </c>
      <c r="D7" s="150" t="s">
        <v>7</v>
      </c>
      <c r="E7" s="155" t="s">
        <v>103</v>
      </c>
      <c r="F7" s="147" t="s">
        <v>5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9"/>
      <c r="AK7" s="145" t="s">
        <v>8</v>
      </c>
      <c r="AL7" s="145" t="s">
        <v>25</v>
      </c>
    </row>
    <row r="8" spans="1:38" x14ac:dyDescent="0.25">
      <c r="A8" s="151"/>
      <c r="B8" s="146"/>
      <c r="C8" s="151"/>
      <c r="D8" s="151"/>
      <c r="E8" s="155"/>
      <c r="F8" s="33" t="s">
        <v>60</v>
      </c>
      <c r="G8" s="3">
        <v>45231</v>
      </c>
      <c r="H8" s="3">
        <v>45232</v>
      </c>
      <c r="I8" s="3">
        <v>45233</v>
      </c>
      <c r="J8" s="3">
        <v>45234</v>
      </c>
      <c r="K8" s="3">
        <v>45235</v>
      </c>
      <c r="L8" s="3">
        <v>45236</v>
      </c>
      <c r="M8" s="3">
        <v>45237</v>
      </c>
      <c r="N8" s="3">
        <v>45238</v>
      </c>
      <c r="O8" s="3">
        <v>45239</v>
      </c>
      <c r="P8" s="3">
        <v>45240</v>
      </c>
      <c r="Q8" s="3">
        <v>45241</v>
      </c>
      <c r="R8" s="3">
        <v>45242</v>
      </c>
      <c r="S8" s="3">
        <v>45243</v>
      </c>
      <c r="T8" s="3">
        <v>45244</v>
      </c>
      <c r="U8" s="3">
        <v>45245</v>
      </c>
      <c r="V8" s="3">
        <v>45246</v>
      </c>
      <c r="W8" s="3">
        <v>45247</v>
      </c>
      <c r="X8" s="3">
        <v>45248</v>
      </c>
      <c r="Y8" s="3">
        <v>45249</v>
      </c>
      <c r="Z8" s="3">
        <v>45250</v>
      </c>
      <c r="AA8" s="3">
        <v>45251</v>
      </c>
      <c r="AB8" s="3">
        <v>45252</v>
      </c>
      <c r="AC8" s="3">
        <v>45253</v>
      </c>
      <c r="AD8" s="3">
        <v>45254</v>
      </c>
      <c r="AE8" s="3">
        <v>45255</v>
      </c>
      <c r="AF8" s="3">
        <v>45256</v>
      </c>
      <c r="AG8" s="3">
        <v>45257</v>
      </c>
      <c r="AH8" s="3">
        <v>45258</v>
      </c>
      <c r="AI8" s="3">
        <v>45259</v>
      </c>
      <c r="AJ8" s="3">
        <v>45260</v>
      </c>
      <c r="AK8" s="146"/>
      <c r="AL8" s="146"/>
    </row>
    <row r="9" spans="1:38" x14ac:dyDescent="0.25">
      <c r="A9" s="34" t="s">
        <v>43</v>
      </c>
      <c r="B9" s="56" t="s">
        <v>9</v>
      </c>
      <c r="C9" s="2">
        <v>20230926002</v>
      </c>
      <c r="D9" s="17">
        <v>600</v>
      </c>
      <c r="E9" s="7">
        <v>602.1</v>
      </c>
      <c r="F9" s="35">
        <f>IFERROR(IF(SUMIF('10'!$C$9:$C$1000,'11'!C9,'10'!$AK$9:$AK$1000)&lt;0,0,SUMIF('10'!$C$9:$C$1000,'11'!C9,'10'!$AK$9:$AK$1000)),0)</f>
        <v>585.89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>D39</f>
        <v>118.10000000000002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>SUM(F9:AJ9)</f>
        <v>703.99</v>
      </c>
      <c r="AL9" s="59">
        <f>SUM(AK9-D9)</f>
        <v>103.99000000000001</v>
      </c>
    </row>
    <row r="10" spans="1:38" x14ac:dyDescent="0.25">
      <c r="A10" s="34" t="s">
        <v>41</v>
      </c>
      <c r="B10" s="56" t="s">
        <v>4</v>
      </c>
      <c r="C10" s="2">
        <v>20230926001</v>
      </c>
      <c r="D10" s="14">
        <v>300</v>
      </c>
      <c r="E10" s="7">
        <v>300.89999999999998</v>
      </c>
      <c r="F10" s="35">
        <f>IFERROR(IF(SUMIF('10'!$C$9:$C$1000,'11'!C10,'10'!$AK$9:$AK$1000)&lt;0,0,SUMIF('10'!$C$9:$C$1000,'11'!C10,'10'!$AK$9:$AK$1000)),0)</f>
        <v>287.41999999999996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7">
        <f t="shared" ref="AK10:AK11" si="0">SUM(F10:AJ10)</f>
        <v>287.41999999999996</v>
      </c>
      <c r="AL10" s="60">
        <f>SUM(AK10-D10)</f>
        <v>-12.580000000000041</v>
      </c>
    </row>
    <row r="11" spans="1:38" s="19" customFormat="1" x14ac:dyDescent="0.25">
      <c r="A11" s="27" t="s">
        <v>40</v>
      </c>
      <c r="B11" s="56" t="s">
        <v>24</v>
      </c>
      <c r="C11" s="2">
        <v>20230926005</v>
      </c>
      <c r="D11" s="17">
        <v>1600</v>
      </c>
      <c r="E11" s="7">
        <v>1606.4</v>
      </c>
      <c r="F11" s="35">
        <f>IFERROR(IF(SUMIF('10'!$C$9:$C$1000,'11'!C11,'10'!$AK$9:$AK$1000)&lt;0,0,SUMIF('10'!$C$9:$C$1000,'11'!C11,'10'!$AK$9:$AK$1000)),0)</f>
        <v>1589.18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>Q39</f>
        <v>62.660000000000011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7">
        <f t="shared" si="0"/>
        <v>1651.8400000000001</v>
      </c>
      <c r="AL11" s="59">
        <f>SUM(AK11-D11)</f>
        <v>51.840000000000146</v>
      </c>
    </row>
    <row r="12" spans="1:38" s="19" customFormat="1" x14ac:dyDescent="0.25">
      <c r="A12" s="61"/>
      <c r="B12" s="57"/>
      <c r="C12" s="62"/>
      <c r="D12" s="30"/>
      <c r="E12" s="30"/>
      <c r="F12" s="30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3"/>
      <c r="AL12" s="64"/>
    </row>
    <row r="13" spans="1:38" ht="15" customHeight="1" x14ac:dyDescent="0.25">
      <c r="A13" s="150" t="s">
        <v>0</v>
      </c>
      <c r="B13" s="145" t="s">
        <v>29</v>
      </c>
      <c r="C13" s="150" t="s">
        <v>28</v>
      </c>
      <c r="D13" s="150" t="s">
        <v>7</v>
      </c>
      <c r="E13" s="155" t="s">
        <v>103</v>
      </c>
      <c r="F13" s="147" t="s">
        <v>5</v>
      </c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9"/>
      <c r="AK13" s="145" t="s">
        <v>8</v>
      </c>
      <c r="AL13" s="145" t="s">
        <v>25</v>
      </c>
    </row>
    <row r="14" spans="1:38" x14ac:dyDescent="0.25">
      <c r="A14" s="151"/>
      <c r="B14" s="146"/>
      <c r="C14" s="151"/>
      <c r="D14" s="151"/>
      <c r="E14" s="155"/>
      <c r="F14" s="33" t="s">
        <v>60</v>
      </c>
      <c r="G14" s="3">
        <v>45231</v>
      </c>
      <c r="H14" s="3">
        <v>45232</v>
      </c>
      <c r="I14" s="3">
        <v>45233</v>
      </c>
      <c r="J14" s="3">
        <v>45234</v>
      </c>
      <c r="K14" s="3">
        <v>45235</v>
      </c>
      <c r="L14" s="3">
        <v>45236</v>
      </c>
      <c r="M14" s="3">
        <v>45237</v>
      </c>
      <c r="N14" s="3">
        <v>45238</v>
      </c>
      <c r="O14" s="3">
        <v>45239</v>
      </c>
      <c r="P14" s="3">
        <v>45240</v>
      </c>
      <c r="Q14" s="3">
        <v>45241</v>
      </c>
      <c r="R14" s="3">
        <v>45242</v>
      </c>
      <c r="S14" s="3">
        <v>45243</v>
      </c>
      <c r="T14" s="3">
        <v>45244</v>
      </c>
      <c r="U14" s="3">
        <v>45245</v>
      </c>
      <c r="V14" s="3">
        <v>45246</v>
      </c>
      <c r="W14" s="3">
        <v>45247</v>
      </c>
      <c r="X14" s="3">
        <v>45248</v>
      </c>
      <c r="Y14" s="3">
        <v>45249</v>
      </c>
      <c r="Z14" s="3">
        <v>45250</v>
      </c>
      <c r="AA14" s="3">
        <v>45251</v>
      </c>
      <c r="AB14" s="3">
        <v>45252</v>
      </c>
      <c r="AC14" s="3">
        <v>45253</v>
      </c>
      <c r="AD14" s="3">
        <v>45254</v>
      </c>
      <c r="AE14" s="3">
        <v>45255</v>
      </c>
      <c r="AF14" s="3">
        <v>45256</v>
      </c>
      <c r="AG14" s="3">
        <v>45257</v>
      </c>
      <c r="AH14" s="3">
        <v>45258</v>
      </c>
      <c r="AI14" s="3">
        <v>45259</v>
      </c>
      <c r="AJ14" s="3">
        <v>45260</v>
      </c>
      <c r="AK14" s="146"/>
      <c r="AL14" s="146"/>
    </row>
    <row r="15" spans="1:38" x14ac:dyDescent="0.25">
      <c r="A15" s="34" t="s">
        <v>1</v>
      </c>
      <c r="B15" s="56" t="s">
        <v>2</v>
      </c>
      <c r="C15" s="1">
        <v>20231101009</v>
      </c>
      <c r="D15" s="35">
        <v>500</v>
      </c>
      <c r="E15" s="14">
        <v>501.75</v>
      </c>
      <c r="F15" s="35">
        <f>'10'!AL13</f>
        <v>72.469999999999914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f>B59</f>
        <v>15.32</v>
      </c>
      <c r="X15" s="8"/>
      <c r="Y15" s="8"/>
      <c r="Z15" s="8">
        <f>B69</f>
        <v>47.48</v>
      </c>
      <c r="AA15" s="8">
        <f>B79</f>
        <v>41</v>
      </c>
      <c r="AB15" s="8">
        <f>B89</f>
        <v>28.560000000000002</v>
      </c>
      <c r="AC15" s="8"/>
      <c r="AD15" s="8"/>
      <c r="AE15" s="8"/>
      <c r="AF15" s="8"/>
      <c r="AG15" s="8"/>
      <c r="AH15" s="8"/>
      <c r="AI15" s="8"/>
      <c r="AJ15" s="8"/>
      <c r="AK15" s="14">
        <f>SUM(F15:AJ15)</f>
        <v>204.8299999999999</v>
      </c>
      <c r="AL15" s="14">
        <f>SUM(AK15-D15)</f>
        <v>-295.17000000000007</v>
      </c>
    </row>
    <row r="16" spans="1:38" x14ac:dyDescent="0.25">
      <c r="A16" s="34" t="s">
        <v>43</v>
      </c>
      <c r="B16" s="56" t="s">
        <v>9</v>
      </c>
      <c r="C16" s="2">
        <v>20231101008</v>
      </c>
      <c r="D16" s="14">
        <f>280 + 120</f>
        <v>400</v>
      </c>
      <c r="E16" s="14">
        <f>280.45 + 120.95</f>
        <v>401.4</v>
      </c>
      <c r="F16" s="35">
        <f>AL9</f>
        <v>103.99000000000001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>
        <v>118.82</v>
      </c>
      <c r="W16" s="8">
        <f>D59</f>
        <v>40.82</v>
      </c>
      <c r="X16" s="8"/>
      <c r="Y16" s="8"/>
      <c r="Z16" s="8">
        <f>D69</f>
        <v>58.280000000000008</v>
      </c>
      <c r="AA16" s="8">
        <f>D79</f>
        <v>38.880000000000003</v>
      </c>
      <c r="AB16" s="8">
        <f>D89</f>
        <v>35.859999999999992</v>
      </c>
      <c r="AC16" s="8"/>
      <c r="AD16" s="8"/>
      <c r="AE16" s="8"/>
      <c r="AF16" s="8"/>
      <c r="AG16" s="8"/>
      <c r="AH16" s="8"/>
      <c r="AI16" s="8"/>
      <c r="AJ16" s="8"/>
      <c r="AK16" s="14">
        <f>SUM(F16:AJ16)</f>
        <v>396.65000000000003</v>
      </c>
      <c r="AL16" s="14">
        <f>SUM(AK16-D16)</f>
        <v>-3.3499999999999659</v>
      </c>
    </row>
    <row r="17" spans="1:38" x14ac:dyDescent="0.25">
      <c r="A17" s="34" t="s">
        <v>42</v>
      </c>
      <c r="B17" s="56" t="s">
        <v>3</v>
      </c>
      <c r="C17" s="2">
        <v>20231101010</v>
      </c>
      <c r="D17" s="14">
        <v>1200</v>
      </c>
      <c r="E17" s="14">
        <v>1203.5999999999999</v>
      </c>
      <c r="F17" s="88">
        <f>'10'!AL17</f>
        <v>-9.7699626167013776E-14</v>
      </c>
      <c r="G17" s="8"/>
      <c r="H17" s="8"/>
      <c r="I17" s="8"/>
      <c r="J17" s="8"/>
      <c r="K17" s="8"/>
      <c r="L17" s="65"/>
      <c r="M17" s="8"/>
      <c r="N17" s="8"/>
      <c r="O17" s="8"/>
      <c r="P17" s="8"/>
      <c r="Q17" s="8"/>
      <c r="R17" s="8"/>
      <c r="S17" s="66"/>
      <c r="T17" s="8"/>
      <c r="U17" s="8"/>
      <c r="V17" s="8"/>
      <c r="W17" s="8"/>
      <c r="X17" s="8"/>
      <c r="Y17" s="8"/>
      <c r="Z17" s="8"/>
      <c r="AA17" s="8"/>
      <c r="AB17" s="8"/>
      <c r="AC17" s="8">
        <f>G99</f>
        <v>275.15999999999997</v>
      </c>
      <c r="AD17" s="8">
        <f>G109</f>
        <v>132.58000000000001</v>
      </c>
      <c r="AE17" s="8"/>
      <c r="AF17" s="8"/>
      <c r="AG17" s="8">
        <f>G119</f>
        <v>218.54</v>
      </c>
      <c r="AH17" s="8">
        <f>G129</f>
        <v>190.23999999999998</v>
      </c>
      <c r="AI17" s="8">
        <f>G139</f>
        <v>191.74000000000004</v>
      </c>
      <c r="AJ17" s="8">
        <f>G149</f>
        <v>112.8</v>
      </c>
      <c r="AK17" s="182">
        <f>SUM(F17:AJ17)</f>
        <v>1121.06</v>
      </c>
      <c r="AL17" s="14">
        <f t="shared" ref="AL17:AL20" si="1">SUM(AK17-D17)</f>
        <v>-78.940000000000055</v>
      </c>
    </row>
    <row r="18" spans="1:38" s="19" customFormat="1" x14ac:dyDescent="0.25">
      <c r="A18" s="27" t="s">
        <v>40</v>
      </c>
      <c r="B18" s="56" t="s">
        <v>24</v>
      </c>
      <c r="C18" s="2">
        <v>20231101011</v>
      </c>
      <c r="D18" s="14">
        <f>200 + 1800</f>
        <v>2000</v>
      </c>
      <c r="E18" s="14">
        <f>204.7 + 1803.3</f>
        <v>2008</v>
      </c>
      <c r="F18" s="14">
        <f>AL11</f>
        <v>51.840000000000146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f>Q49</f>
        <v>65.460000000000022</v>
      </c>
      <c r="W18" s="8">
        <f>Q59</f>
        <v>33.24</v>
      </c>
      <c r="X18" s="8"/>
      <c r="Y18" s="8"/>
      <c r="Z18" s="8">
        <f>Q69</f>
        <v>66.959999999999994</v>
      </c>
      <c r="AA18" s="8">
        <f>Q79</f>
        <v>52.1</v>
      </c>
      <c r="AB18" s="8">
        <f>Q89</f>
        <v>61.639999999999993</v>
      </c>
      <c r="AC18" s="8">
        <f>Q99</f>
        <v>58.120000000000005</v>
      </c>
      <c r="AD18" s="8">
        <f>Q109</f>
        <v>29.9</v>
      </c>
      <c r="AE18" s="8"/>
      <c r="AF18" s="8"/>
      <c r="AG18" s="8">
        <f>Q119</f>
        <v>47.800000000000004</v>
      </c>
      <c r="AH18" s="8">
        <f>Q129</f>
        <v>62.1</v>
      </c>
      <c r="AI18" s="8">
        <f>Q139</f>
        <v>37.6</v>
      </c>
      <c r="AJ18" s="8">
        <f>Q149</f>
        <v>61.38</v>
      </c>
      <c r="AK18" s="14">
        <f>SUM(F18:AJ18)</f>
        <v>628.14000000000021</v>
      </c>
      <c r="AL18" s="14">
        <f t="shared" si="1"/>
        <v>-1371.8599999999997</v>
      </c>
    </row>
    <row r="19" spans="1:38" x14ac:dyDescent="0.25">
      <c r="A19" s="34" t="s">
        <v>41</v>
      </c>
      <c r="B19" s="68" t="s">
        <v>128</v>
      </c>
      <c r="C19" s="2">
        <v>20231123016</v>
      </c>
      <c r="D19" s="14">
        <v>50</v>
      </c>
      <c r="E19" s="7">
        <v>50.2</v>
      </c>
      <c r="F19" s="7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f>L129</f>
        <v>28.599999999999998</v>
      </c>
      <c r="AI19" s="2"/>
      <c r="AJ19" s="2"/>
      <c r="AK19" s="14">
        <f t="shared" ref="AK16:AK20" si="2">SUM(G19:AJ19)</f>
        <v>28.599999999999998</v>
      </c>
      <c r="AL19" s="14">
        <f t="shared" si="1"/>
        <v>-21.400000000000002</v>
      </c>
    </row>
    <row r="20" spans="1:38" s="19" customFormat="1" x14ac:dyDescent="0.25">
      <c r="A20" s="27" t="s">
        <v>40</v>
      </c>
      <c r="B20" s="68" t="s">
        <v>127</v>
      </c>
      <c r="C20" s="2">
        <v>20231123017</v>
      </c>
      <c r="D20" s="14">
        <v>60</v>
      </c>
      <c r="E20" s="14">
        <v>60.24</v>
      </c>
      <c r="F20" s="14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14">
        <f t="shared" si="2"/>
        <v>0</v>
      </c>
      <c r="AL20" s="14">
        <f t="shared" si="1"/>
        <v>-60</v>
      </c>
    </row>
    <row r="21" spans="1:38" s="19" customFormat="1" x14ac:dyDescent="0.25">
      <c r="A21" s="61"/>
      <c r="B21" s="57"/>
      <c r="C21" s="62"/>
      <c r="D21" s="30"/>
      <c r="E21" s="63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3"/>
      <c r="AL21" s="64"/>
    </row>
    <row r="22" spans="1:38" x14ac:dyDescent="0.25">
      <c r="A22" s="154" t="s">
        <v>101</v>
      </c>
      <c r="B22" s="154"/>
      <c r="C22" s="58">
        <f>SUM(G9:AJ11,G15:AJ18)</f>
        <v>2303.1400000000003</v>
      </c>
      <c r="D22" s="53" t="s">
        <v>102</v>
      </c>
      <c r="AK22" s="30"/>
    </row>
    <row r="24" spans="1:38" ht="15" customHeight="1" x14ac:dyDescent="0.25">
      <c r="A24" s="152" t="s">
        <v>10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38" ht="15" customHeight="1" x14ac:dyDescent="0.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38" ht="15" customHeight="1" x14ac:dyDescent="0.2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38" x14ac:dyDescent="0.25">
      <c r="A27" s="130" t="s">
        <v>11</v>
      </c>
      <c r="B27" s="147" t="s">
        <v>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9"/>
    </row>
    <row r="28" spans="1:38" x14ac:dyDescent="0.25">
      <c r="A28" s="130"/>
      <c r="B28" s="159" t="s">
        <v>1</v>
      </c>
      <c r="C28" s="159"/>
      <c r="D28" s="159" t="s">
        <v>43</v>
      </c>
      <c r="E28" s="159"/>
      <c r="F28" s="159"/>
      <c r="G28" s="159" t="s">
        <v>42</v>
      </c>
      <c r="H28" s="159"/>
      <c r="I28" s="159"/>
      <c r="J28" s="159"/>
      <c r="K28" s="159"/>
      <c r="L28" s="159" t="s">
        <v>41</v>
      </c>
      <c r="M28" s="159"/>
      <c r="N28" s="159"/>
      <c r="O28" s="159"/>
      <c r="P28" s="159"/>
      <c r="Q28" s="131" t="s">
        <v>40</v>
      </c>
      <c r="R28" s="131"/>
      <c r="S28" s="131"/>
      <c r="T28" s="131"/>
      <c r="U28" s="131"/>
      <c r="V28" s="131" t="s">
        <v>64</v>
      </c>
      <c r="W28" s="131"/>
      <c r="X28" s="131"/>
      <c r="Y28" s="131"/>
      <c r="Z28" s="131"/>
    </row>
    <row r="29" spans="1:38" x14ac:dyDescent="0.25">
      <c r="A29" s="130"/>
      <c r="B29" s="147" t="s">
        <v>12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9"/>
    </row>
    <row r="30" spans="1:38" x14ac:dyDescent="0.25">
      <c r="A30" s="105">
        <v>45245</v>
      </c>
      <c r="B30" s="106"/>
      <c r="C30" s="106"/>
      <c r="D30" s="106" t="s">
        <v>110</v>
      </c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 t="s">
        <v>109</v>
      </c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38" x14ac:dyDescent="0.25">
      <c r="A31" s="105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38" x14ac:dyDescent="0.25">
      <c r="A32" s="105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x14ac:dyDescent="0.25">
      <c r="A33" s="105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x14ac:dyDescent="0.25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x14ac:dyDescent="0.25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x14ac:dyDescent="0.25">
      <c r="A36" s="105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x14ac:dyDescent="0.25">
      <c r="A37" s="105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s="53" customFormat="1" x14ac:dyDescent="0.25">
      <c r="A38" s="6" t="s">
        <v>22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</row>
    <row r="39" spans="1:26" s="53" customFormat="1" x14ac:dyDescent="0.25">
      <c r="A39" s="67" t="s">
        <v>14</v>
      </c>
      <c r="B39" s="103"/>
      <c r="C39" s="103"/>
      <c r="D39" s="103">
        <f>3.3 + 3.22 + 3.32 + 3.3 + 2.98 + 3.04 + 2.88 + 2.92 + 2.74 + 2.76 + 2.82 + 2.86 + 2.76 + 2.78 + 2.94 + 2.94 + 2.94 + 2.88 + 2.92 + 2.94 + 2.56 + 2.9 + 2.9 + 2.9 + 2.72 + 2.7 + 2.68 + 2.62 + 2.78 + 2.8 + 2.76 + 2.76 + 2.7 + 2.72 + 2.6 + 2.64 + 2.6 + 2.56 + 2.54 + 2.52 + 2.44 + 2.46</f>
        <v>118.10000000000002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>
        <f>1.58 + 1.54 + 2.24 + 2.96 + 2.02 + 2.78 + 2.14 + 2.5 + 2.42 + 2.26 + 2.6 + 2.58 + 3.02 + 3.22 + 2.58 + 2.6 + 2.16 + 3.1 + 2.54 + 3.5 + 2.74 + 2.46 + 1.52 + 2.16 + 1 + 2.44</f>
        <v>62.660000000000011</v>
      </c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x14ac:dyDescent="0.25">
      <c r="A40" s="105">
        <v>45246</v>
      </c>
      <c r="B40" s="106"/>
      <c r="C40" s="106"/>
      <c r="D40" s="106" t="s">
        <v>111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 t="s">
        <v>112</v>
      </c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x14ac:dyDescent="0.25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x14ac:dyDescent="0.25">
      <c r="A42" s="105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x14ac:dyDescent="0.25">
      <c r="A43" s="105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x14ac:dyDescent="0.25">
      <c r="A44" s="105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x14ac:dyDescent="0.25">
      <c r="A45" s="105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x14ac:dyDescent="0.25">
      <c r="A46" s="105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x14ac:dyDescent="0.25">
      <c r="A47" s="105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spans="1:26" s="53" customFormat="1" x14ac:dyDescent="0.25">
      <c r="A48" s="6" t="s">
        <v>22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 spans="1:26" s="53" customFormat="1" x14ac:dyDescent="0.25">
      <c r="A49" s="67" t="s">
        <v>14</v>
      </c>
      <c r="B49" s="103"/>
      <c r="C49" s="103"/>
      <c r="D49" s="103">
        <f t="shared" ref="D49" si="3">3.14 + 3.06 + 3.1 + 3.08 + 3.02 + 2.04 + 3.06 + 3.06 + 3.06 + 3.02 + 3.02 + 3.02 + 1.94 + 1.8 + 3.24 + 3.46 + 3.72 + 3.32 + 3.22 + 3.28 + 3.28 + 3.16 + 2.98 + 3.26 + 3.74 + 3.34 + 2.98 + 3.28 + 1.34 + 1.34 + 2.98 + 1.62 + 2.44 + 2.82 + 1.52 + 2.56 + 1.88 + 1.34 + 2.78 + 1.9 + 2.64 + 2.96</f>
        <v>115.80000000000001</v>
      </c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4">
        <f>3.34 + 1.84 + 2.42 + 2.68 + 2.42 + 3 + 2.96 + 2.68 + 3.04 + 3.02 + 3.12 + 3.4 + 2.88 + 3.16 + 1.02 + 1.52 + 2.1 + 2.16 + 1.4 + 1.52 + 1.48 + 1.6 + 2.5 + 1.28 + 1.14 + 1.86 + 1.98 + 2.28 + 1.66</f>
        <v>65.460000000000022</v>
      </c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x14ac:dyDescent="0.25">
      <c r="A50" s="105">
        <v>45247</v>
      </c>
      <c r="B50" s="106" t="s">
        <v>113</v>
      </c>
      <c r="C50" s="106"/>
      <c r="D50" s="106" t="s">
        <v>114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 t="s">
        <v>115</v>
      </c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x14ac:dyDescent="0.25">
      <c r="A51" s="105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x14ac:dyDescent="0.25">
      <c r="A52" s="105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x14ac:dyDescent="0.25">
      <c r="A53" s="105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x14ac:dyDescent="0.25">
      <c r="A54" s="105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x14ac:dyDescent="0.25">
      <c r="A55" s="105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x14ac:dyDescent="0.25">
      <c r="A56" s="105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x14ac:dyDescent="0.25">
      <c r="A57" s="105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s="53" customFormat="1" x14ac:dyDescent="0.25">
      <c r="A58" s="6" t="s">
        <v>22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spans="1:26" s="53" customFormat="1" x14ac:dyDescent="0.25">
      <c r="A59" s="67" t="s">
        <v>14</v>
      </c>
      <c r="B59" s="103">
        <f>2.24 + 0.84 + 1.3 + 1.44 + 2.06 + 1.66 + 2.56 + 1.86 + 1.36</f>
        <v>15.32</v>
      </c>
      <c r="C59" s="103"/>
      <c r="D59" s="103">
        <f>2.06 + 2.18 + 2.04 + 2.28 + 3.58 + 2 + 2.96 + 3.74 + 2.32 + 3.46 + 2.98 + 3.6 + 3.72 + 1.64 + 2.26</f>
        <v>40.82</v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4">
        <f>3.58 + 3.6 + 3.1 + 2.98 + 1.06 + 1.34 + 3.24 + 2.1 + 3.5 + 2.76 + 3.1 + 2.88</f>
        <v>33.24</v>
      </c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x14ac:dyDescent="0.25">
      <c r="A60" s="105">
        <v>45250</v>
      </c>
      <c r="B60" s="106" t="s">
        <v>116</v>
      </c>
      <c r="C60" s="106"/>
      <c r="D60" s="106" t="s">
        <v>117</v>
      </c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 t="s">
        <v>118</v>
      </c>
      <c r="R60" s="106"/>
      <c r="S60" s="106"/>
      <c r="T60" s="106"/>
      <c r="U60" s="106"/>
      <c r="V60" s="106"/>
      <c r="W60" s="106"/>
      <c r="X60" s="106"/>
      <c r="Y60" s="106"/>
      <c r="Z60" s="106"/>
    </row>
    <row r="61" spans="1:26" x14ac:dyDescent="0.25">
      <c r="A61" s="105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spans="1:26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spans="1:26" x14ac:dyDescent="0.25">
      <c r="A63" s="105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spans="1:26" x14ac:dyDescent="0.25">
      <c r="A64" s="105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spans="1:26" x14ac:dyDescent="0.25">
      <c r="A65" s="105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spans="1:26" x14ac:dyDescent="0.2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x14ac:dyDescent="0.25">
      <c r="A67" s="105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s="53" customFormat="1" x14ac:dyDescent="0.25">
      <c r="A68" s="6" t="s">
        <v>22</v>
      </c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spans="1:26" s="53" customFormat="1" x14ac:dyDescent="0.25">
      <c r="A69" s="67" t="s">
        <v>14</v>
      </c>
      <c r="B69" s="103">
        <f>3.38 + 3.14 + 2.48 + 3.36 + 2.54 + 2.26 + 2.86 + 1.76 + 3.64 + 1.78 + 2.86 + 3.32 + 2.04 + 1.06 + 1.92 + 3.36 + 2.46 + 3.26</f>
        <v>47.48</v>
      </c>
      <c r="C69" s="103"/>
      <c r="D69" s="103">
        <f>3.22 + 3.02 + 3.36 + 3.32 + 1.38 + 3 + 3.24 + 2.92 + 3.32 + 3.22 + 1.6 + 3.42 + 3.3 + 1.52 + 3.22 + 2.94 + 3.24 + 3.36 + 2.66 + 3.02</f>
        <v>58.280000000000008</v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4">
        <f>2.92 + 1.5 + 0.9 + 1.08 + 2.6 + 1.22 + 2.02 + 2.38 + 2.6 + 3 + 3.2 + 1.9 + 2.52 + 3.3 + 2.58 + 2.62 + 2.42 + 1.8 + 2.62 + 3.1 + 2.48 + 1.82 + 3.04 + 0.88 + 0.88 + 2.88 + 2.44 + 1.46 + 1.78 + 3.02</f>
        <v>66.959999999999994</v>
      </c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x14ac:dyDescent="0.25">
      <c r="A70" s="105">
        <v>45251</v>
      </c>
      <c r="B70" s="106" t="s">
        <v>119</v>
      </c>
      <c r="C70" s="106"/>
      <c r="D70" s="106" t="s">
        <v>120</v>
      </c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 t="s">
        <v>121</v>
      </c>
      <c r="R70" s="106"/>
      <c r="S70" s="106"/>
      <c r="T70" s="106"/>
      <c r="U70" s="106"/>
      <c r="V70" s="106"/>
      <c r="W70" s="106"/>
      <c r="X70" s="106"/>
      <c r="Y70" s="106"/>
      <c r="Z70" s="106"/>
    </row>
    <row r="71" spans="1:26" x14ac:dyDescent="0.25">
      <c r="A71" s="105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spans="1:26" x14ac:dyDescent="0.2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spans="1:26" x14ac:dyDescent="0.25">
      <c r="A73" s="105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spans="1:26" x14ac:dyDescent="0.25">
      <c r="A74" s="105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spans="1:26" x14ac:dyDescent="0.25">
      <c r="A75" s="105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spans="1:26" x14ac:dyDescent="0.25">
      <c r="A76" s="105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spans="1:26" x14ac:dyDescent="0.25">
      <c r="A77" s="105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spans="1:26" s="53" customFormat="1" x14ac:dyDescent="0.25">
      <c r="A78" s="6" t="s">
        <v>22</v>
      </c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</row>
    <row r="79" spans="1:26" s="53" customFormat="1" x14ac:dyDescent="0.25">
      <c r="A79" s="67" t="s">
        <v>14</v>
      </c>
      <c r="B79" s="103">
        <f>0.98 + 2.88 + 2.54 + 3.02 + 2.22 + 2.3 + 2.76 + 2.68 + 3.48 + 3.26 + 3.3 + 2.72 + 2.34 + 3.3 + 3.22</f>
        <v>41</v>
      </c>
      <c r="C79" s="103"/>
      <c r="D79" s="103">
        <f>1.96 + 1.92 + 1.94 + 1.86 + 2.78 + 3.42 + 1.78 + 3.4 + 3.44 + 3.44 + 2.86 + 2.8 + 2.68 + 2.7 + 1.9</f>
        <v>38.880000000000003</v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4">
        <f>1.82 + 1.04 + 1.68 + 1.44 + 2.94 + 3 + 2.68 + 3.88 + 3.24 + 3.78 + 2.74 + 3.32 + 3.54 + 3.4 + 3.38 + 2.8 + 3.22 + 3.18 + 1.02</f>
        <v>52.1</v>
      </c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x14ac:dyDescent="0.25">
      <c r="A80" s="105">
        <v>45252</v>
      </c>
      <c r="B80" s="106" t="s">
        <v>122</v>
      </c>
      <c r="C80" s="106"/>
      <c r="D80" s="106" t="s">
        <v>123</v>
      </c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 t="s">
        <v>124</v>
      </c>
      <c r="R80" s="106"/>
      <c r="S80" s="106"/>
      <c r="T80" s="106"/>
      <c r="U80" s="106"/>
      <c r="V80" s="106"/>
      <c r="W80" s="106"/>
      <c r="X80" s="106"/>
      <c r="Y80" s="106"/>
      <c r="Z80" s="106"/>
    </row>
    <row r="81" spans="1:26" x14ac:dyDescent="0.25">
      <c r="A81" s="105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spans="1:26" x14ac:dyDescent="0.25">
      <c r="A82" s="105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spans="1:26" x14ac:dyDescent="0.25">
      <c r="A83" s="105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spans="1:26" x14ac:dyDescent="0.25">
      <c r="A84" s="105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spans="1:26" x14ac:dyDescent="0.25">
      <c r="A85" s="105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6" x14ac:dyDescent="0.25">
      <c r="A86" s="105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spans="1:26" x14ac:dyDescent="0.25">
      <c r="A87" s="105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spans="1:26" s="53" customFormat="1" x14ac:dyDescent="0.25">
      <c r="A88" s="6" t="s">
        <v>22</v>
      </c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</row>
    <row r="89" spans="1:26" s="53" customFormat="1" x14ac:dyDescent="0.25">
      <c r="A89" s="67" t="s">
        <v>14</v>
      </c>
      <c r="B89" s="103">
        <f>1.94 + 2.34 + 3.22 + 3.26 + 2.42 + 3.3 + 3.28 + 3.26 + 3.22 + 2.32</f>
        <v>28.560000000000002</v>
      </c>
      <c r="C89" s="103"/>
      <c r="D89" s="103">
        <f>3.62 + 3.5 + 3.38  + 3.38 + 3.36 + 3.4 + 3.5 + 2.82 + 1.9 + 3.56 + 3.44</f>
        <v>35.859999999999992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4">
        <f>2 + 1.48 + 1.14 + 2.46 + 2.44 + 2.26 + 2.02 + 2.36 + 2.46 + 2.4 + 2.36 + 1.26 + 2.2 + 2.18 + 2.38 + 1.9 + 1.26 + 2.42 + 2.46 + 2.04 + 1.42 + 2.42 + 1.94 + 2.44 + 2.28 + 2.08 + 2.16 + 1.66 + 2.26 + 1.5</f>
        <v>61.639999999999993</v>
      </c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x14ac:dyDescent="0.25">
      <c r="A90" s="105">
        <v>45253</v>
      </c>
      <c r="B90" s="106"/>
      <c r="C90" s="106"/>
      <c r="D90" s="106"/>
      <c r="E90" s="106"/>
      <c r="F90" s="106"/>
      <c r="G90" s="106" t="s">
        <v>125</v>
      </c>
      <c r="H90" s="106"/>
      <c r="I90" s="106"/>
      <c r="J90" s="106"/>
      <c r="K90" s="106"/>
      <c r="L90" s="106"/>
      <c r="M90" s="106"/>
      <c r="N90" s="106"/>
      <c r="O90" s="106"/>
      <c r="P90" s="106"/>
      <c r="Q90" s="106" t="s">
        <v>126</v>
      </c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x14ac:dyDescent="0.25">
      <c r="A91" s="105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x14ac:dyDescent="0.25">
      <c r="A92" s="105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x14ac:dyDescent="0.25">
      <c r="A93" s="105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x14ac:dyDescent="0.25">
      <c r="A94" s="105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x14ac:dyDescent="0.25">
      <c r="A95" s="105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x14ac:dyDescent="0.25">
      <c r="A96" s="105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x14ac:dyDescent="0.25">
      <c r="A97" s="105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s="53" customFormat="1" x14ac:dyDescent="0.25">
      <c r="A98" s="6" t="s">
        <v>22</v>
      </c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 spans="1:26" s="53" customFormat="1" x14ac:dyDescent="0.25">
      <c r="A99" s="67" t="s">
        <v>14</v>
      </c>
      <c r="B99" s="103"/>
      <c r="C99" s="103"/>
      <c r="D99" s="103"/>
      <c r="E99" s="103"/>
      <c r="F99" s="103"/>
      <c r="G99" s="103">
        <f>7.02 + 8.68 + 7.84 + 7.28 + 7.64 + 8.2 + 7.9 + 7 + 7.8 + 5.02 + 7.58 + 8.04 + 8.02 + 7.6 + 5.44 + 4.94 + 5.48 + 7.14 + 7.2 + 7.1 + 7.02 + 7.16 + 6.9 + 7.64 + 7.08 + 5.18 + 5.14 + 5.22 + 5.04 + 5.24 + 5.06 + 7.14 + 7.28 + 8.18 + 7.12 + 5.26 + 5.26 + 5.12 + 5.34 + 6.8 + 8.06</f>
        <v>275.15999999999997</v>
      </c>
      <c r="H99" s="103"/>
      <c r="I99" s="103"/>
      <c r="J99" s="103"/>
      <c r="K99" s="103"/>
      <c r="L99" s="103"/>
      <c r="M99" s="103"/>
      <c r="N99" s="103"/>
      <c r="O99" s="103"/>
      <c r="P99" s="103"/>
      <c r="Q99" s="104">
        <f>7.96 + 8.76 + 7.74 + 8.78 + 8.32 + 6.78 + 3.14 + 6.64</f>
        <v>58.120000000000005</v>
      </c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x14ac:dyDescent="0.25">
      <c r="A100" s="105">
        <v>45254</v>
      </c>
      <c r="B100" s="106"/>
      <c r="C100" s="106"/>
      <c r="D100" s="106"/>
      <c r="E100" s="106"/>
      <c r="F100" s="106"/>
      <c r="G100" s="106" t="s">
        <v>130</v>
      </c>
      <c r="H100" s="106"/>
      <c r="I100" s="106"/>
      <c r="J100" s="106"/>
      <c r="K100" s="106"/>
      <c r="L100" s="106"/>
      <c r="M100" s="106"/>
      <c r="N100" s="106"/>
      <c r="O100" s="106"/>
      <c r="P100" s="106"/>
      <c r="Q100" s="106" t="s">
        <v>129</v>
      </c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x14ac:dyDescent="0.25">
      <c r="A101" s="105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x14ac:dyDescent="0.25">
      <c r="A102" s="105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x14ac:dyDescent="0.25">
      <c r="A103" s="105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x14ac:dyDescent="0.25">
      <c r="A104" s="105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x14ac:dyDescent="0.25">
      <c r="A105" s="105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x14ac:dyDescent="0.25">
      <c r="A106" s="105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x14ac:dyDescent="0.25">
      <c r="A107" s="105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s="53" customFormat="1" x14ac:dyDescent="0.25">
      <c r="A108" s="6" t="s">
        <v>22</v>
      </c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</row>
    <row r="109" spans="1:26" s="53" customFormat="1" x14ac:dyDescent="0.25">
      <c r="A109" s="67" t="s">
        <v>14</v>
      </c>
      <c r="B109" s="103"/>
      <c r="C109" s="103"/>
      <c r="D109" s="103"/>
      <c r="E109" s="103"/>
      <c r="F109" s="103"/>
      <c r="G109" s="103">
        <f>9.38 + 9.38 + 9.54 + 9.62 + 9.54 + 9.48 + 9.52 + 9.34 + 9.5 + 9.52 + 9.4 + 9.34 + 9.5 + 9.52</f>
        <v>132.58000000000001</v>
      </c>
      <c r="H109" s="103"/>
      <c r="I109" s="103"/>
      <c r="J109" s="103"/>
      <c r="K109" s="103"/>
      <c r="L109" s="103"/>
      <c r="M109" s="103"/>
      <c r="N109" s="103"/>
      <c r="O109" s="103"/>
      <c r="P109" s="103"/>
      <c r="Q109" s="104">
        <f>4.92 + 4.56 + 3.52 + 5.02 + 2.46 + 4.52 + 4.9</f>
        <v>29.9</v>
      </c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x14ac:dyDescent="0.25">
      <c r="A110" s="105">
        <v>45257</v>
      </c>
      <c r="B110" s="106"/>
      <c r="C110" s="106"/>
      <c r="D110" s="106"/>
      <c r="E110" s="106"/>
      <c r="F110" s="106"/>
      <c r="G110" s="106" t="s">
        <v>132</v>
      </c>
      <c r="H110" s="106"/>
      <c r="I110" s="106"/>
      <c r="J110" s="106"/>
      <c r="K110" s="106"/>
      <c r="L110" s="106"/>
      <c r="M110" s="106"/>
      <c r="N110" s="106"/>
      <c r="O110" s="106"/>
      <c r="P110" s="106"/>
      <c r="Q110" s="106" t="s">
        <v>131</v>
      </c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x14ac:dyDescent="0.25">
      <c r="A114" s="105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x14ac:dyDescent="0.25">
      <c r="A115" s="105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x14ac:dyDescent="0.25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x14ac:dyDescent="0.25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s="53" customFormat="1" x14ac:dyDescent="0.25">
      <c r="A118" s="6" t="s">
        <v>22</v>
      </c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</row>
    <row r="119" spans="1:26" s="53" customFormat="1" x14ac:dyDescent="0.25">
      <c r="A119" s="67" t="s">
        <v>14</v>
      </c>
      <c r="B119" s="103"/>
      <c r="C119" s="103"/>
      <c r="D119" s="103"/>
      <c r="E119" s="103"/>
      <c r="F119" s="103"/>
      <c r="G119" s="103">
        <f>5.16 + 6.7 + 5.02 + 5.38 + 4.7 + 5.02 + 6.96 + 5.26 + 6.86 + 4.22 + 6.98 + 7.2 + 6.98 + 6.7 + 6.98 + 5.64 + 6.7 + 4.9 + 6.96 + 7.22 + 7.22 + 5.1 + 4.9 + 7.98 + 7.2 + 6.82 + 6.8 + 4.1 + 4.88 + 4.58 + 7.28 + 5.18 + 6.34 + 7.66 + 5.82 + 5.14</f>
        <v>218.54</v>
      </c>
      <c r="H119" s="103"/>
      <c r="I119" s="103"/>
      <c r="J119" s="103"/>
      <c r="K119" s="103"/>
      <c r="L119" s="103"/>
      <c r="M119" s="103"/>
      <c r="N119" s="103"/>
      <c r="O119" s="103"/>
      <c r="P119" s="103"/>
      <c r="Q119" s="104">
        <f>3.76 + 5.1 + 1.5 + 8.38 + 2.54 + 1.66 + 9.2 + 2.26 + 2.5 + 5.02 + 5.88</f>
        <v>47.800000000000004</v>
      </c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x14ac:dyDescent="0.25">
      <c r="A120" s="105">
        <v>45258</v>
      </c>
      <c r="B120" s="106"/>
      <c r="C120" s="106"/>
      <c r="D120" s="106"/>
      <c r="E120" s="106"/>
      <c r="F120" s="106"/>
      <c r="G120" s="106" t="s">
        <v>133</v>
      </c>
      <c r="H120" s="106"/>
      <c r="I120" s="106"/>
      <c r="J120" s="106"/>
      <c r="K120" s="106"/>
      <c r="L120" s="106" t="s">
        <v>135</v>
      </c>
      <c r="M120" s="106"/>
      <c r="N120" s="106"/>
      <c r="O120" s="106"/>
      <c r="P120" s="106"/>
      <c r="Q120" s="162" t="s">
        <v>134</v>
      </c>
      <c r="R120" s="162"/>
      <c r="S120" s="162"/>
      <c r="T120" s="162"/>
      <c r="U120" s="162"/>
      <c r="V120" s="106"/>
      <c r="W120" s="106"/>
      <c r="X120" s="106"/>
      <c r="Y120" s="106"/>
      <c r="Z120" s="106"/>
    </row>
    <row r="121" spans="1:26" x14ac:dyDescent="0.25">
      <c r="A121" s="105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62"/>
      <c r="R121" s="162"/>
      <c r="S121" s="162"/>
      <c r="T121" s="162"/>
      <c r="U121" s="162"/>
      <c r="V121" s="106"/>
      <c r="W121" s="106"/>
      <c r="X121" s="106"/>
      <c r="Y121" s="106"/>
      <c r="Z121" s="106"/>
    </row>
    <row r="122" spans="1:26" x14ac:dyDescent="0.25">
      <c r="A122" s="105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62"/>
      <c r="R122" s="162"/>
      <c r="S122" s="162"/>
      <c r="T122" s="162"/>
      <c r="U122" s="162"/>
      <c r="V122" s="106"/>
      <c r="W122" s="106"/>
      <c r="X122" s="106"/>
      <c r="Y122" s="106"/>
      <c r="Z122" s="106"/>
    </row>
    <row r="123" spans="1:26" x14ac:dyDescent="0.25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62"/>
      <c r="R123" s="162"/>
      <c r="S123" s="162"/>
      <c r="T123" s="162"/>
      <c r="U123" s="162"/>
      <c r="V123" s="106"/>
      <c r="W123" s="106"/>
      <c r="X123" s="106"/>
      <c r="Y123" s="106"/>
      <c r="Z123" s="106"/>
    </row>
    <row r="124" spans="1:26" x14ac:dyDescent="0.25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62"/>
      <c r="R124" s="162"/>
      <c r="S124" s="162"/>
      <c r="T124" s="162"/>
      <c r="U124" s="162"/>
      <c r="V124" s="106"/>
      <c r="W124" s="106"/>
      <c r="X124" s="106"/>
      <c r="Y124" s="106"/>
      <c r="Z124" s="106"/>
    </row>
    <row r="125" spans="1:26" x14ac:dyDescent="0.25">
      <c r="A125" s="105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62"/>
      <c r="R125" s="162"/>
      <c r="S125" s="162"/>
      <c r="T125" s="162"/>
      <c r="U125" s="162"/>
      <c r="V125" s="106"/>
      <c r="W125" s="106"/>
      <c r="X125" s="106"/>
      <c r="Y125" s="106"/>
      <c r="Z125" s="106"/>
    </row>
    <row r="126" spans="1:26" x14ac:dyDescent="0.25">
      <c r="A126" s="105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62"/>
      <c r="R126" s="162"/>
      <c r="S126" s="162"/>
      <c r="T126" s="162"/>
      <c r="U126" s="162"/>
      <c r="V126" s="106"/>
      <c r="W126" s="106"/>
      <c r="X126" s="106"/>
      <c r="Y126" s="106"/>
      <c r="Z126" s="106"/>
    </row>
    <row r="127" spans="1:26" x14ac:dyDescent="0.25">
      <c r="A127" s="105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62"/>
      <c r="R127" s="162"/>
      <c r="S127" s="162"/>
      <c r="T127" s="162"/>
      <c r="U127" s="162"/>
      <c r="V127" s="106"/>
      <c r="W127" s="106"/>
      <c r="X127" s="106"/>
      <c r="Y127" s="106"/>
      <c r="Z127" s="106"/>
    </row>
    <row r="128" spans="1:26" s="53" customFormat="1" x14ac:dyDescent="0.25">
      <c r="A128" s="6" t="s">
        <v>22</v>
      </c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</row>
    <row r="129" spans="1:26" s="53" customFormat="1" x14ac:dyDescent="0.25">
      <c r="A129" s="67" t="s">
        <v>14</v>
      </c>
      <c r="B129" s="103"/>
      <c r="C129" s="103"/>
      <c r="D129" s="103"/>
      <c r="E129" s="103"/>
      <c r="F129" s="103"/>
      <c r="G129" s="103">
        <f>10.72 + 5.18 + 9.18 + 8.64 + 9.56 + 4.94 + 8.22 + 9.16 + 9.52 + 9.88 + 9.38 + 7.34 + 9.56 + 9.7 + 8.9 + 9 + 9.04 + 9.08 + 7.66 + 8.72 + 7.54 + 9.32</f>
        <v>190.23999999999998</v>
      </c>
      <c r="H129" s="103"/>
      <c r="I129" s="103"/>
      <c r="J129" s="103"/>
      <c r="K129" s="103"/>
      <c r="L129" s="103">
        <f>1.86 + 1.96 + 1.9 + 1.98 + 0.48 + 1.98 + 2.02 + 1.98 + 2.1 + 1.98 + 2.04 + 2 + 0.52 + 2.04 + 1.92 + 1.84</f>
        <v>28.599999999999998</v>
      </c>
      <c r="M129" s="103"/>
      <c r="N129" s="103"/>
      <c r="O129" s="103"/>
      <c r="P129" s="103"/>
      <c r="Q129" s="104">
        <f>6.84 + 7.94 + 9.14 + 2.92 + 9.08 + 8.1 + 9.12 + 8.96</f>
        <v>62.1</v>
      </c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x14ac:dyDescent="0.25">
      <c r="A130" s="105">
        <v>45259</v>
      </c>
      <c r="B130" s="106"/>
      <c r="C130" s="106"/>
      <c r="D130" s="106"/>
      <c r="E130" s="106"/>
      <c r="F130" s="106"/>
      <c r="G130" s="106" t="s">
        <v>136</v>
      </c>
      <c r="H130" s="106"/>
      <c r="I130" s="106"/>
      <c r="J130" s="106"/>
      <c r="K130" s="106"/>
      <c r="L130" s="106"/>
      <c r="M130" s="106"/>
      <c r="N130" s="106"/>
      <c r="O130" s="106"/>
      <c r="P130" s="106"/>
      <c r="Q130" s="162" t="s">
        <v>137</v>
      </c>
      <c r="R130" s="162"/>
      <c r="S130" s="162"/>
      <c r="T130" s="162"/>
      <c r="U130" s="162"/>
      <c r="V130" s="106"/>
      <c r="W130" s="106"/>
      <c r="X130" s="106"/>
      <c r="Y130" s="106"/>
      <c r="Z130" s="106"/>
    </row>
    <row r="131" spans="1:26" x14ac:dyDescent="0.25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62"/>
      <c r="R131" s="162"/>
      <c r="S131" s="162"/>
      <c r="T131" s="162"/>
      <c r="U131" s="162"/>
      <c r="V131" s="106"/>
      <c r="W131" s="106"/>
      <c r="X131" s="106"/>
      <c r="Y131" s="106"/>
      <c r="Z131" s="106"/>
    </row>
    <row r="132" spans="1:26" x14ac:dyDescent="0.25">
      <c r="A132" s="105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62"/>
      <c r="R132" s="162"/>
      <c r="S132" s="162"/>
      <c r="T132" s="162"/>
      <c r="U132" s="162"/>
      <c r="V132" s="106"/>
      <c r="W132" s="106"/>
      <c r="X132" s="106"/>
      <c r="Y132" s="106"/>
      <c r="Z132" s="106"/>
    </row>
    <row r="133" spans="1:26" x14ac:dyDescent="0.25">
      <c r="A133" s="105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62"/>
      <c r="R133" s="162"/>
      <c r="S133" s="162"/>
      <c r="T133" s="162"/>
      <c r="U133" s="162"/>
      <c r="V133" s="106"/>
      <c r="W133" s="106"/>
      <c r="X133" s="106"/>
      <c r="Y133" s="106"/>
      <c r="Z133" s="106"/>
    </row>
    <row r="134" spans="1:26" x14ac:dyDescent="0.25">
      <c r="A134" s="105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62"/>
      <c r="R134" s="162"/>
      <c r="S134" s="162"/>
      <c r="T134" s="162"/>
      <c r="U134" s="162"/>
      <c r="V134" s="106"/>
      <c r="W134" s="106"/>
      <c r="X134" s="106"/>
      <c r="Y134" s="106"/>
      <c r="Z134" s="106"/>
    </row>
    <row r="135" spans="1:26" x14ac:dyDescent="0.25">
      <c r="A135" s="105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62"/>
      <c r="R135" s="162"/>
      <c r="S135" s="162"/>
      <c r="T135" s="162"/>
      <c r="U135" s="162"/>
      <c r="V135" s="106"/>
      <c r="W135" s="106"/>
      <c r="X135" s="106"/>
      <c r="Y135" s="106"/>
      <c r="Z135" s="106"/>
    </row>
    <row r="136" spans="1:26" x14ac:dyDescent="0.25">
      <c r="A136" s="105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62"/>
      <c r="R136" s="162"/>
      <c r="S136" s="162"/>
      <c r="T136" s="162"/>
      <c r="U136" s="162"/>
      <c r="V136" s="106"/>
      <c r="W136" s="106"/>
      <c r="X136" s="106"/>
      <c r="Y136" s="106"/>
      <c r="Z136" s="106"/>
    </row>
    <row r="137" spans="1:26" x14ac:dyDescent="0.25">
      <c r="A137" s="105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62"/>
      <c r="R137" s="162"/>
      <c r="S137" s="162"/>
      <c r="T137" s="162"/>
      <c r="U137" s="162"/>
      <c r="V137" s="106"/>
      <c r="W137" s="106"/>
      <c r="X137" s="106"/>
      <c r="Y137" s="106"/>
      <c r="Z137" s="106"/>
    </row>
    <row r="138" spans="1:26" s="53" customFormat="1" x14ac:dyDescent="0.25">
      <c r="A138" s="6" t="s">
        <v>22</v>
      </c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</row>
    <row r="139" spans="1:26" s="53" customFormat="1" x14ac:dyDescent="0.25">
      <c r="A139" s="67" t="s">
        <v>14</v>
      </c>
      <c r="B139" s="103"/>
      <c r="C139" s="103"/>
      <c r="D139" s="103"/>
      <c r="E139" s="103"/>
      <c r="F139" s="103"/>
      <c r="G139" s="103">
        <f>8.38 + 4.84 + 9.56 + 9.14 + 5.96 + 10.38 + 10.32 + 9.9 + 9.9 + 9.78 + 10.96 + 10.96 + 4.12 + 9.9 + 9.8 + 9.94 + 7.98 + 10.46 + 9.66 + 4.86 + 6.98 + 7.96</f>
        <v>191.74000000000004</v>
      </c>
      <c r="H139" s="103"/>
      <c r="I139" s="103"/>
      <c r="J139" s="103"/>
      <c r="K139" s="103"/>
      <c r="L139" s="103"/>
      <c r="M139" s="103"/>
      <c r="N139" s="103"/>
      <c r="O139" s="103"/>
      <c r="P139" s="103"/>
      <c r="Q139" s="104">
        <f>5.54 + 5.24 + 5.8 + 5.46 + 5.1 + 5.06 + 5.4</f>
        <v>37.6</v>
      </c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x14ac:dyDescent="0.25">
      <c r="A140" s="105">
        <v>45260</v>
      </c>
      <c r="B140" s="106"/>
      <c r="C140" s="106"/>
      <c r="D140" s="106"/>
      <c r="E140" s="106"/>
      <c r="F140" s="106"/>
      <c r="G140" s="106" t="s">
        <v>138</v>
      </c>
      <c r="H140" s="106"/>
      <c r="I140" s="106"/>
      <c r="J140" s="106"/>
      <c r="K140" s="106"/>
      <c r="L140" s="106"/>
      <c r="M140" s="106"/>
      <c r="N140" s="106"/>
      <c r="O140" s="106"/>
      <c r="P140" s="106"/>
      <c r="Q140" s="162" t="s">
        <v>139</v>
      </c>
      <c r="R140" s="162"/>
      <c r="S140" s="162"/>
      <c r="T140" s="162"/>
      <c r="U140" s="162"/>
      <c r="V140" s="106"/>
      <c r="W140" s="106"/>
      <c r="X140" s="106"/>
      <c r="Y140" s="106"/>
      <c r="Z140" s="106"/>
    </row>
    <row r="141" spans="1:26" x14ac:dyDescent="0.25">
      <c r="A141" s="105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62"/>
      <c r="R141" s="162"/>
      <c r="S141" s="162"/>
      <c r="T141" s="162"/>
      <c r="U141" s="162"/>
      <c r="V141" s="106"/>
      <c r="W141" s="106"/>
      <c r="X141" s="106"/>
      <c r="Y141" s="106"/>
      <c r="Z141" s="106"/>
    </row>
    <row r="142" spans="1:26" x14ac:dyDescent="0.25">
      <c r="A142" s="105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62"/>
      <c r="R142" s="162"/>
      <c r="S142" s="162"/>
      <c r="T142" s="162"/>
      <c r="U142" s="162"/>
      <c r="V142" s="106"/>
      <c r="W142" s="106"/>
      <c r="X142" s="106"/>
      <c r="Y142" s="106"/>
      <c r="Z142" s="106"/>
    </row>
    <row r="143" spans="1:26" x14ac:dyDescent="0.25">
      <c r="A143" s="105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62"/>
      <c r="R143" s="162"/>
      <c r="S143" s="162"/>
      <c r="T143" s="162"/>
      <c r="U143" s="162"/>
      <c r="V143" s="106"/>
      <c r="W143" s="106"/>
      <c r="X143" s="106"/>
      <c r="Y143" s="106"/>
      <c r="Z143" s="106"/>
    </row>
    <row r="144" spans="1:26" x14ac:dyDescent="0.25">
      <c r="A144" s="105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62"/>
      <c r="R144" s="162"/>
      <c r="S144" s="162"/>
      <c r="T144" s="162"/>
      <c r="U144" s="162"/>
      <c r="V144" s="106"/>
      <c r="W144" s="106"/>
      <c r="X144" s="106"/>
      <c r="Y144" s="106"/>
      <c r="Z144" s="106"/>
    </row>
    <row r="145" spans="1:26" x14ac:dyDescent="0.25">
      <c r="A145" s="105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62"/>
      <c r="R145" s="162"/>
      <c r="S145" s="162"/>
      <c r="T145" s="162"/>
      <c r="U145" s="162"/>
      <c r="V145" s="106"/>
      <c r="W145" s="106"/>
      <c r="X145" s="106"/>
      <c r="Y145" s="106"/>
      <c r="Z145" s="106"/>
    </row>
    <row r="146" spans="1:26" x14ac:dyDescent="0.25">
      <c r="A146" s="105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62"/>
      <c r="R146" s="162"/>
      <c r="S146" s="162"/>
      <c r="T146" s="162"/>
      <c r="U146" s="162"/>
      <c r="V146" s="106"/>
      <c r="W146" s="106"/>
      <c r="X146" s="106"/>
      <c r="Y146" s="106"/>
      <c r="Z146" s="106"/>
    </row>
    <row r="147" spans="1:26" x14ac:dyDescent="0.25">
      <c r="A147" s="105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62"/>
      <c r="R147" s="162"/>
      <c r="S147" s="162"/>
      <c r="T147" s="162"/>
      <c r="U147" s="162"/>
      <c r="V147" s="106"/>
      <c r="W147" s="106"/>
      <c r="X147" s="106"/>
      <c r="Y147" s="106"/>
      <c r="Z147" s="106"/>
    </row>
    <row r="148" spans="1:26" s="53" customFormat="1" x14ac:dyDescent="0.25">
      <c r="A148" s="6" t="s">
        <v>22</v>
      </c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</row>
    <row r="149" spans="1:26" s="53" customFormat="1" x14ac:dyDescent="0.25">
      <c r="A149" s="67" t="s">
        <v>14</v>
      </c>
      <c r="B149" s="103"/>
      <c r="C149" s="103"/>
      <c r="D149" s="103"/>
      <c r="E149" s="103"/>
      <c r="F149" s="103"/>
      <c r="G149" s="103">
        <f>10.1 + 6.94 + 9.82 + 7.26 + 8.42 + 9.92 + 9.12 + 4.86 + 10.14 + 9.64 + 9.26 + 9.38 + 7.94</f>
        <v>112.8</v>
      </c>
      <c r="H149" s="103"/>
      <c r="I149" s="103"/>
      <c r="J149" s="103"/>
      <c r="K149" s="103"/>
      <c r="L149" s="103"/>
      <c r="M149" s="103"/>
      <c r="N149" s="103"/>
      <c r="O149" s="103"/>
      <c r="P149" s="103"/>
      <c r="Q149" s="104">
        <f>6.28 + 3.22 + 5.08 + 5.52 + 5.82 + 8.06 + 8.76 + 7.44 + 3.14 + 1.06 + 4.62 + 2.38</f>
        <v>61.38</v>
      </c>
      <c r="R149" s="104"/>
      <c r="S149" s="104"/>
      <c r="T149" s="104"/>
      <c r="U149" s="104"/>
      <c r="V149" s="104"/>
      <c r="W149" s="104"/>
      <c r="X149" s="104"/>
      <c r="Y149" s="104"/>
      <c r="Z149" s="104"/>
    </row>
  </sheetData>
  <mergeCells count="256">
    <mergeCell ref="AL13:AL14"/>
    <mergeCell ref="B13:B14"/>
    <mergeCell ref="C13:C14"/>
    <mergeCell ref="D13:D14"/>
    <mergeCell ref="E13:E14"/>
    <mergeCell ref="F13:AJ13"/>
    <mergeCell ref="AK13:AK14"/>
    <mergeCell ref="B149:C149"/>
    <mergeCell ref="D149:F149"/>
    <mergeCell ref="G149:K149"/>
    <mergeCell ref="L149:P149"/>
    <mergeCell ref="Q149:U149"/>
    <mergeCell ref="V149:Z149"/>
    <mergeCell ref="V140:Z147"/>
    <mergeCell ref="B148:C148"/>
    <mergeCell ref="D148:F148"/>
    <mergeCell ref="G148:K148"/>
    <mergeCell ref="L148:P148"/>
    <mergeCell ref="Q148:U148"/>
    <mergeCell ref="V148:Z148"/>
    <mergeCell ref="V139:Z139"/>
    <mergeCell ref="V130:Z137"/>
    <mergeCell ref="B138:C138"/>
    <mergeCell ref="D138:F138"/>
    <mergeCell ref="A140:A147"/>
    <mergeCell ref="B140:C147"/>
    <mergeCell ref="D140:F147"/>
    <mergeCell ref="G140:K147"/>
    <mergeCell ref="L140:P147"/>
    <mergeCell ref="Q140:U147"/>
    <mergeCell ref="B139:C139"/>
    <mergeCell ref="D139:F139"/>
    <mergeCell ref="G139:K139"/>
    <mergeCell ref="L139:P139"/>
    <mergeCell ref="Q139:U139"/>
    <mergeCell ref="G138:K138"/>
    <mergeCell ref="L138:P138"/>
    <mergeCell ref="Q138:U138"/>
    <mergeCell ref="V138:Z138"/>
    <mergeCell ref="A130:A137"/>
    <mergeCell ref="B130:C137"/>
    <mergeCell ref="D130:F137"/>
    <mergeCell ref="G130:K137"/>
    <mergeCell ref="L130:P137"/>
    <mergeCell ref="Q130:U137"/>
    <mergeCell ref="B129:C129"/>
    <mergeCell ref="D129:F129"/>
    <mergeCell ref="G129:K129"/>
    <mergeCell ref="L129:P129"/>
    <mergeCell ref="Q129:U129"/>
    <mergeCell ref="V129:Z129"/>
    <mergeCell ref="V120:Z127"/>
    <mergeCell ref="B128:C128"/>
    <mergeCell ref="D128:F128"/>
    <mergeCell ref="G128:K128"/>
    <mergeCell ref="L128:P128"/>
    <mergeCell ref="Q128:U128"/>
    <mergeCell ref="V128:Z128"/>
    <mergeCell ref="A120:A127"/>
    <mergeCell ref="B120:C127"/>
    <mergeCell ref="D120:F127"/>
    <mergeCell ref="G120:K127"/>
    <mergeCell ref="L120:P127"/>
    <mergeCell ref="Q120:U127"/>
    <mergeCell ref="B119:C119"/>
    <mergeCell ref="D119:F119"/>
    <mergeCell ref="G119:K119"/>
    <mergeCell ref="L119:P119"/>
    <mergeCell ref="Q119:U119"/>
    <mergeCell ref="V119:Z119"/>
    <mergeCell ref="V110:Z117"/>
    <mergeCell ref="B118:C118"/>
    <mergeCell ref="D118:F118"/>
    <mergeCell ref="G118:K118"/>
    <mergeCell ref="L118:P118"/>
    <mergeCell ref="Q118:U118"/>
    <mergeCell ref="V118:Z118"/>
    <mergeCell ref="A110:A117"/>
    <mergeCell ref="B110:C117"/>
    <mergeCell ref="D110:F117"/>
    <mergeCell ref="G110:K117"/>
    <mergeCell ref="L110:P117"/>
    <mergeCell ref="Q110:U117"/>
    <mergeCell ref="B109:C109"/>
    <mergeCell ref="D109:F109"/>
    <mergeCell ref="G109:K109"/>
    <mergeCell ref="L109:P109"/>
    <mergeCell ref="Q109:U109"/>
    <mergeCell ref="V109:Z109"/>
    <mergeCell ref="V100:Z107"/>
    <mergeCell ref="B108:C108"/>
    <mergeCell ref="D108:F108"/>
    <mergeCell ref="G108:K108"/>
    <mergeCell ref="L108:P108"/>
    <mergeCell ref="Q108:U108"/>
    <mergeCell ref="V108:Z108"/>
    <mergeCell ref="A100:A107"/>
    <mergeCell ref="B100:C107"/>
    <mergeCell ref="D100:F107"/>
    <mergeCell ref="G100:K107"/>
    <mergeCell ref="L100:P107"/>
    <mergeCell ref="Q100:U107"/>
    <mergeCell ref="B99:C99"/>
    <mergeCell ref="D99:F99"/>
    <mergeCell ref="G99:K99"/>
    <mergeCell ref="L99:P99"/>
    <mergeCell ref="Q99:U99"/>
    <mergeCell ref="V99:Z99"/>
    <mergeCell ref="V90:Z97"/>
    <mergeCell ref="B98:C98"/>
    <mergeCell ref="D98:F98"/>
    <mergeCell ref="G98:K98"/>
    <mergeCell ref="L98:P98"/>
    <mergeCell ref="Q98:U98"/>
    <mergeCell ref="V98:Z98"/>
    <mergeCell ref="A90:A97"/>
    <mergeCell ref="B90:C97"/>
    <mergeCell ref="D90:F97"/>
    <mergeCell ref="G90:K97"/>
    <mergeCell ref="L90:P97"/>
    <mergeCell ref="Q90:U97"/>
    <mergeCell ref="B89:C89"/>
    <mergeCell ref="D89:F89"/>
    <mergeCell ref="G89:K89"/>
    <mergeCell ref="L89:P89"/>
    <mergeCell ref="Q89:U89"/>
    <mergeCell ref="V89:Z89"/>
    <mergeCell ref="V80:Z87"/>
    <mergeCell ref="B88:C88"/>
    <mergeCell ref="D88:F88"/>
    <mergeCell ref="G88:K88"/>
    <mergeCell ref="L88:P88"/>
    <mergeCell ref="Q88:U88"/>
    <mergeCell ref="V88:Z88"/>
    <mergeCell ref="A80:A87"/>
    <mergeCell ref="B80:C87"/>
    <mergeCell ref="D80:F87"/>
    <mergeCell ref="G80:K87"/>
    <mergeCell ref="L80:P87"/>
    <mergeCell ref="Q80:U87"/>
    <mergeCell ref="B79:C79"/>
    <mergeCell ref="D79:F79"/>
    <mergeCell ref="G79:K79"/>
    <mergeCell ref="L79:P79"/>
    <mergeCell ref="Q79:U79"/>
    <mergeCell ref="V79:Z79"/>
    <mergeCell ref="V70:Z77"/>
    <mergeCell ref="B78:C78"/>
    <mergeCell ref="D78:F78"/>
    <mergeCell ref="G78:K78"/>
    <mergeCell ref="L78:P78"/>
    <mergeCell ref="Q78:U78"/>
    <mergeCell ref="V78:Z78"/>
    <mergeCell ref="A70:A77"/>
    <mergeCell ref="B70:C77"/>
    <mergeCell ref="D70:F77"/>
    <mergeCell ref="G70:K77"/>
    <mergeCell ref="L70:P77"/>
    <mergeCell ref="Q70:U77"/>
    <mergeCell ref="B69:C69"/>
    <mergeCell ref="D69:F69"/>
    <mergeCell ref="G69:K69"/>
    <mergeCell ref="L69:P69"/>
    <mergeCell ref="Q69:U69"/>
    <mergeCell ref="V69:Z69"/>
    <mergeCell ref="V60:Z67"/>
    <mergeCell ref="B68:C68"/>
    <mergeCell ref="D68:F68"/>
    <mergeCell ref="G68:K68"/>
    <mergeCell ref="L68:P68"/>
    <mergeCell ref="Q68:U68"/>
    <mergeCell ref="V68:Z68"/>
    <mergeCell ref="A60:A67"/>
    <mergeCell ref="B60:C67"/>
    <mergeCell ref="D60:F67"/>
    <mergeCell ref="G60:K67"/>
    <mergeCell ref="L60:P67"/>
    <mergeCell ref="Q60:U67"/>
    <mergeCell ref="B59:C59"/>
    <mergeCell ref="D59:F59"/>
    <mergeCell ref="G59:K59"/>
    <mergeCell ref="L59:P59"/>
    <mergeCell ref="Q59:U59"/>
    <mergeCell ref="V59:Z59"/>
    <mergeCell ref="V50:Z57"/>
    <mergeCell ref="B58:C58"/>
    <mergeCell ref="D58:F58"/>
    <mergeCell ref="G58:K58"/>
    <mergeCell ref="L58:P58"/>
    <mergeCell ref="Q58:U58"/>
    <mergeCell ref="V58:Z58"/>
    <mergeCell ref="A50:A57"/>
    <mergeCell ref="B50:C57"/>
    <mergeCell ref="D50:F57"/>
    <mergeCell ref="G50:K57"/>
    <mergeCell ref="L50:P57"/>
    <mergeCell ref="Q50:U57"/>
    <mergeCell ref="B49:C49"/>
    <mergeCell ref="D49:F49"/>
    <mergeCell ref="G49:K49"/>
    <mergeCell ref="L49:P49"/>
    <mergeCell ref="Q49:U49"/>
    <mergeCell ref="V49:Z49"/>
    <mergeCell ref="V40:Z47"/>
    <mergeCell ref="B48:C48"/>
    <mergeCell ref="D48:F48"/>
    <mergeCell ref="G48:K48"/>
    <mergeCell ref="L48:P48"/>
    <mergeCell ref="Q48:U48"/>
    <mergeCell ref="V48:Z48"/>
    <mergeCell ref="A40:A47"/>
    <mergeCell ref="B40:C47"/>
    <mergeCell ref="D40:F47"/>
    <mergeCell ref="G40:K47"/>
    <mergeCell ref="L40:P47"/>
    <mergeCell ref="Q40:U47"/>
    <mergeCell ref="B39:C39"/>
    <mergeCell ref="D39:F39"/>
    <mergeCell ref="G39:K39"/>
    <mergeCell ref="L39:P39"/>
    <mergeCell ref="Q39:U39"/>
    <mergeCell ref="V39:Z39"/>
    <mergeCell ref="B38:C38"/>
    <mergeCell ref="D38:F38"/>
    <mergeCell ref="G38:K38"/>
    <mergeCell ref="L38:P38"/>
    <mergeCell ref="Q38:U38"/>
    <mergeCell ref="V38:Z38"/>
    <mergeCell ref="Q28:U28"/>
    <mergeCell ref="V28:Z28"/>
    <mergeCell ref="B29:Z29"/>
    <mergeCell ref="A13:A14"/>
    <mergeCell ref="A30:A37"/>
    <mergeCell ref="B30:C37"/>
    <mergeCell ref="D30:F37"/>
    <mergeCell ref="G30:K37"/>
    <mergeCell ref="L30:P37"/>
    <mergeCell ref="Q30:U37"/>
    <mergeCell ref="V30:Z37"/>
    <mergeCell ref="A22:B22"/>
    <mergeCell ref="A24:Z26"/>
    <mergeCell ref="A27:A29"/>
    <mergeCell ref="B27:Z27"/>
    <mergeCell ref="B28:C28"/>
    <mergeCell ref="D28:F28"/>
    <mergeCell ref="G28:K28"/>
    <mergeCell ref="L28:P28"/>
    <mergeCell ref="A1:AK6"/>
    <mergeCell ref="A7:A8"/>
    <mergeCell ref="B7:B8"/>
    <mergeCell ref="C7:C8"/>
    <mergeCell ref="D7:D8"/>
    <mergeCell ref="E7:E8"/>
    <mergeCell ref="F7:AJ7"/>
    <mergeCell ref="AK7:AK8"/>
    <mergeCell ref="AL7:AL8"/>
  </mergeCells>
  <pageMargins left="0.7" right="0.7" top="0.75" bottom="0.75" header="0.3" footer="0.3"/>
  <ignoredErrors>
    <ignoredError sqref="AK19:AK20" formulaRange="1"/>
  </ignoredError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19"/>
  <sheetViews>
    <sheetView zoomScale="85" zoomScaleNormal="85" workbookViewId="0">
      <pane xSplit="6" ySplit="8" topLeftCell="Y9" activePane="bottomRight" state="frozen"/>
      <selection pane="topRight" activeCell="G1" sqref="G1"/>
      <selection pane="bottomLeft" activeCell="A9" sqref="A9"/>
      <selection pane="bottomRight" activeCell="F26" sqref="F26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4.28515625" customWidth="1"/>
    <col min="5" max="5" width="16.7109375" customWidth="1"/>
    <col min="6" max="6" width="10.42578125" customWidth="1"/>
    <col min="7" max="35" width="8" bestFit="1" customWidth="1"/>
    <col min="36" max="36" width="8" customWidth="1"/>
    <col min="37" max="37" width="15.42578125" customWidth="1"/>
    <col min="38" max="38" width="11.42578125" customWidth="1"/>
  </cols>
  <sheetData>
    <row r="1" spans="1:38" ht="15" customHeight="1" x14ac:dyDescent="0.25">
      <c r="A1" s="140" t="s">
        <v>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36"/>
    </row>
    <row r="2" spans="1:38" ht="15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36"/>
    </row>
    <row r="3" spans="1:38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36"/>
    </row>
    <row r="4" spans="1:38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36"/>
    </row>
    <row r="5" spans="1:38" ht="15" customHeight="1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36"/>
    </row>
    <row r="6" spans="1:38" ht="15" customHeight="1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37"/>
    </row>
    <row r="7" spans="1:38" ht="15" customHeight="1" x14ac:dyDescent="0.25">
      <c r="A7" s="150" t="s">
        <v>0</v>
      </c>
      <c r="B7" s="145" t="s">
        <v>29</v>
      </c>
      <c r="C7" s="150" t="s">
        <v>28</v>
      </c>
      <c r="D7" s="150" t="s">
        <v>7</v>
      </c>
      <c r="E7" s="155" t="s">
        <v>103</v>
      </c>
      <c r="F7" s="147" t="s">
        <v>5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9"/>
      <c r="AK7" s="145" t="s">
        <v>8</v>
      </c>
      <c r="AL7" s="145" t="s">
        <v>25</v>
      </c>
    </row>
    <row r="8" spans="1:38" x14ac:dyDescent="0.25">
      <c r="A8" s="151"/>
      <c r="B8" s="146"/>
      <c r="C8" s="151"/>
      <c r="D8" s="151"/>
      <c r="E8" s="155"/>
      <c r="F8" s="33" t="s">
        <v>60</v>
      </c>
      <c r="G8" s="3">
        <v>45261</v>
      </c>
      <c r="H8" s="3">
        <v>45262</v>
      </c>
      <c r="I8" s="3">
        <v>45263</v>
      </c>
      <c r="J8" s="3">
        <v>45264</v>
      </c>
      <c r="K8" s="3">
        <v>45265</v>
      </c>
      <c r="L8" s="3">
        <v>45266</v>
      </c>
      <c r="M8" s="3">
        <v>45267</v>
      </c>
      <c r="N8" s="3">
        <v>45268</v>
      </c>
      <c r="O8" s="3">
        <v>45269</v>
      </c>
      <c r="P8" s="3">
        <v>45270</v>
      </c>
      <c r="Q8" s="3">
        <v>45271</v>
      </c>
      <c r="R8" s="3">
        <v>45272</v>
      </c>
      <c r="S8" s="3">
        <v>45273</v>
      </c>
      <c r="T8" s="3">
        <v>45274</v>
      </c>
      <c r="U8" s="3">
        <v>45275</v>
      </c>
      <c r="V8" s="3">
        <v>45276</v>
      </c>
      <c r="W8" s="3">
        <v>45277</v>
      </c>
      <c r="X8" s="3">
        <v>45278</v>
      </c>
      <c r="Y8" s="3">
        <v>45279</v>
      </c>
      <c r="Z8" s="3">
        <v>45280</v>
      </c>
      <c r="AA8" s="3">
        <v>45281</v>
      </c>
      <c r="AB8" s="3">
        <v>45282</v>
      </c>
      <c r="AC8" s="3">
        <v>45283</v>
      </c>
      <c r="AD8" s="3">
        <v>45284</v>
      </c>
      <c r="AE8" s="3">
        <v>45285</v>
      </c>
      <c r="AF8" s="3">
        <v>45286</v>
      </c>
      <c r="AG8" s="3">
        <v>45287</v>
      </c>
      <c r="AH8" s="3">
        <v>45288</v>
      </c>
      <c r="AI8" s="3">
        <v>45289</v>
      </c>
      <c r="AJ8" s="3">
        <v>45290</v>
      </c>
      <c r="AK8" s="146"/>
      <c r="AL8" s="146"/>
    </row>
    <row r="9" spans="1:38" x14ac:dyDescent="0.25">
      <c r="A9" s="34" t="s">
        <v>41</v>
      </c>
      <c r="B9" s="70" t="s">
        <v>4</v>
      </c>
      <c r="C9" s="2">
        <v>20230926001</v>
      </c>
      <c r="D9" s="14">
        <v>300</v>
      </c>
      <c r="E9" s="7">
        <v>300.89999999999998</v>
      </c>
      <c r="F9" s="35">
        <f>IFERROR(IF(SUMIF('11'!$C$9:$C$1000,'12'!C9,'11'!$AK$9:$AK$1000)&lt;0,0,SUMIF('11'!$C$9:$C$1000,'12'!C9,'11'!$AK$9:$AK$1000)),0)</f>
        <v>287.41999999999996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>SUM(F9:AJ9)</f>
        <v>287.41999999999996</v>
      </c>
      <c r="AL9" s="60">
        <f>SUM(AK9-D9)</f>
        <v>-12.580000000000041</v>
      </c>
    </row>
    <row r="10" spans="1:38" x14ac:dyDescent="0.25">
      <c r="A10" s="78"/>
      <c r="B10" s="74"/>
      <c r="C10" s="62"/>
      <c r="D10" s="30"/>
      <c r="E10" s="63"/>
      <c r="F10" s="63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3"/>
      <c r="AL10" s="64"/>
    </row>
    <row r="11" spans="1:38" s="19" customFormat="1" x14ac:dyDescent="0.25">
      <c r="A11" s="61" t="s">
        <v>149</v>
      </c>
      <c r="B11" s="79">
        <v>45232</v>
      </c>
      <c r="C11" s="62"/>
      <c r="D11" s="30"/>
      <c r="E11" s="30"/>
      <c r="F11" s="30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3"/>
      <c r="AL11" s="64"/>
    </row>
    <row r="12" spans="1:38" ht="15" customHeight="1" x14ac:dyDescent="0.25">
      <c r="A12" s="150" t="s">
        <v>0</v>
      </c>
      <c r="B12" s="145" t="s">
        <v>29</v>
      </c>
      <c r="C12" s="150" t="s">
        <v>28</v>
      </c>
      <c r="D12" s="150" t="s">
        <v>7</v>
      </c>
      <c r="E12" s="155" t="s">
        <v>103</v>
      </c>
      <c r="F12" s="147" t="s">
        <v>5</v>
      </c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9"/>
      <c r="AK12" s="145" t="s">
        <v>8</v>
      </c>
      <c r="AL12" s="145" t="s">
        <v>25</v>
      </c>
    </row>
    <row r="13" spans="1:38" x14ac:dyDescent="0.25">
      <c r="A13" s="151"/>
      <c r="B13" s="146"/>
      <c r="C13" s="151"/>
      <c r="D13" s="151"/>
      <c r="E13" s="155"/>
      <c r="F13" s="33" t="s">
        <v>60</v>
      </c>
      <c r="G13" s="3">
        <v>45261</v>
      </c>
      <c r="H13" s="3">
        <v>45262</v>
      </c>
      <c r="I13" s="3">
        <v>45263</v>
      </c>
      <c r="J13" s="3">
        <v>45264</v>
      </c>
      <c r="K13" s="3">
        <v>45265</v>
      </c>
      <c r="L13" s="3">
        <v>45266</v>
      </c>
      <c r="M13" s="3">
        <v>45267</v>
      </c>
      <c r="N13" s="3">
        <v>45268</v>
      </c>
      <c r="O13" s="3">
        <v>45269</v>
      </c>
      <c r="P13" s="3">
        <v>45270</v>
      </c>
      <c r="Q13" s="3">
        <v>45271</v>
      </c>
      <c r="R13" s="3">
        <v>45272</v>
      </c>
      <c r="S13" s="3">
        <v>45273</v>
      </c>
      <c r="T13" s="3">
        <v>45274</v>
      </c>
      <c r="U13" s="3">
        <v>45275</v>
      </c>
      <c r="V13" s="3">
        <v>45276</v>
      </c>
      <c r="W13" s="3">
        <v>45277</v>
      </c>
      <c r="X13" s="3">
        <v>45278</v>
      </c>
      <c r="Y13" s="3">
        <v>45279</v>
      </c>
      <c r="Z13" s="3">
        <v>45280</v>
      </c>
      <c r="AA13" s="3">
        <v>45281</v>
      </c>
      <c r="AB13" s="3">
        <v>45282</v>
      </c>
      <c r="AC13" s="3">
        <v>45283</v>
      </c>
      <c r="AD13" s="3">
        <v>45284</v>
      </c>
      <c r="AE13" s="3">
        <v>45285</v>
      </c>
      <c r="AF13" s="3">
        <v>45286</v>
      </c>
      <c r="AG13" s="3">
        <v>45287</v>
      </c>
      <c r="AH13" s="3">
        <v>45288</v>
      </c>
      <c r="AI13" s="3">
        <v>45289</v>
      </c>
      <c r="AJ13" s="3">
        <v>45290</v>
      </c>
      <c r="AK13" s="146"/>
      <c r="AL13" s="146"/>
    </row>
    <row r="14" spans="1:38" x14ac:dyDescent="0.25">
      <c r="A14" s="34" t="s">
        <v>1</v>
      </c>
      <c r="B14" s="70" t="s">
        <v>2</v>
      </c>
      <c r="C14" s="1">
        <v>20231101009</v>
      </c>
      <c r="D14" s="26">
        <v>500</v>
      </c>
      <c r="E14" s="14">
        <v>501.75</v>
      </c>
      <c r="F14" s="35">
        <f>IFERROR(IF(SUMIF('11'!$C$9:$C$1000,'12'!C14,'11'!$AK$9:$AK$1000)&lt;0,0,SUMIF('11'!$C$9:$C$1000,'12'!C14,'11'!$AK$9:$AK$1000)),0)</f>
        <v>204.8299999999999</v>
      </c>
      <c r="G14" s="8">
        <f>B49</f>
        <v>63.92</v>
      </c>
      <c r="H14" s="8"/>
      <c r="I14" s="8"/>
      <c r="J14" s="8">
        <f>B59</f>
        <v>82.26</v>
      </c>
      <c r="K14" s="8">
        <f>B69</f>
        <v>87.98</v>
      </c>
      <c r="L14" s="8">
        <f>B79</f>
        <v>66.94</v>
      </c>
      <c r="M14" s="8"/>
      <c r="N14" s="8">
        <f>B99</f>
        <v>30.660000000000004</v>
      </c>
      <c r="O14" s="8"/>
      <c r="P14" s="8"/>
      <c r="Q14" s="8">
        <f>B109</f>
        <v>11.4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14">
        <f>SUM(F14:AJ14)</f>
        <v>547.9899999999999</v>
      </c>
      <c r="AL14" s="17">
        <f>SUM(AK14-D14)</f>
        <v>47.989999999999895</v>
      </c>
    </row>
    <row r="15" spans="1:38" x14ac:dyDescent="0.25">
      <c r="A15" s="34" t="s">
        <v>43</v>
      </c>
      <c r="B15" s="70" t="s">
        <v>9</v>
      </c>
      <c r="C15" s="2">
        <v>20231101008</v>
      </c>
      <c r="D15" s="17">
        <f>280 + 120</f>
        <v>400</v>
      </c>
      <c r="E15" s="14">
        <f>280.45 + 120.95</f>
        <v>401.4</v>
      </c>
      <c r="F15" s="35">
        <f>IFERROR(IF(SUMIF('11'!$C$9:$C$1000,'12'!C15,'11'!$AK$9:$AK$1000)&lt;0,0,SUMIF('11'!$C$9:$C$1000,'12'!C15,'11'!$AK$9:$AK$1000)),0)</f>
        <v>396.65000000000003</v>
      </c>
      <c r="G15" s="8"/>
      <c r="H15" s="8"/>
      <c r="I15" s="8"/>
      <c r="J15" s="8">
        <f>D59</f>
        <v>6.34</v>
      </c>
      <c r="K15" s="8"/>
      <c r="L15" s="8"/>
      <c r="M15" s="8"/>
      <c r="N15" s="8">
        <f>D99</f>
        <v>31.599999999999998</v>
      </c>
      <c r="O15" s="8"/>
      <c r="P15" s="8"/>
      <c r="Q15" s="8">
        <f>D109</f>
        <v>23.52</v>
      </c>
      <c r="R15" s="8">
        <f>D119</f>
        <v>8.379999999999999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14">
        <f t="shared" ref="AK15:AK19" si="0">SUM(F15:AJ15)</f>
        <v>466.49</v>
      </c>
      <c r="AL15" s="17">
        <f t="shared" ref="AL15:AL16" si="1">SUM(AK15-D15)</f>
        <v>66.490000000000009</v>
      </c>
    </row>
    <row r="16" spans="1:38" x14ac:dyDescent="0.25">
      <c r="A16" s="34" t="s">
        <v>42</v>
      </c>
      <c r="B16" s="70" t="s">
        <v>3</v>
      </c>
      <c r="C16" s="2">
        <v>20231101010</v>
      </c>
      <c r="D16" s="17">
        <v>1200</v>
      </c>
      <c r="E16" s="14">
        <v>1203.5999999999999</v>
      </c>
      <c r="F16" s="35">
        <f>IFERROR(IF(SUMIF('11'!$C$9:$C$1000,'12'!C16,'11'!$AK$9:$AK$1000)&lt;0,0,SUMIF('11'!$C$9:$C$1000,'12'!C16,'11'!$AK$9:$AK$1000)),0)</f>
        <v>1121.06</v>
      </c>
      <c r="G16" s="8"/>
      <c r="H16" s="8"/>
      <c r="I16" s="8"/>
      <c r="J16" s="8"/>
      <c r="K16" s="8"/>
      <c r="L16" s="75">
        <f>G79</f>
        <v>93.399999999999991</v>
      </c>
      <c r="M16" s="8"/>
      <c r="N16" s="8"/>
      <c r="O16" s="8"/>
      <c r="P16" s="8"/>
      <c r="Q16" s="8"/>
      <c r="R16" s="8"/>
      <c r="S16" s="6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14">
        <f t="shared" si="0"/>
        <v>1214.46</v>
      </c>
      <c r="AL16" s="17">
        <f t="shared" si="1"/>
        <v>14.460000000000036</v>
      </c>
    </row>
    <row r="17" spans="1:38" s="19" customFormat="1" x14ac:dyDescent="0.25">
      <c r="A17" s="27" t="s">
        <v>40</v>
      </c>
      <c r="B17" s="70" t="s">
        <v>24</v>
      </c>
      <c r="C17" s="2">
        <v>20231101011</v>
      </c>
      <c r="D17" s="14">
        <f>200 + 1800</f>
        <v>2000</v>
      </c>
      <c r="E17" s="14">
        <f>204.7 + 1803.3</f>
        <v>2008</v>
      </c>
      <c r="F17" s="35">
        <f>IFERROR(IF(SUMIF('11'!$C$9:$C$1000,'12'!C17,'11'!$AK$9:$AK$1000)&lt;0,0,SUMIF('11'!$C$9:$C$1000,'12'!C17,'11'!$AK$9:$AK$1000)),0)</f>
        <v>628.14000000000021</v>
      </c>
      <c r="G17" s="8">
        <f>Q49</f>
        <v>44.88000000000001</v>
      </c>
      <c r="H17" s="8"/>
      <c r="I17" s="8"/>
      <c r="J17" s="8">
        <f>Q59</f>
        <v>56.32</v>
      </c>
      <c r="K17" s="8">
        <f>Q69</f>
        <v>59.120000000000005</v>
      </c>
      <c r="L17" s="8">
        <f>Q79</f>
        <v>59.160000000000011</v>
      </c>
      <c r="M17" s="8">
        <f>Q89</f>
        <v>30.340000000000003</v>
      </c>
      <c r="N17" s="8">
        <f>Q99</f>
        <v>36.61999999999999</v>
      </c>
      <c r="O17" s="8"/>
      <c r="P17" s="8"/>
      <c r="Q17" s="8">
        <f>Q109</f>
        <v>38.819999999999993</v>
      </c>
      <c r="R17" s="8">
        <f>Q119</f>
        <v>39.11999999999999</v>
      </c>
      <c r="S17" s="8">
        <f>Q129</f>
        <v>47.540000000000006</v>
      </c>
      <c r="T17" s="8">
        <f>Q139</f>
        <v>68.88</v>
      </c>
      <c r="U17" s="8"/>
      <c r="V17" s="8"/>
      <c r="W17" s="8"/>
      <c r="X17" s="8">
        <f>Q149</f>
        <v>75.399999999999977</v>
      </c>
      <c r="Y17" s="8">
        <f>Q159</f>
        <v>85.679999999999993</v>
      </c>
      <c r="Z17" s="8">
        <f>Q169</f>
        <v>122.05999999999999</v>
      </c>
      <c r="AA17" s="8">
        <f>Q179</f>
        <v>110.12</v>
      </c>
      <c r="AB17" s="8"/>
      <c r="AC17" s="8"/>
      <c r="AD17" s="8"/>
      <c r="AE17" s="8"/>
      <c r="AF17" s="8"/>
      <c r="AG17" s="8"/>
      <c r="AH17" s="8"/>
      <c r="AI17" s="8"/>
      <c r="AJ17" s="8"/>
      <c r="AK17" s="14">
        <f t="shared" si="0"/>
        <v>1502.2000000000007</v>
      </c>
      <c r="AL17" s="14">
        <f>SUM(AK17-D17)</f>
        <v>-497.79999999999927</v>
      </c>
    </row>
    <row r="18" spans="1:38" x14ac:dyDescent="0.25">
      <c r="A18" s="34" t="s">
        <v>41</v>
      </c>
      <c r="B18" s="70" t="s">
        <v>128</v>
      </c>
      <c r="C18" s="2">
        <v>20231123016</v>
      </c>
      <c r="D18" s="14">
        <v>50</v>
      </c>
      <c r="E18" s="7">
        <v>50.2</v>
      </c>
      <c r="F18" s="35">
        <f>IFERROR(IF(SUMIF('11'!$C$9:$C$1000,'12'!C18,'11'!$AK$9:$AK$1000)&lt;0,0,SUMIF('11'!$C$9:$C$1000,'12'!C18,'11'!$AK$9:$AK$1000)),0)</f>
        <v>28.599999999999998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4">
        <f t="shared" si="0"/>
        <v>28.599999999999998</v>
      </c>
      <c r="AL18" s="14">
        <f>SUM(AK18-D18)</f>
        <v>-21.400000000000002</v>
      </c>
    </row>
    <row r="19" spans="1:38" s="19" customFormat="1" x14ac:dyDescent="0.25">
      <c r="A19" s="27" t="s">
        <v>40</v>
      </c>
      <c r="B19" s="73" t="s">
        <v>127</v>
      </c>
      <c r="C19" s="2">
        <v>20231123017</v>
      </c>
      <c r="D19" s="17">
        <v>60</v>
      </c>
      <c r="E19" s="14">
        <v>60.24</v>
      </c>
      <c r="F19" s="35">
        <f>IFERROR(IF(SUMIF('11'!$C$9:$C$1000,'12'!C19,'11'!$AK$9:$AK$1000)&lt;0,0,SUMIF('11'!$C$9:$C$1000,'12'!C19,'11'!$AK$9:$AK$1000)),0)</f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T109</f>
        <v>6.0400000000000009</v>
      </c>
      <c r="R19" s="8">
        <f>T119</f>
        <v>13.46</v>
      </c>
      <c r="S19" s="8">
        <f>T129</f>
        <v>17</v>
      </c>
      <c r="T19" s="8">
        <f>T139</f>
        <v>23.84</v>
      </c>
      <c r="U19" s="8"/>
      <c r="V19" s="8"/>
      <c r="W19" s="8"/>
      <c r="X19" s="8">
        <f>T149</f>
        <v>8.86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14">
        <f t="shared" si="0"/>
        <v>69.2</v>
      </c>
      <c r="AL19" s="17">
        <f t="shared" ref="AL19" si="2">SUM(AK19-D19)</f>
        <v>9.2000000000000028</v>
      </c>
    </row>
    <row r="20" spans="1:38" s="19" customFormat="1" x14ac:dyDescent="0.25">
      <c r="A20" s="61"/>
      <c r="B20" s="74"/>
      <c r="C20" s="62"/>
      <c r="D20" s="30"/>
      <c r="E20" s="30"/>
      <c r="F20" s="76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30"/>
      <c r="AL20" s="30"/>
    </row>
    <row r="21" spans="1:38" s="19" customFormat="1" x14ac:dyDescent="0.25">
      <c r="A21" s="61" t="s">
        <v>149</v>
      </c>
      <c r="B21" s="79">
        <v>45267</v>
      </c>
      <c r="C21" s="62"/>
      <c r="D21" s="30"/>
      <c r="E21" s="30"/>
      <c r="F21" s="76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30"/>
      <c r="AL21" s="30"/>
    </row>
    <row r="22" spans="1:38" s="19" customFormat="1" x14ac:dyDescent="0.25">
      <c r="A22" s="150" t="s">
        <v>0</v>
      </c>
      <c r="B22" s="145" t="s">
        <v>29</v>
      </c>
      <c r="C22" s="150" t="s">
        <v>28</v>
      </c>
      <c r="D22" s="150" t="s">
        <v>7</v>
      </c>
      <c r="E22" s="155" t="s">
        <v>103</v>
      </c>
      <c r="F22" s="147" t="s">
        <v>5</v>
      </c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9"/>
      <c r="AK22" s="145" t="s">
        <v>8</v>
      </c>
      <c r="AL22" s="145" t="s">
        <v>25</v>
      </c>
    </row>
    <row r="23" spans="1:38" s="19" customFormat="1" x14ac:dyDescent="0.25">
      <c r="A23" s="151"/>
      <c r="B23" s="146"/>
      <c r="C23" s="151"/>
      <c r="D23" s="151"/>
      <c r="E23" s="155"/>
      <c r="F23" s="33" t="s">
        <v>60</v>
      </c>
      <c r="G23" s="3">
        <v>45261</v>
      </c>
      <c r="H23" s="3">
        <v>45262</v>
      </c>
      <c r="I23" s="3">
        <v>45263</v>
      </c>
      <c r="J23" s="3">
        <v>45264</v>
      </c>
      <c r="K23" s="3">
        <v>45265</v>
      </c>
      <c r="L23" s="3">
        <v>45266</v>
      </c>
      <c r="M23" s="3">
        <v>45267</v>
      </c>
      <c r="N23" s="3">
        <v>45268</v>
      </c>
      <c r="O23" s="3">
        <v>45269</v>
      </c>
      <c r="P23" s="3">
        <v>45270</v>
      </c>
      <c r="Q23" s="3">
        <v>45271</v>
      </c>
      <c r="R23" s="3">
        <v>45272</v>
      </c>
      <c r="S23" s="3">
        <v>45273</v>
      </c>
      <c r="T23" s="3">
        <v>45274</v>
      </c>
      <c r="U23" s="3">
        <v>45275</v>
      </c>
      <c r="V23" s="3">
        <v>45276</v>
      </c>
      <c r="W23" s="3">
        <v>45277</v>
      </c>
      <c r="X23" s="3">
        <v>45278</v>
      </c>
      <c r="Y23" s="3">
        <v>45279</v>
      </c>
      <c r="Z23" s="3">
        <v>45280</v>
      </c>
      <c r="AA23" s="3">
        <v>45281</v>
      </c>
      <c r="AB23" s="3">
        <v>45282</v>
      </c>
      <c r="AC23" s="3">
        <v>45283</v>
      </c>
      <c r="AD23" s="3">
        <v>45284</v>
      </c>
      <c r="AE23" s="3">
        <v>45285</v>
      </c>
      <c r="AF23" s="3">
        <v>45286</v>
      </c>
      <c r="AG23" s="3">
        <v>45287</v>
      </c>
      <c r="AH23" s="3">
        <v>45288</v>
      </c>
      <c r="AI23" s="3">
        <v>45289</v>
      </c>
      <c r="AJ23" s="3">
        <v>45290</v>
      </c>
      <c r="AK23" s="146"/>
      <c r="AL23" s="146"/>
    </row>
    <row r="24" spans="1:38" x14ac:dyDescent="0.25">
      <c r="A24" s="34" t="s">
        <v>42</v>
      </c>
      <c r="B24" s="73" t="s">
        <v>3</v>
      </c>
      <c r="C24" s="2">
        <v>20231207001</v>
      </c>
      <c r="D24" s="14">
        <v>500</v>
      </c>
      <c r="E24" s="14">
        <f>165.7 + 335.8</f>
        <v>501.5</v>
      </c>
      <c r="F24" s="35">
        <f>AL16</f>
        <v>14.460000000000036</v>
      </c>
      <c r="G24" s="8"/>
      <c r="H24" s="8"/>
      <c r="I24" s="8"/>
      <c r="J24" s="8"/>
      <c r="K24" s="8"/>
      <c r="L24" s="75"/>
      <c r="M24" s="8"/>
      <c r="N24" s="8"/>
      <c r="O24" s="8"/>
      <c r="P24" s="8"/>
      <c r="Q24" s="8"/>
      <c r="R24" s="8">
        <f>G119</f>
        <v>35.200000000000003</v>
      </c>
      <c r="S24" s="66">
        <f>G129</f>
        <v>28.1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14">
        <f>SUM(F24:AJ24)</f>
        <v>77.760000000000048</v>
      </c>
      <c r="AL24" s="14">
        <f t="shared" ref="AL24:AL26" si="3">SUM(AK24+F24-D24)</f>
        <v>-407.77999999999992</v>
      </c>
    </row>
    <row r="25" spans="1:38" s="19" customFormat="1" x14ac:dyDescent="0.25">
      <c r="A25" s="27" t="s">
        <v>40</v>
      </c>
      <c r="B25" s="73" t="s">
        <v>24</v>
      </c>
      <c r="C25" s="2">
        <v>20231207002</v>
      </c>
      <c r="D25" s="14">
        <v>1160</v>
      </c>
      <c r="E25" s="14">
        <v>1164.6400000000001</v>
      </c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14">
        <f>SUM(F25:AJ25)</f>
        <v>0</v>
      </c>
      <c r="AL25" s="14">
        <f t="shared" si="3"/>
        <v>-1160</v>
      </c>
    </row>
    <row r="26" spans="1:38" s="19" customFormat="1" x14ac:dyDescent="0.25">
      <c r="A26" s="27" t="s">
        <v>150</v>
      </c>
      <c r="B26" s="73" t="s">
        <v>175</v>
      </c>
      <c r="C26" s="2">
        <v>20231207003</v>
      </c>
      <c r="D26" s="14">
        <v>530</v>
      </c>
      <c r="E26" s="14">
        <f>15.48 + 13.5 + 483.08</f>
        <v>512.05999999999995</v>
      </c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f>V179</f>
        <v>8.48</v>
      </c>
      <c r="AB26" s="8"/>
      <c r="AC26" s="8"/>
      <c r="AD26" s="8"/>
      <c r="AE26" s="8"/>
      <c r="AF26" s="8">
        <f>V189</f>
        <v>28.58</v>
      </c>
      <c r="AG26" s="8">
        <f>V199</f>
        <v>77.379999999999967</v>
      </c>
      <c r="AH26" s="8">
        <f>V209</f>
        <v>84.220000000000013</v>
      </c>
      <c r="AI26" s="8"/>
      <c r="AJ26" s="8"/>
      <c r="AK26" s="14">
        <f>SUM(F26:AJ26)</f>
        <v>198.65999999999997</v>
      </c>
      <c r="AL26" s="14">
        <f t="shared" si="3"/>
        <v>-331.34000000000003</v>
      </c>
    </row>
    <row r="27" spans="1:38" s="19" customFormat="1" x14ac:dyDescent="0.25">
      <c r="A27" s="61"/>
      <c r="B27" s="83"/>
      <c r="C27" s="62"/>
      <c r="D27" s="30"/>
      <c r="E27" s="30"/>
      <c r="F27" s="76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30"/>
      <c r="AL27" s="30"/>
    </row>
    <row r="28" spans="1:38" s="19" customFormat="1" x14ac:dyDescent="0.25">
      <c r="B28" s="90" t="s">
        <v>169</v>
      </c>
      <c r="C28" s="85">
        <v>13999</v>
      </c>
      <c r="D28" s="55" t="s">
        <v>102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30"/>
      <c r="AL28" s="30"/>
    </row>
    <row r="29" spans="1:38" s="19" customFormat="1" x14ac:dyDescent="0.25">
      <c r="B29" s="86" t="s">
        <v>168</v>
      </c>
      <c r="C29" s="89">
        <f>SUM('08'!E9:E13,'09'!E14:E18,'10'!E16,'10'!E17,'10'!E20,'11'!E15:E18,'12'!E24:E26)</f>
        <v>14012.499999999998</v>
      </c>
      <c r="D29" s="55" t="s">
        <v>102</v>
      </c>
      <c r="E29" s="30"/>
      <c r="F29" s="76"/>
      <c r="G29" s="55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30"/>
      <c r="AL29" s="30"/>
    </row>
    <row r="30" spans="1:38" s="19" customFormat="1" x14ac:dyDescent="0.25">
      <c r="B30" s="86" t="s">
        <v>170</v>
      </c>
      <c r="C30" s="89">
        <f>C28-C29</f>
        <v>-13.499999999998181</v>
      </c>
      <c r="D30" s="55" t="s">
        <v>102</v>
      </c>
      <c r="E30" s="30"/>
      <c r="F30" s="76"/>
      <c r="G30" s="55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30"/>
      <c r="AL30" s="30"/>
    </row>
    <row r="31" spans="1:38" s="19" customFormat="1" x14ac:dyDescent="0.25">
      <c r="A31" s="61"/>
      <c r="B31" s="71"/>
      <c r="C31" s="62"/>
      <c r="D31" s="30"/>
      <c r="E31" s="63"/>
      <c r="F31" s="63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3"/>
      <c r="AL31" s="64"/>
    </row>
    <row r="32" spans="1:38" x14ac:dyDescent="0.25">
      <c r="A32" s="154" t="s">
        <v>101</v>
      </c>
      <c r="B32" s="154"/>
      <c r="C32" s="72">
        <f>SUM(G9:AJ9,G14:AJ17,G24:AJ26)</f>
        <v>1642.4199999999998</v>
      </c>
      <c r="D32" s="53" t="s">
        <v>102</v>
      </c>
      <c r="AK32" s="30"/>
    </row>
    <row r="34" spans="1:31" ht="15" customHeight="1" x14ac:dyDescent="0.25">
      <c r="A34" s="152" t="s">
        <v>10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31" ht="15" customHeight="1" x14ac:dyDescent="0.2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spans="1:31" ht="15" customHeight="1" x14ac:dyDescent="0.25">
      <c r="A36" s="153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</row>
    <row r="37" spans="1:31" x14ac:dyDescent="0.25">
      <c r="A37" s="130" t="s">
        <v>11</v>
      </c>
      <c r="B37" s="130" t="s">
        <v>0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</row>
    <row r="38" spans="1:31" x14ac:dyDescent="0.25">
      <c r="A38" s="130"/>
      <c r="B38" s="159" t="s">
        <v>1</v>
      </c>
      <c r="C38" s="159"/>
      <c r="D38" s="159" t="s">
        <v>43</v>
      </c>
      <c r="E38" s="159"/>
      <c r="F38" s="159"/>
      <c r="G38" s="159" t="s">
        <v>42</v>
      </c>
      <c r="H38" s="159"/>
      <c r="I38" s="159"/>
      <c r="J38" s="159"/>
      <c r="K38" s="159"/>
      <c r="L38" s="159" t="s">
        <v>41</v>
      </c>
      <c r="M38" s="159"/>
      <c r="N38" s="159"/>
      <c r="O38" s="159"/>
      <c r="P38" s="159"/>
      <c r="Q38" s="131" t="s">
        <v>40</v>
      </c>
      <c r="R38" s="131"/>
      <c r="S38" s="131"/>
      <c r="T38" s="131"/>
      <c r="U38" s="131"/>
      <c r="V38" s="131" t="s">
        <v>150</v>
      </c>
      <c r="W38" s="131"/>
      <c r="X38" s="131"/>
      <c r="Y38" s="131"/>
      <c r="Z38" s="131"/>
      <c r="AA38" s="131" t="s">
        <v>199</v>
      </c>
      <c r="AB38" s="131"/>
      <c r="AC38" s="131"/>
      <c r="AD38" s="131"/>
      <c r="AE38" s="131"/>
    </row>
    <row r="39" spans="1:31" x14ac:dyDescent="0.25">
      <c r="A39" s="130"/>
      <c r="B39" s="130" t="s">
        <v>12</v>
      </c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</row>
    <row r="40" spans="1:31" x14ac:dyDescent="0.25">
      <c r="A40" s="105">
        <v>45261</v>
      </c>
      <c r="B40" s="172" t="s">
        <v>140</v>
      </c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 t="s">
        <v>141</v>
      </c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</row>
    <row r="41" spans="1:31" x14ac:dyDescent="0.25">
      <c r="A41" s="105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</row>
    <row r="42" spans="1:31" x14ac:dyDescent="0.25">
      <c r="A42" s="105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</row>
    <row r="43" spans="1:31" x14ac:dyDescent="0.25">
      <c r="A43" s="105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</row>
    <row r="44" spans="1:31" x14ac:dyDescent="0.25">
      <c r="A44" s="105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</row>
    <row r="45" spans="1:31" x14ac:dyDescent="0.25">
      <c r="A45" s="105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</row>
    <row r="46" spans="1:31" x14ac:dyDescent="0.25">
      <c r="A46" s="105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</row>
    <row r="47" spans="1:31" x14ac:dyDescent="0.25">
      <c r="A47" s="105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</row>
    <row r="48" spans="1:31" s="53" customFormat="1" x14ac:dyDescent="0.25">
      <c r="A48" s="6" t="s">
        <v>22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</row>
    <row r="49" spans="1:31" s="53" customFormat="1" x14ac:dyDescent="0.25">
      <c r="A49" s="69" t="s">
        <v>14</v>
      </c>
      <c r="B49" s="103">
        <f>6.52 + 6.24 + 6.44 + 6.4 + 6.2 + 6.38 + 6.42 + 6.36 + 6.38 + 6.58</f>
        <v>63.92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4">
        <f>2.94 + 4.8 + 5.06 + 7.4 + 5.74 + 5.88 + 5.8 + 5.92 + 1.34</f>
        <v>44.88000000000001</v>
      </c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</row>
    <row r="50" spans="1:31" x14ac:dyDescent="0.25">
      <c r="A50" s="105">
        <v>45264</v>
      </c>
      <c r="B50" s="106" t="s">
        <v>142</v>
      </c>
      <c r="C50" s="106"/>
      <c r="D50" s="106">
        <v>6.34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 t="s">
        <v>143</v>
      </c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</row>
    <row r="51" spans="1:31" x14ac:dyDescent="0.25">
      <c r="A51" s="105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</row>
    <row r="52" spans="1:31" x14ac:dyDescent="0.25">
      <c r="A52" s="105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</row>
    <row r="53" spans="1:31" x14ac:dyDescent="0.25">
      <c r="A53" s="105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</row>
    <row r="54" spans="1:31" x14ac:dyDescent="0.25">
      <c r="A54" s="105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</row>
    <row r="55" spans="1:31" x14ac:dyDescent="0.25">
      <c r="A55" s="105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</row>
    <row r="56" spans="1:31" x14ac:dyDescent="0.25">
      <c r="A56" s="105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</row>
    <row r="57" spans="1:31" x14ac:dyDescent="0.25">
      <c r="A57" s="105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</row>
    <row r="58" spans="1:31" s="53" customFormat="1" x14ac:dyDescent="0.25">
      <c r="A58" s="6" t="s">
        <v>22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</row>
    <row r="59" spans="1:31" s="53" customFormat="1" x14ac:dyDescent="0.25">
      <c r="A59" s="69" t="s">
        <v>14</v>
      </c>
      <c r="B59" s="103">
        <f>7.86 + 8.28 + 8.32 + 8.32 + 8.36 + 8.44 + 8.34 + 8.4 + 7.68 + 8.26</f>
        <v>82.26</v>
      </c>
      <c r="C59" s="103"/>
      <c r="D59" s="103">
        <f>D50</f>
        <v>6.34</v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4">
        <f>6.86 + 7.32 + 7.52 + 8.62 + 5.56 + 6.98 + 5.72 + 6.78 + 0.96</f>
        <v>56.32</v>
      </c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</row>
    <row r="60" spans="1:31" x14ac:dyDescent="0.25">
      <c r="A60" s="105">
        <v>45265</v>
      </c>
      <c r="B60" s="106" t="s">
        <v>144</v>
      </c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 t="s">
        <v>145</v>
      </c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</row>
    <row r="61" spans="1:31" x14ac:dyDescent="0.25">
      <c r="A61" s="105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</row>
    <row r="62" spans="1:31" x14ac:dyDescent="0.25">
      <c r="A62" s="105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</row>
    <row r="63" spans="1:31" x14ac:dyDescent="0.25">
      <c r="A63" s="105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</row>
    <row r="64" spans="1:31" x14ac:dyDescent="0.25">
      <c r="A64" s="105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</row>
    <row r="65" spans="1:31" x14ac:dyDescent="0.25">
      <c r="A65" s="105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</row>
    <row r="66" spans="1:31" x14ac:dyDescent="0.25">
      <c r="A66" s="105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</row>
    <row r="67" spans="1:31" x14ac:dyDescent="0.25">
      <c r="A67" s="105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</row>
    <row r="68" spans="1:31" s="53" customFormat="1" x14ac:dyDescent="0.25">
      <c r="A68" s="6" t="s">
        <v>22</v>
      </c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</row>
    <row r="69" spans="1:31" s="53" customFormat="1" x14ac:dyDescent="0.25">
      <c r="A69" s="69" t="s">
        <v>14</v>
      </c>
      <c r="B69" s="103">
        <f>6.96 + 8 + 4.24 + 8.4 + 7.92 + 8.16 + 4.32 + 8.3 + 6.72 + 8.1 + 8.6 + 8.26</f>
        <v>87.98</v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4">
        <f>8.42 + 4.62 + 7.86 + 9.02 + 6.62 + 9.1 + 6.7 + 6.78</f>
        <v>59.120000000000005</v>
      </c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</row>
    <row r="70" spans="1:31" x14ac:dyDescent="0.25">
      <c r="A70" s="105">
        <v>45266</v>
      </c>
      <c r="B70" s="106" t="s">
        <v>146</v>
      </c>
      <c r="C70" s="106"/>
      <c r="D70" s="106"/>
      <c r="E70" s="106"/>
      <c r="F70" s="106"/>
      <c r="G70" s="106" t="s">
        <v>148</v>
      </c>
      <c r="H70" s="106"/>
      <c r="I70" s="106"/>
      <c r="J70" s="106"/>
      <c r="K70" s="106"/>
      <c r="L70" s="106"/>
      <c r="M70" s="106"/>
      <c r="N70" s="106"/>
      <c r="O70" s="106"/>
      <c r="P70" s="106"/>
      <c r="Q70" s="106" t="s">
        <v>147</v>
      </c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</row>
    <row r="71" spans="1:31" x14ac:dyDescent="0.25">
      <c r="A71" s="105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</row>
    <row r="72" spans="1:31" x14ac:dyDescent="0.25">
      <c r="A72" s="105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</row>
    <row r="73" spans="1:31" x14ac:dyDescent="0.25">
      <c r="A73" s="105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</row>
    <row r="74" spans="1:31" x14ac:dyDescent="0.25">
      <c r="A74" s="105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</row>
    <row r="75" spans="1:31" x14ac:dyDescent="0.25">
      <c r="A75" s="105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</row>
    <row r="76" spans="1:31" x14ac:dyDescent="0.25">
      <c r="A76" s="105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</row>
    <row r="77" spans="1:31" x14ac:dyDescent="0.25">
      <c r="A77" s="105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</row>
    <row r="78" spans="1:31" s="53" customFormat="1" x14ac:dyDescent="0.25">
      <c r="A78" s="6" t="s">
        <v>22</v>
      </c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</row>
    <row r="79" spans="1:31" s="53" customFormat="1" x14ac:dyDescent="0.25">
      <c r="A79" s="69" t="s">
        <v>14</v>
      </c>
      <c r="B79" s="103">
        <f>8.38 + 8.46 + 2.8 + 8.48 + 8.5 + 8.1 + 8.4 + 5.52 + 8.3</f>
        <v>66.94</v>
      </c>
      <c r="C79" s="103"/>
      <c r="D79" s="103"/>
      <c r="E79" s="103"/>
      <c r="F79" s="103"/>
      <c r="G79" s="103">
        <f>8.26 + 8.16 + 8.38 + 8.48 + 5.6 + 5.58 + 8.2 + 8.2 + 7.88 + 8.2 + 8.24 + 8.22</f>
        <v>93.399999999999991</v>
      </c>
      <c r="H79" s="103"/>
      <c r="I79" s="103"/>
      <c r="J79" s="103"/>
      <c r="K79" s="103"/>
      <c r="L79" s="103"/>
      <c r="M79" s="103"/>
      <c r="N79" s="103"/>
      <c r="O79" s="103"/>
      <c r="P79" s="103"/>
      <c r="Q79" s="104">
        <f t="shared" ref="Q79" si="4">9.8 + 3.26 + 7.66 + 2.92 + 1.94 + 8.22 + 5.96 + 4.56 + 5.64 + 9.2</f>
        <v>59.160000000000011</v>
      </c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</row>
    <row r="80" spans="1:31" x14ac:dyDescent="0.25">
      <c r="A80" s="105">
        <v>45267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 t="s">
        <v>151</v>
      </c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</row>
    <row r="81" spans="1:31" x14ac:dyDescent="0.25">
      <c r="A81" s="105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</row>
    <row r="82" spans="1:31" x14ac:dyDescent="0.25">
      <c r="A82" s="105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</row>
    <row r="83" spans="1:31" x14ac:dyDescent="0.25">
      <c r="A83" s="105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</row>
    <row r="84" spans="1:31" x14ac:dyDescent="0.25">
      <c r="A84" s="105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</row>
    <row r="85" spans="1:31" x14ac:dyDescent="0.25">
      <c r="A85" s="105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</row>
    <row r="86" spans="1:31" x14ac:dyDescent="0.25">
      <c r="A86" s="105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</row>
    <row r="87" spans="1:31" x14ac:dyDescent="0.25">
      <c r="A87" s="105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</row>
    <row r="88" spans="1:31" s="53" customFormat="1" x14ac:dyDescent="0.25">
      <c r="A88" s="6" t="s">
        <v>22</v>
      </c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</row>
    <row r="89" spans="1:31" s="53" customFormat="1" x14ac:dyDescent="0.25">
      <c r="A89" s="69" t="s">
        <v>14</v>
      </c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4">
        <f>2.66 + 1.86 + 1.72 + 2 + 2 + 2.42 + 1.96 + 2.26 + 2.36 + 2.42 + 0.82 + 2.4 + 2.18 + 1.86 + 1.42</f>
        <v>30.340000000000003</v>
      </c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</row>
    <row r="90" spans="1:31" x14ac:dyDescent="0.25">
      <c r="A90" s="105">
        <v>45268</v>
      </c>
      <c r="B90" s="106" t="s">
        <v>152</v>
      </c>
      <c r="C90" s="106"/>
      <c r="D90" s="106" t="s">
        <v>153</v>
      </c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 t="s">
        <v>154</v>
      </c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</row>
    <row r="91" spans="1:31" x14ac:dyDescent="0.25">
      <c r="A91" s="105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</row>
    <row r="92" spans="1:31" x14ac:dyDescent="0.25">
      <c r="A92" s="105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</row>
    <row r="93" spans="1:31" x14ac:dyDescent="0.25">
      <c r="A93" s="105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</row>
    <row r="94" spans="1:31" x14ac:dyDescent="0.25">
      <c r="A94" s="105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</row>
    <row r="95" spans="1:31" x14ac:dyDescent="0.25">
      <c r="A95" s="105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</row>
    <row r="96" spans="1:31" x14ac:dyDescent="0.25">
      <c r="A96" s="105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</row>
    <row r="97" spans="1:31" x14ac:dyDescent="0.25">
      <c r="A97" s="105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</row>
    <row r="98" spans="1:31" s="53" customFormat="1" x14ac:dyDescent="0.25">
      <c r="A98" s="6" t="s">
        <v>22</v>
      </c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</row>
    <row r="99" spans="1:31" s="53" customFormat="1" x14ac:dyDescent="0.25">
      <c r="A99" s="69" t="s">
        <v>14</v>
      </c>
      <c r="B99" s="103">
        <f>3.38 + 1.58 + 2.72 + 3.64 + 3.64 + 4.12 + 4.12 + 3.78 + 3.68</f>
        <v>30.660000000000004</v>
      </c>
      <c r="C99" s="103"/>
      <c r="D99" s="103">
        <f>3.7 + 3.4 + 4.08 + 3.74 + 4.22 + 3.68 + 2.32 + 2.26 + 2 + 2.2</f>
        <v>31.599999999999998</v>
      </c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4">
        <f>2.72 + 2.26 + 2.52 + 1.72 + 2.02 + 1.94 + 1.9 + 1.94 + 2.18 + 2.64 + 2.72 + 2.72 + 3.02 + 2.98 + 3.34</f>
        <v>36.61999999999999</v>
      </c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</row>
    <row r="100" spans="1:31" ht="15" customHeight="1" x14ac:dyDescent="0.25">
      <c r="A100" s="105">
        <v>45271</v>
      </c>
      <c r="B100" s="106" t="s">
        <v>155</v>
      </c>
      <c r="C100" s="106"/>
      <c r="D100" s="106" t="s">
        <v>156</v>
      </c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7" t="s">
        <v>157</v>
      </c>
      <c r="R100" s="113"/>
      <c r="S100" s="113"/>
      <c r="T100" s="113"/>
      <c r="U100" s="108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</row>
    <row r="101" spans="1:31" x14ac:dyDescent="0.25">
      <c r="A101" s="105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9"/>
      <c r="R101" s="114"/>
      <c r="S101" s="114"/>
      <c r="T101" s="114"/>
      <c r="U101" s="110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</row>
    <row r="102" spans="1:31" x14ac:dyDescent="0.25">
      <c r="A102" s="105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9"/>
      <c r="R102" s="114"/>
      <c r="S102" s="114"/>
      <c r="T102" s="114"/>
      <c r="U102" s="110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</row>
    <row r="103" spans="1:31" x14ac:dyDescent="0.25">
      <c r="A103" s="105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11"/>
      <c r="R103" s="115"/>
      <c r="S103" s="115"/>
      <c r="T103" s="115"/>
      <c r="U103" s="112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</row>
    <row r="104" spans="1:31" x14ac:dyDescent="0.25">
      <c r="A104" s="105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9" t="s">
        <v>158</v>
      </c>
      <c r="R104" s="114"/>
      <c r="S104" s="114"/>
      <c r="T104" s="114"/>
      <c r="U104" s="110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</row>
    <row r="105" spans="1:31" x14ac:dyDescent="0.25">
      <c r="A105" s="105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9"/>
      <c r="R105" s="114"/>
      <c r="S105" s="114"/>
      <c r="T105" s="114"/>
      <c r="U105" s="110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</row>
    <row r="106" spans="1:31" x14ac:dyDescent="0.25">
      <c r="A106" s="105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9"/>
      <c r="R106" s="114"/>
      <c r="S106" s="114"/>
      <c r="T106" s="114"/>
      <c r="U106" s="110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</row>
    <row r="107" spans="1:31" x14ac:dyDescent="0.25">
      <c r="A107" s="105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11"/>
      <c r="R107" s="115"/>
      <c r="S107" s="115"/>
      <c r="T107" s="115"/>
      <c r="U107" s="112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</row>
    <row r="108" spans="1:31" s="53" customFormat="1" x14ac:dyDescent="0.25">
      <c r="A108" s="6" t="s">
        <v>22</v>
      </c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</row>
    <row r="109" spans="1:31" s="53" customFormat="1" x14ac:dyDescent="0.25">
      <c r="A109" s="69" t="s">
        <v>14</v>
      </c>
      <c r="B109" s="103">
        <f t="shared" ref="B109" si="5">3.78 + 2.98 + 3.06 + 1.58</f>
        <v>11.4</v>
      </c>
      <c r="C109" s="103"/>
      <c r="D109" s="103">
        <f t="shared" ref="D109" si="6">2.7 + 2.7 + 1.04 + 3.68 + 3.48 + 2.76 + 3.5 + 3.66</f>
        <v>23.52</v>
      </c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56">
        <f t="shared" ref="Q109" si="7">2.78 + 2.98 + 2.18 + 3.02 + 2.78 + 2.88 + 2.66 + 2.76 + 3.14 + 2.14 + 2.5 + 3.9 + 2.62 + 2.48</f>
        <v>38.819999999999993</v>
      </c>
      <c r="R109" s="157"/>
      <c r="S109" s="81"/>
      <c r="T109" s="157">
        <f>1.02 + 1.02 + 1 + 1.02 + 1 + 0.98</f>
        <v>6.0400000000000009</v>
      </c>
      <c r="U109" s="158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</row>
    <row r="110" spans="1:31" ht="15" customHeight="1" x14ac:dyDescent="0.25">
      <c r="A110" s="105">
        <v>45272</v>
      </c>
      <c r="B110" s="106"/>
      <c r="C110" s="106"/>
      <c r="D110" s="106" t="s">
        <v>159</v>
      </c>
      <c r="E110" s="106"/>
      <c r="F110" s="106"/>
      <c r="G110" s="106" t="s">
        <v>160</v>
      </c>
      <c r="H110" s="106"/>
      <c r="I110" s="106"/>
      <c r="J110" s="106"/>
      <c r="K110" s="106"/>
      <c r="L110" s="106"/>
      <c r="M110" s="106"/>
      <c r="N110" s="106"/>
      <c r="O110" s="106"/>
      <c r="P110" s="106"/>
      <c r="Q110" s="107" t="s">
        <v>161</v>
      </c>
      <c r="R110" s="113"/>
      <c r="S110" s="113"/>
      <c r="T110" s="113"/>
      <c r="U110" s="108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</row>
    <row r="111" spans="1:31" x14ac:dyDescent="0.25">
      <c r="A111" s="105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9"/>
      <c r="R111" s="114"/>
      <c r="S111" s="114"/>
      <c r="T111" s="114"/>
      <c r="U111" s="110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</row>
    <row r="112" spans="1:31" x14ac:dyDescent="0.25">
      <c r="A112" s="105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9"/>
      <c r="R112" s="114"/>
      <c r="S112" s="114"/>
      <c r="T112" s="114"/>
      <c r="U112" s="110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</row>
    <row r="113" spans="1:31" x14ac:dyDescent="0.25">
      <c r="A113" s="105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11"/>
      <c r="R113" s="115"/>
      <c r="S113" s="115"/>
      <c r="T113" s="115"/>
      <c r="U113" s="112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</row>
    <row r="114" spans="1:31" x14ac:dyDescent="0.25">
      <c r="A114" s="105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9" t="s">
        <v>162</v>
      </c>
      <c r="R114" s="114"/>
      <c r="S114" s="114"/>
      <c r="T114" s="114"/>
      <c r="U114" s="110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</row>
    <row r="115" spans="1:31" x14ac:dyDescent="0.25">
      <c r="A115" s="105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9"/>
      <c r="R115" s="114"/>
      <c r="S115" s="114"/>
      <c r="T115" s="114"/>
      <c r="U115" s="110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</row>
    <row r="116" spans="1:31" x14ac:dyDescent="0.25">
      <c r="A116" s="105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9"/>
      <c r="R116" s="114"/>
      <c r="S116" s="114"/>
      <c r="T116" s="114"/>
      <c r="U116" s="110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</row>
    <row r="117" spans="1:31" x14ac:dyDescent="0.25">
      <c r="A117" s="105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11"/>
      <c r="R117" s="115"/>
      <c r="S117" s="115"/>
      <c r="T117" s="115"/>
      <c r="U117" s="112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</row>
    <row r="118" spans="1:31" s="53" customFormat="1" x14ac:dyDescent="0.25">
      <c r="A118" s="6" t="s">
        <v>22</v>
      </c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</row>
    <row r="119" spans="1:31" s="53" customFormat="1" x14ac:dyDescent="0.25">
      <c r="A119" s="69" t="s">
        <v>14</v>
      </c>
      <c r="B119" s="103"/>
      <c r="C119" s="103"/>
      <c r="D119" s="103">
        <f>1.46 + 3.76 + 1.54 + 1.62</f>
        <v>8.379999999999999</v>
      </c>
      <c r="E119" s="103"/>
      <c r="F119" s="103"/>
      <c r="G119" s="103">
        <f>2.56 + 4.26 + 3.7 + 3.6 + 4.22 + 3.58 + 3.66 + 3.32 + 2.4 + 3.9</f>
        <v>35.200000000000003</v>
      </c>
      <c r="H119" s="103"/>
      <c r="I119" s="103"/>
      <c r="J119" s="103"/>
      <c r="K119" s="103"/>
      <c r="L119" s="103"/>
      <c r="M119" s="103"/>
      <c r="N119" s="103"/>
      <c r="O119" s="103"/>
      <c r="P119" s="103"/>
      <c r="Q119" s="156">
        <f>2.46 + 3.08 + 3.04 + 2.5 + 2.68 + 3.1 + 2.72 + 3.1 + 3.06 + 2.9 + 3 + 3.14 + 1.18 + 3.16</f>
        <v>39.11999999999999</v>
      </c>
      <c r="R119" s="157"/>
      <c r="S119" s="80"/>
      <c r="T119" s="157">
        <f>0.98 + 0.98 + 0.96 + 0.8 + 1 + 0.98 + 0.96 + 0.96 + 0.96 + 0.96 + 0.98 + 0.98 + 0.96 + 1</f>
        <v>13.46</v>
      </c>
      <c r="U119" s="158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</row>
    <row r="120" spans="1:31" ht="15" customHeight="1" x14ac:dyDescent="0.25">
      <c r="A120" s="105">
        <v>45273</v>
      </c>
      <c r="B120" s="106"/>
      <c r="C120" s="106"/>
      <c r="D120" s="106"/>
      <c r="E120" s="106"/>
      <c r="F120" s="106"/>
      <c r="G120" s="106" t="s">
        <v>163</v>
      </c>
      <c r="H120" s="106"/>
      <c r="I120" s="106"/>
      <c r="J120" s="106"/>
      <c r="K120" s="106"/>
      <c r="L120" s="106"/>
      <c r="M120" s="106"/>
      <c r="N120" s="106"/>
      <c r="O120" s="106"/>
      <c r="P120" s="106"/>
      <c r="Q120" s="107" t="s">
        <v>164</v>
      </c>
      <c r="R120" s="113"/>
      <c r="S120" s="113"/>
      <c r="T120" s="113"/>
      <c r="U120" s="108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</row>
    <row r="121" spans="1:31" x14ac:dyDescent="0.25">
      <c r="A121" s="105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9"/>
      <c r="R121" s="114"/>
      <c r="S121" s="114"/>
      <c r="T121" s="114"/>
      <c r="U121" s="110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</row>
    <row r="122" spans="1:31" x14ac:dyDescent="0.25">
      <c r="A122" s="105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9"/>
      <c r="R122" s="114"/>
      <c r="S122" s="114"/>
      <c r="T122" s="114"/>
      <c r="U122" s="110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</row>
    <row r="123" spans="1:31" x14ac:dyDescent="0.25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11"/>
      <c r="R123" s="115"/>
      <c r="S123" s="115"/>
      <c r="T123" s="115"/>
      <c r="U123" s="112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</row>
    <row r="124" spans="1:31" x14ac:dyDescent="0.25">
      <c r="A124" s="105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9" t="s">
        <v>165</v>
      </c>
      <c r="R124" s="114"/>
      <c r="S124" s="114"/>
      <c r="T124" s="114"/>
      <c r="U124" s="110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</row>
    <row r="125" spans="1:31" x14ac:dyDescent="0.25">
      <c r="A125" s="105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9"/>
      <c r="R125" s="114"/>
      <c r="S125" s="114"/>
      <c r="T125" s="114"/>
      <c r="U125" s="110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</row>
    <row r="126" spans="1:31" x14ac:dyDescent="0.25">
      <c r="A126" s="105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9"/>
      <c r="R126" s="114"/>
      <c r="S126" s="114"/>
      <c r="T126" s="114"/>
      <c r="U126" s="110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</row>
    <row r="127" spans="1:31" x14ac:dyDescent="0.25">
      <c r="A127" s="105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11"/>
      <c r="R127" s="115"/>
      <c r="S127" s="115"/>
      <c r="T127" s="115"/>
      <c r="U127" s="112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</row>
    <row r="128" spans="1:31" s="53" customFormat="1" x14ac:dyDescent="0.25">
      <c r="A128" s="6" t="s">
        <v>22</v>
      </c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</row>
    <row r="129" spans="1:31" s="53" customFormat="1" x14ac:dyDescent="0.25">
      <c r="A129" s="69" t="s">
        <v>14</v>
      </c>
      <c r="B129" s="103"/>
      <c r="C129" s="103"/>
      <c r="D129" s="103"/>
      <c r="E129" s="103"/>
      <c r="F129" s="103"/>
      <c r="G129" s="103">
        <f>1.14 + 3.66 + 4 + 3.88 + 4.2 + 2.8 + 4.28 + 4.14</f>
        <v>28.1</v>
      </c>
      <c r="H129" s="103"/>
      <c r="I129" s="103"/>
      <c r="J129" s="103"/>
      <c r="K129" s="103"/>
      <c r="L129" s="103"/>
      <c r="M129" s="103"/>
      <c r="N129" s="103"/>
      <c r="O129" s="103"/>
      <c r="P129" s="103"/>
      <c r="Q129" s="156">
        <f>3.36 + 3.42 + 3.18 + 3.08 + 2.92 + 3.18 + 3 + 3.32 + 3.34 + 3.42 + 1.88 + 3.32 + 3.28 + 2.78 + 2.54 + 1.52</f>
        <v>47.540000000000006</v>
      </c>
      <c r="R129" s="157"/>
      <c r="S129" s="80"/>
      <c r="T129" s="157">
        <f>0.84 + 0.86 + 0.82 + 0.82 + 0.92 + 0.86 + 0.9 + 0.92 + 0.94 + 0.96 + 0.82 + 0.88 + 0.92 + 0.96 + 0.96 + 0.94 + 0.9 + 0.88 + 0.9</f>
        <v>17</v>
      </c>
      <c r="U129" s="158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</row>
    <row r="130" spans="1:31" x14ac:dyDescent="0.25">
      <c r="A130" s="105">
        <v>45274</v>
      </c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79" t="s">
        <v>166</v>
      </c>
      <c r="R130" s="180"/>
      <c r="S130" s="180"/>
      <c r="T130" s="180"/>
      <c r="U130" s="181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</row>
    <row r="131" spans="1:31" x14ac:dyDescent="0.25">
      <c r="A131" s="105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73"/>
      <c r="R131" s="174"/>
      <c r="S131" s="174"/>
      <c r="T131" s="174"/>
      <c r="U131" s="175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</row>
    <row r="132" spans="1:31" x14ac:dyDescent="0.25">
      <c r="A132" s="105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73"/>
      <c r="R132" s="174"/>
      <c r="S132" s="174"/>
      <c r="T132" s="174"/>
      <c r="U132" s="175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</row>
    <row r="133" spans="1:31" x14ac:dyDescent="0.25">
      <c r="A133" s="105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76"/>
      <c r="R133" s="177"/>
      <c r="S133" s="177"/>
      <c r="T133" s="177"/>
      <c r="U133" s="178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</row>
    <row r="134" spans="1:31" x14ac:dyDescent="0.25">
      <c r="A134" s="105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73" t="s">
        <v>167</v>
      </c>
      <c r="R134" s="174"/>
      <c r="S134" s="174"/>
      <c r="T134" s="174"/>
      <c r="U134" s="175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</row>
    <row r="135" spans="1:31" x14ac:dyDescent="0.25">
      <c r="A135" s="105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73"/>
      <c r="R135" s="174"/>
      <c r="S135" s="174"/>
      <c r="T135" s="174"/>
      <c r="U135" s="175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</row>
    <row r="136" spans="1:31" x14ac:dyDescent="0.25">
      <c r="A136" s="105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73"/>
      <c r="R136" s="174"/>
      <c r="S136" s="174"/>
      <c r="T136" s="174"/>
      <c r="U136" s="175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</row>
    <row r="137" spans="1:31" x14ac:dyDescent="0.25">
      <c r="A137" s="105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76"/>
      <c r="R137" s="177"/>
      <c r="S137" s="177"/>
      <c r="T137" s="177"/>
      <c r="U137" s="178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</row>
    <row r="138" spans="1:31" s="53" customFormat="1" x14ac:dyDescent="0.25">
      <c r="A138" s="6" t="s">
        <v>22</v>
      </c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</row>
    <row r="139" spans="1:31" s="53" customFormat="1" x14ac:dyDescent="0.25">
      <c r="A139" s="69" t="s">
        <v>14</v>
      </c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56">
        <f>3.86 + 3.42 + 3.68 + 3.32 + 3.5 + 3.56 + 3.34 + 3.5 + 3.5 + 3.48 + 3.28 + 3.88 + 3.5 + 3.5 + 3.46 + 3.3 + 2.86 + 3.22 + 2.7 + 4.02</f>
        <v>68.88</v>
      </c>
      <c r="R139" s="157"/>
      <c r="S139" s="80"/>
      <c r="T139" s="157">
        <f>0.92 + 0.94 + 0.94 + 0.96 + 0.98 + 0.98 + 0.98 + 0.98 + 1.02 + 1 + 0.96 + 0.94 + 0.96 + 0.96 + 0.96 + 0.94 + 0.94 + 0.94 + 0.96 + 0.98 + 1.02 + 1.04 + 1.02 + 0.48 + 1.04</f>
        <v>23.84</v>
      </c>
      <c r="U139" s="158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</row>
    <row r="140" spans="1:31" ht="15" customHeight="1" x14ac:dyDescent="0.25">
      <c r="A140" s="105">
        <v>45278</v>
      </c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63" t="s">
        <v>190</v>
      </c>
      <c r="R140" s="164"/>
      <c r="S140" s="164"/>
      <c r="T140" s="164"/>
      <c r="U140" s="165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</row>
    <row r="141" spans="1:31" x14ac:dyDescent="0.25">
      <c r="A141" s="105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66"/>
      <c r="R141" s="167"/>
      <c r="S141" s="167"/>
      <c r="T141" s="167"/>
      <c r="U141" s="168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</row>
    <row r="142" spans="1:31" x14ac:dyDescent="0.25">
      <c r="A142" s="105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66"/>
      <c r="R142" s="167"/>
      <c r="S142" s="167"/>
      <c r="T142" s="167"/>
      <c r="U142" s="168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</row>
    <row r="143" spans="1:31" x14ac:dyDescent="0.25">
      <c r="A143" s="105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69"/>
      <c r="R143" s="170"/>
      <c r="S143" s="170"/>
      <c r="T143" s="170"/>
      <c r="U143" s="171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</row>
    <row r="144" spans="1:31" x14ac:dyDescent="0.25">
      <c r="A144" s="105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73" t="s">
        <v>191</v>
      </c>
      <c r="R144" s="174"/>
      <c r="S144" s="174"/>
      <c r="T144" s="174"/>
      <c r="U144" s="175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</row>
    <row r="145" spans="1:31" x14ac:dyDescent="0.25">
      <c r="A145" s="105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73"/>
      <c r="R145" s="174"/>
      <c r="S145" s="174"/>
      <c r="T145" s="174"/>
      <c r="U145" s="175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</row>
    <row r="146" spans="1:31" x14ac:dyDescent="0.25">
      <c r="A146" s="105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73"/>
      <c r="R146" s="174"/>
      <c r="S146" s="174"/>
      <c r="T146" s="174"/>
      <c r="U146" s="175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</row>
    <row r="147" spans="1:31" x14ac:dyDescent="0.25">
      <c r="A147" s="105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76"/>
      <c r="R147" s="177"/>
      <c r="S147" s="177"/>
      <c r="T147" s="177"/>
      <c r="U147" s="178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</row>
    <row r="148" spans="1:31" s="53" customFormat="1" x14ac:dyDescent="0.25">
      <c r="A148" s="6" t="s">
        <v>22</v>
      </c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</row>
    <row r="149" spans="1:31" s="53" customFormat="1" x14ac:dyDescent="0.25">
      <c r="A149" s="69" t="s">
        <v>14</v>
      </c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56">
        <f>3.3 + 3.24 + 3.06 + 3.62 + 3.34 + 3.36 + 3.56 + 2.94 + 3.38 + 3.16 + 3.3 + 3.18 + 3.26 + 3.24 + 3.22 + 3.42 + 3.66 + 3.26 + 3.26 + 3.1 + 2.96 + 3.32 + 3.26</f>
        <v>75.399999999999977</v>
      </c>
      <c r="R149" s="157"/>
      <c r="S149" s="80"/>
      <c r="T149" s="157">
        <f>1.5 + 3.66 + 3.7</f>
        <v>8.86</v>
      </c>
      <c r="U149" s="158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</row>
    <row r="150" spans="1:31" x14ac:dyDescent="0.25">
      <c r="A150" s="105">
        <v>45279</v>
      </c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62" t="s">
        <v>192</v>
      </c>
      <c r="R150" s="162"/>
      <c r="S150" s="162"/>
      <c r="T150" s="162"/>
      <c r="U150" s="162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</row>
    <row r="151" spans="1:31" x14ac:dyDescent="0.25">
      <c r="A151" s="105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62"/>
      <c r="R151" s="162"/>
      <c r="S151" s="162"/>
      <c r="T151" s="162"/>
      <c r="U151" s="162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</row>
    <row r="152" spans="1:31" x14ac:dyDescent="0.25">
      <c r="A152" s="105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62"/>
      <c r="R152" s="162"/>
      <c r="S152" s="162"/>
      <c r="T152" s="162"/>
      <c r="U152" s="162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</row>
    <row r="153" spans="1:31" x14ac:dyDescent="0.25">
      <c r="A153" s="105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62"/>
      <c r="R153" s="162"/>
      <c r="S153" s="162"/>
      <c r="T153" s="162"/>
      <c r="U153" s="162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</row>
    <row r="154" spans="1:31" x14ac:dyDescent="0.25">
      <c r="A154" s="105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62"/>
      <c r="R154" s="162"/>
      <c r="S154" s="162"/>
      <c r="T154" s="162"/>
      <c r="U154" s="162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</row>
    <row r="155" spans="1:31" x14ac:dyDescent="0.25">
      <c r="A155" s="105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62"/>
      <c r="R155" s="162"/>
      <c r="S155" s="162"/>
      <c r="T155" s="162"/>
      <c r="U155" s="162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</row>
    <row r="156" spans="1:31" x14ac:dyDescent="0.25">
      <c r="A156" s="105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62"/>
      <c r="R156" s="162"/>
      <c r="S156" s="162"/>
      <c r="T156" s="162"/>
      <c r="U156" s="162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</row>
    <row r="157" spans="1:31" x14ac:dyDescent="0.25">
      <c r="A157" s="105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62"/>
      <c r="R157" s="162"/>
      <c r="S157" s="162"/>
      <c r="T157" s="162"/>
      <c r="U157" s="162"/>
      <c r="V157" s="106"/>
      <c r="W157" s="106"/>
      <c r="X157" s="106"/>
      <c r="Y157" s="106"/>
      <c r="Z157" s="106"/>
      <c r="AA157" s="106"/>
      <c r="AB157" s="106"/>
      <c r="AC157" s="106"/>
      <c r="AD157" s="106"/>
      <c r="AE157" s="106"/>
    </row>
    <row r="158" spans="1:31" s="53" customFormat="1" x14ac:dyDescent="0.25">
      <c r="A158" s="6" t="s">
        <v>22</v>
      </c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</row>
    <row r="159" spans="1:31" s="53" customFormat="1" x14ac:dyDescent="0.25">
      <c r="A159" s="69" t="s">
        <v>14</v>
      </c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4">
        <f>2.96 + 3 + 3.16 + 2.4 + 3.06 + 3.46 + 3.06 + 3.12 + 3.48 + 3 + 3.14 + 3.2 + 3.06 + 2.9 + 0.92 + 3.4 + 3.38 + 3.04 + 3.12 + 3.52 + 3.4 + 2.7 + 3.32 + 3.14 + 3.36 + 2.66 + 3.22 + 3.5</f>
        <v>85.679999999999993</v>
      </c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</row>
    <row r="160" spans="1:31" x14ac:dyDescent="0.25">
      <c r="A160" s="105">
        <v>45280</v>
      </c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62" t="s">
        <v>193</v>
      </c>
      <c r="R160" s="162"/>
      <c r="S160" s="162"/>
      <c r="T160" s="162"/>
      <c r="U160" s="162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</row>
    <row r="161" spans="1:31" x14ac:dyDescent="0.25">
      <c r="A161" s="105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62"/>
      <c r="R161" s="162"/>
      <c r="S161" s="162"/>
      <c r="T161" s="162"/>
      <c r="U161" s="162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</row>
    <row r="162" spans="1:31" x14ac:dyDescent="0.25">
      <c r="A162" s="105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62"/>
      <c r="R162" s="162"/>
      <c r="S162" s="162"/>
      <c r="T162" s="162"/>
      <c r="U162" s="162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</row>
    <row r="163" spans="1:31" x14ac:dyDescent="0.25">
      <c r="A163" s="105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62"/>
      <c r="R163" s="162"/>
      <c r="S163" s="162"/>
      <c r="T163" s="162"/>
      <c r="U163" s="162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</row>
    <row r="164" spans="1:31" x14ac:dyDescent="0.25">
      <c r="A164" s="105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62"/>
      <c r="R164" s="162"/>
      <c r="S164" s="162"/>
      <c r="T164" s="162"/>
      <c r="U164" s="162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</row>
    <row r="165" spans="1:31" x14ac:dyDescent="0.25">
      <c r="A165" s="105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62"/>
      <c r="R165" s="162"/>
      <c r="S165" s="162"/>
      <c r="T165" s="162"/>
      <c r="U165" s="162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</row>
    <row r="166" spans="1:31" x14ac:dyDescent="0.25">
      <c r="A166" s="105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62"/>
      <c r="R166" s="162"/>
      <c r="S166" s="162"/>
      <c r="T166" s="162"/>
      <c r="U166" s="162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06"/>
    </row>
    <row r="167" spans="1:31" x14ac:dyDescent="0.25">
      <c r="A167" s="105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62"/>
      <c r="R167" s="162"/>
      <c r="S167" s="162"/>
      <c r="T167" s="162"/>
      <c r="U167" s="162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06"/>
    </row>
    <row r="168" spans="1:31" s="53" customFormat="1" x14ac:dyDescent="0.25">
      <c r="A168" s="6" t="s">
        <v>22</v>
      </c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</row>
    <row r="169" spans="1:31" s="53" customFormat="1" x14ac:dyDescent="0.25">
      <c r="A169" s="99" t="s">
        <v>14</v>
      </c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4">
        <f>2.22 + 2.22 + 2.3 + 2.3 + 1.98 + 2.34 + 2.38 + 2.04 + 2.62 + 2.54 + 2.16 + 2.28 + 2.54 + 2.34 + 2.32 + 2.14 + 2.2 + 2.36 + 2.42 + 2.52 + 2.46 + 2.4 + 2.4 + 2.52 + 2.32 + 2.3 + 1.66 + 2.14 + 2.14 + 1.84 + 1.8 + 2.24 + 2.3 + 2.4 + 2.14 + 2.54 + 2.06 + 2.44 + 2.32 + 2.16 + 2.38 + 2.08 + 1.78 + 2.12 + 1.96 + 1.7 + 2.32 + 2 + 2.02 + 2.1 + 2.2 + 2.14 + 2.04 + 2.24 + 2.18</f>
        <v>122.05999999999999</v>
      </c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</row>
    <row r="170" spans="1:31" x14ac:dyDescent="0.25">
      <c r="A170" s="105">
        <v>45281</v>
      </c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62" t="s">
        <v>194</v>
      </c>
      <c r="R170" s="162"/>
      <c r="S170" s="162"/>
      <c r="T170" s="162"/>
      <c r="U170" s="162"/>
      <c r="V170" s="106" t="s">
        <v>195</v>
      </c>
      <c r="W170" s="106"/>
      <c r="X170" s="106"/>
      <c r="Y170" s="106"/>
      <c r="Z170" s="106"/>
      <c r="AA170" s="106"/>
      <c r="AB170" s="106"/>
      <c r="AC170" s="106"/>
      <c r="AD170" s="106"/>
      <c r="AE170" s="106"/>
    </row>
    <row r="171" spans="1:31" x14ac:dyDescent="0.25">
      <c r="A171" s="105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62"/>
      <c r="R171" s="162"/>
      <c r="S171" s="162"/>
      <c r="T171" s="162"/>
      <c r="U171" s="162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06"/>
    </row>
    <row r="172" spans="1:31" x14ac:dyDescent="0.25">
      <c r="A172" s="105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62"/>
      <c r="R172" s="162"/>
      <c r="S172" s="162"/>
      <c r="T172" s="162"/>
      <c r="U172" s="162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06"/>
    </row>
    <row r="173" spans="1:31" x14ac:dyDescent="0.25">
      <c r="A173" s="105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62"/>
      <c r="R173" s="162"/>
      <c r="S173" s="162"/>
      <c r="T173" s="162"/>
      <c r="U173" s="162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06"/>
    </row>
    <row r="174" spans="1:31" x14ac:dyDescent="0.25">
      <c r="A174" s="105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62"/>
      <c r="R174" s="162"/>
      <c r="S174" s="162"/>
      <c r="T174" s="162"/>
      <c r="U174" s="162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</row>
    <row r="175" spans="1:31" x14ac:dyDescent="0.25">
      <c r="A175" s="105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62"/>
      <c r="R175" s="162"/>
      <c r="S175" s="162"/>
      <c r="T175" s="162"/>
      <c r="U175" s="162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06"/>
    </row>
    <row r="176" spans="1:31" x14ac:dyDescent="0.25">
      <c r="A176" s="105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62"/>
      <c r="R176" s="162"/>
      <c r="S176" s="162"/>
      <c r="T176" s="162"/>
      <c r="U176" s="162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06"/>
    </row>
    <row r="177" spans="1:31" x14ac:dyDescent="0.25">
      <c r="A177" s="105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62"/>
      <c r="R177" s="162"/>
      <c r="S177" s="162"/>
      <c r="T177" s="162"/>
      <c r="U177" s="162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</row>
    <row r="178" spans="1:31" s="53" customFormat="1" x14ac:dyDescent="0.25">
      <c r="A178" s="6" t="s">
        <v>22</v>
      </c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</row>
    <row r="179" spans="1:31" s="53" customFormat="1" x14ac:dyDescent="0.25">
      <c r="A179" s="100" t="s">
        <v>14</v>
      </c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4">
        <f>2.24 + 2.4 + 2.6 + 2.32 + 1.28 + 2.24 + 1.12 + 1.3 + 2.72 + 2.5 + 2.36 + 2.36 + 2.24 + 1 + 2.34 + 1.18 + 2.46 + 2.06 + 2.38 + 2.48 + 2.18 + 2.46 + 2.58 + 2.4 + 2.06 + 2.46 + 1.4 + 2.52 + 3.18 + 2.32 + 2.06 + 1.96 + 2.26 + 2.22 + 0.8 + 2.38 + 2.26 + 1.26 + 2.2 + 2.2 + 2.28 + 2 + 2.94 + 2.3 + 1 + 1.96 + 2.18 + 2.14 + 1.94 + 2.24 + 2.22 + 2.18</f>
        <v>110.12</v>
      </c>
      <c r="R179" s="104"/>
      <c r="S179" s="104"/>
      <c r="T179" s="104"/>
      <c r="U179" s="104"/>
      <c r="V179" s="104">
        <f>0.18 + 0.78 + 1.7 + 0.14 + 0.7 + 0.4 + 1.48 + 1.54 + 1.42 + 0.14</f>
        <v>8.48</v>
      </c>
      <c r="W179" s="104"/>
      <c r="X179" s="104"/>
      <c r="Y179" s="104"/>
      <c r="Z179" s="104"/>
      <c r="AA179" s="104"/>
      <c r="AB179" s="104"/>
      <c r="AC179" s="104"/>
      <c r="AD179" s="104"/>
      <c r="AE179" s="104"/>
    </row>
    <row r="180" spans="1:31" x14ac:dyDescent="0.25">
      <c r="A180" s="105">
        <v>45286</v>
      </c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62"/>
      <c r="R180" s="162"/>
      <c r="S180" s="162"/>
      <c r="T180" s="162"/>
      <c r="U180" s="162"/>
      <c r="V180" s="106" t="s">
        <v>196</v>
      </c>
      <c r="W180" s="106"/>
      <c r="X180" s="106"/>
      <c r="Y180" s="106"/>
      <c r="Z180" s="106"/>
      <c r="AA180" s="106"/>
      <c r="AB180" s="106"/>
      <c r="AC180" s="106"/>
      <c r="AD180" s="106"/>
      <c r="AE180" s="106"/>
    </row>
    <row r="181" spans="1:31" x14ac:dyDescent="0.25">
      <c r="A181" s="105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62"/>
      <c r="R181" s="162"/>
      <c r="S181" s="162"/>
      <c r="T181" s="162"/>
      <c r="U181" s="162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06"/>
    </row>
    <row r="182" spans="1:31" x14ac:dyDescent="0.25">
      <c r="A182" s="105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62"/>
      <c r="R182" s="162"/>
      <c r="S182" s="162"/>
      <c r="T182" s="162"/>
      <c r="U182" s="162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06"/>
    </row>
    <row r="183" spans="1:31" x14ac:dyDescent="0.25">
      <c r="A183" s="105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62"/>
      <c r="R183" s="162"/>
      <c r="S183" s="162"/>
      <c r="T183" s="162"/>
      <c r="U183" s="162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06"/>
    </row>
    <row r="184" spans="1:31" x14ac:dyDescent="0.25">
      <c r="A184" s="105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62"/>
      <c r="R184" s="162"/>
      <c r="S184" s="162"/>
      <c r="T184" s="162"/>
      <c r="U184" s="162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06"/>
    </row>
    <row r="185" spans="1:31" x14ac:dyDescent="0.25">
      <c r="A185" s="105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62"/>
      <c r="R185" s="162"/>
      <c r="S185" s="162"/>
      <c r="T185" s="162"/>
      <c r="U185" s="162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06"/>
    </row>
    <row r="186" spans="1:31" x14ac:dyDescent="0.25">
      <c r="A186" s="105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62"/>
      <c r="R186" s="162"/>
      <c r="S186" s="162"/>
      <c r="T186" s="162"/>
      <c r="U186" s="162"/>
      <c r="V186" s="106"/>
      <c r="W186" s="106"/>
      <c r="X186" s="106"/>
      <c r="Y186" s="106"/>
      <c r="Z186" s="106"/>
      <c r="AA186" s="106"/>
      <c r="AB186" s="106"/>
      <c r="AC186" s="106"/>
      <c r="AD186" s="106"/>
      <c r="AE186" s="106"/>
    </row>
    <row r="187" spans="1:31" x14ac:dyDescent="0.25">
      <c r="A187" s="105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62"/>
      <c r="R187" s="162"/>
      <c r="S187" s="162"/>
      <c r="T187" s="162"/>
      <c r="U187" s="162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06"/>
    </row>
    <row r="188" spans="1:31" s="53" customFormat="1" x14ac:dyDescent="0.25">
      <c r="A188" s="6" t="s">
        <v>22</v>
      </c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</row>
    <row r="189" spans="1:31" s="53" customFormat="1" x14ac:dyDescent="0.25">
      <c r="A189" s="100" t="s">
        <v>14</v>
      </c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4"/>
      <c r="R189" s="104"/>
      <c r="S189" s="104"/>
      <c r="T189" s="104"/>
      <c r="U189" s="104"/>
      <c r="V189" s="104">
        <f>1.78 + 1.84 + 2.3 + 0.18 + 2.02 + 0.22 + 1.32 + 1.28 + 0.36 + 2.36 + 0.24 + 1.72 + 0.34 + 2.14 + 1.74 + 2.08 + 0.22 + 0.26 + 0.22 + 1.76 + 1.46 + 2.12 + 0.62</f>
        <v>28.58</v>
      </c>
      <c r="W189" s="104"/>
      <c r="X189" s="104"/>
      <c r="Y189" s="104"/>
      <c r="Z189" s="104"/>
      <c r="AA189" s="104"/>
      <c r="AB189" s="104"/>
      <c r="AC189" s="104"/>
      <c r="AD189" s="104"/>
      <c r="AE189" s="104"/>
    </row>
    <row r="190" spans="1:31" x14ac:dyDescent="0.25">
      <c r="A190" s="105">
        <v>45287</v>
      </c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62"/>
      <c r="R190" s="162"/>
      <c r="S190" s="162"/>
      <c r="T190" s="162"/>
      <c r="U190" s="162"/>
      <c r="V190" s="106" t="s">
        <v>197</v>
      </c>
      <c r="W190" s="106"/>
      <c r="X190" s="106"/>
      <c r="Y190" s="106"/>
      <c r="Z190" s="106"/>
      <c r="AA190" s="106"/>
      <c r="AB190" s="106"/>
      <c r="AC190" s="106"/>
      <c r="AD190" s="106"/>
      <c r="AE190" s="106"/>
    </row>
    <row r="191" spans="1:31" x14ac:dyDescent="0.25">
      <c r="A191" s="105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62"/>
      <c r="R191" s="162"/>
      <c r="S191" s="162"/>
      <c r="T191" s="162"/>
      <c r="U191" s="162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</row>
    <row r="192" spans="1:31" x14ac:dyDescent="0.25">
      <c r="A192" s="105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62"/>
      <c r="R192" s="162"/>
      <c r="S192" s="162"/>
      <c r="T192" s="162"/>
      <c r="U192" s="162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</row>
    <row r="193" spans="1:31" x14ac:dyDescent="0.25">
      <c r="A193" s="105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62"/>
      <c r="R193" s="162"/>
      <c r="S193" s="162"/>
      <c r="T193" s="162"/>
      <c r="U193" s="162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</row>
    <row r="194" spans="1:31" x14ac:dyDescent="0.25">
      <c r="A194" s="105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62"/>
      <c r="R194" s="162"/>
      <c r="S194" s="162"/>
      <c r="T194" s="162"/>
      <c r="U194" s="162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</row>
    <row r="195" spans="1:31" x14ac:dyDescent="0.25">
      <c r="A195" s="105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62"/>
      <c r="R195" s="162"/>
      <c r="S195" s="162"/>
      <c r="T195" s="162"/>
      <c r="U195" s="162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</row>
    <row r="196" spans="1:31" x14ac:dyDescent="0.25">
      <c r="A196" s="105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62"/>
      <c r="R196" s="162"/>
      <c r="S196" s="162"/>
      <c r="T196" s="162"/>
      <c r="U196" s="162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</row>
    <row r="197" spans="1:31" x14ac:dyDescent="0.25">
      <c r="A197" s="105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62"/>
      <c r="R197" s="162"/>
      <c r="S197" s="162"/>
      <c r="T197" s="162"/>
      <c r="U197" s="162"/>
      <c r="V197" s="106"/>
      <c r="W197" s="106"/>
      <c r="X197" s="106"/>
      <c r="Y197" s="106"/>
      <c r="Z197" s="106"/>
      <c r="AA197" s="106"/>
      <c r="AB197" s="106"/>
      <c r="AC197" s="106"/>
      <c r="AD197" s="106"/>
      <c r="AE197" s="106"/>
    </row>
    <row r="198" spans="1:31" s="53" customFormat="1" x14ac:dyDescent="0.25">
      <c r="A198" s="6" t="s">
        <v>22</v>
      </c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</row>
    <row r="199" spans="1:31" s="53" customFormat="1" x14ac:dyDescent="0.25">
      <c r="A199" s="100" t="s">
        <v>14</v>
      </c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4"/>
      <c r="R199" s="104"/>
      <c r="S199" s="104"/>
      <c r="T199" s="104"/>
      <c r="U199" s="104"/>
      <c r="V199" s="104">
        <f>1.5 + 1.96 + 2.4 + 2.94 + 1.58 + 2 + 2.52 + 2.12 + 2.84 + 2.94 + 1.56 + 2.92 + 1.9 + 2.24 + 0.7 + 2.56 + 2.44 + 2.04 + 2.48 + 3.32 + 3.06 + 2.76 + 1.18 + 1.62 + 1.32 + 2.26 + 1.82 + 1.46 + 1.96 + 1.82 + 0.96 + 0.3 + 1.34 + 2.24 + 2.02 + 1.38 + 1.82 + 0.46 + 2.64</f>
        <v>77.379999999999967</v>
      </c>
      <c r="W199" s="104"/>
      <c r="X199" s="104"/>
      <c r="Y199" s="104"/>
      <c r="Z199" s="104"/>
      <c r="AA199" s="104"/>
      <c r="AB199" s="104"/>
      <c r="AC199" s="104"/>
      <c r="AD199" s="104"/>
      <c r="AE199" s="104"/>
    </row>
    <row r="200" spans="1:31" x14ac:dyDescent="0.25">
      <c r="A200" s="105">
        <v>45288</v>
      </c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62"/>
      <c r="R200" s="162"/>
      <c r="S200" s="162"/>
      <c r="T200" s="162"/>
      <c r="U200" s="162"/>
      <c r="V200" s="106" t="s">
        <v>198</v>
      </c>
      <c r="W200" s="106"/>
      <c r="X200" s="106"/>
      <c r="Y200" s="106"/>
      <c r="Z200" s="106"/>
      <c r="AA200" s="106"/>
      <c r="AB200" s="106"/>
      <c r="AC200" s="106"/>
      <c r="AD200" s="106"/>
      <c r="AE200" s="106"/>
    </row>
    <row r="201" spans="1:31" x14ac:dyDescent="0.25">
      <c r="A201" s="105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62"/>
      <c r="R201" s="162"/>
      <c r="S201" s="162"/>
      <c r="T201" s="162"/>
      <c r="U201" s="162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</row>
    <row r="202" spans="1:31" x14ac:dyDescent="0.25">
      <c r="A202" s="105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62"/>
      <c r="R202" s="162"/>
      <c r="S202" s="162"/>
      <c r="T202" s="162"/>
      <c r="U202" s="162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</row>
    <row r="203" spans="1:31" x14ac:dyDescent="0.25">
      <c r="A203" s="105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62"/>
      <c r="R203" s="162"/>
      <c r="S203" s="162"/>
      <c r="T203" s="162"/>
      <c r="U203" s="162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</row>
    <row r="204" spans="1:31" x14ac:dyDescent="0.25">
      <c r="A204" s="105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62"/>
      <c r="R204" s="162"/>
      <c r="S204" s="162"/>
      <c r="T204" s="162"/>
      <c r="U204" s="162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</row>
    <row r="205" spans="1:31" x14ac:dyDescent="0.25">
      <c r="A205" s="105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62"/>
      <c r="R205" s="162"/>
      <c r="S205" s="162"/>
      <c r="T205" s="162"/>
      <c r="U205" s="162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</row>
    <row r="206" spans="1:31" x14ac:dyDescent="0.25">
      <c r="A206" s="105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62"/>
      <c r="R206" s="162"/>
      <c r="S206" s="162"/>
      <c r="T206" s="162"/>
      <c r="U206" s="162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</row>
    <row r="207" spans="1:31" x14ac:dyDescent="0.25">
      <c r="A207" s="105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62"/>
      <c r="R207" s="162"/>
      <c r="S207" s="162"/>
      <c r="T207" s="162"/>
      <c r="U207" s="162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</row>
    <row r="208" spans="1:31" s="53" customFormat="1" x14ac:dyDescent="0.25">
      <c r="A208" s="6" t="s">
        <v>22</v>
      </c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</row>
    <row r="209" spans="1:31" s="53" customFormat="1" x14ac:dyDescent="0.25">
      <c r="A209" s="100" t="s">
        <v>14</v>
      </c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4"/>
      <c r="R209" s="104"/>
      <c r="S209" s="104"/>
      <c r="T209" s="104"/>
      <c r="U209" s="104"/>
      <c r="V209" s="104">
        <f>2.72 + 2.42 + 2.72 + 2.52 + 2 + 3.16 + 2 + 2.52 + 2.08 + 1.92 + 1.96 + 3.06 + 2.46 + 1.82 + 3.08 + 2.42 + 2.94 + 2.24 + 0.06 + 1.38 + 0.16 + 2.48 + 1.6 + 0.38 + 2.78 + 3.18 + 3.02 + 2.72 + 2.42 + 2.28 + 0.4 + 1.58 + 2.86 + 1.8 + 2.08 + 2.76 + 1.18 + 2.08 + 2.58 + 0.4</f>
        <v>84.220000000000013</v>
      </c>
      <c r="W209" s="104"/>
      <c r="X209" s="104"/>
      <c r="Y209" s="104"/>
      <c r="Z209" s="104"/>
      <c r="AA209" s="104"/>
      <c r="AB209" s="104"/>
      <c r="AC209" s="104"/>
      <c r="AD209" s="104"/>
      <c r="AE209" s="104"/>
    </row>
    <row r="210" spans="1:31" x14ac:dyDescent="0.25">
      <c r="A210" s="105">
        <v>45289</v>
      </c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62"/>
      <c r="R210" s="162"/>
      <c r="S210" s="162"/>
      <c r="T210" s="162"/>
      <c r="U210" s="162"/>
      <c r="V210" s="106"/>
      <c r="W210" s="106"/>
      <c r="X210" s="106"/>
      <c r="Y210" s="106"/>
      <c r="Z210" s="106"/>
      <c r="AA210" s="106" t="s">
        <v>200</v>
      </c>
      <c r="AB210" s="106"/>
      <c r="AC210" s="106"/>
      <c r="AD210" s="106"/>
      <c r="AE210" s="106"/>
    </row>
    <row r="211" spans="1:31" x14ac:dyDescent="0.25">
      <c r="A211" s="105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62"/>
      <c r="R211" s="162"/>
      <c r="S211" s="162"/>
      <c r="T211" s="162"/>
      <c r="U211" s="162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</row>
    <row r="212" spans="1:31" x14ac:dyDescent="0.25">
      <c r="A212" s="105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62"/>
      <c r="R212" s="162"/>
      <c r="S212" s="162"/>
      <c r="T212" s="162"/>
      <c r="U212" s="162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</row>
    <row r="213" spans="1:31" x14ac:dyDescent="0.25">
      <c r="A213" s="105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62"/>
      <c r="R213" s="162"/>
      <c r="S213" s="162"/>
      <c r="T213" s="162"/>
      <c r="U213" s="162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</row>
    <row r="214" spans="1:31" x14ac:dyDescent="0.25">
      <c r="A214" s="105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62"/>
      <c r="R214" s="162"/>
      <c r="S214" s="162"/>
      <c r="T214" s="162"/>
      <c r="U214" s="162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</row>
    <row r="215" spans="1:31" x14ac:dyDescent="0.25">
      <c r="A215" s="105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62"/>
      <c r="R215" s="162"/>
      <c r="S215" s="162"/>
      <c r="T215" s="162"/>
      <c r="U215" s="162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</row>
    <row r="216" spans="1:31" x14ac:dyDescent="0.25">
      <c r="A216" s="105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62"/>
      <c r="R216" s="162"/>
      <c r="S216" s="162"/>
      <c r="T216" s="162"/>
      <c r="U216" s="162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</row>
    <row r="217" spans="1:31" x14ac:dyDescent="0.25">
      <c r="A217" s="105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62"/>
      <c r="R217" s="162"/>
      <c r="S217" s="162"/>
      <c r="T217" s="162"/>
      <c r="U217" s="162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06"/>
    </row>
    <row r="218" spans="1:31" s="53" customFormat="1" x14ac:dyDescent="0.25">
      <c r="A218" s="6" t="s">
        <v>22</v>
      </c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</row>
    <row r="219" spans="1:31" s="53" customFormat="1" x14ac:dyDescent="0.25">
      <c r="A219" s="102" t="s">
        <v>14</v>
      </c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>
        <f>0.3 + 0.22 + 0.22 + 0.24 + 0.24 + 0.24 + 0.24</f>
        <v>1.7</v>
      </c>
      <c r="AB219" s="104"/>
      <c r="AC219" s="104"/>
      <c r="AD219" s="104"/>
      <c r="AE219" s="104"/>
    </row>
  </sheetData>
  <mergeCells count="443">
    <mergeCell ref="B169:C169"/>
    <mergeCell ref="D169:F169"/>
    <mergeCell ref="G169:K169"/>
    <mergeCell ref="L169:P169"/>
    <mergeCell ref="Q169:U169"/>
    <mergeCell ref="V169:Z169"/>
    <mergeCell ref="A160:A167"/>
    <mergeCell ref="B160:C167"/>
    <mergeCell ref="D160:F167"/>
    <mergeCell ref="G160:K167"/>
    <mergeCell ref="L160:P167"/>
    <mergeCell ref="Q160:U167"/>
    <mergeCell ref="V160:Z167"/>
    <mergeCell ref="B168:C168"/>
    <mergeCell ref="D168:F168"/>
    <mergeCell ref="G168:K168"/>
    <mergeCell ref="L168:P168"/>
    <mergeCell ref="Q168:U168"/>
    <mergeCell ref="V168:Z168"/>
    <mergeCell ref="A1:AK6"/>
    <mergeCell ref="A7:A8"/>
    <mergeCell ref="B7:B8"/>
    <mergeCell ref="C7:C8"/>
    <mergeCell ref="D7:D8"/>
    <mergeCell ref="E7:E8"/>
    <mergeCell ref="F7:AJ7"/>
    <mergeCell ref="AK7:AK8"/>
    <mergeCell ref="AL7:AL8"/>
    <mergeCell ref="A12:A13"/>
    <mergeCell ref="B12:B13"/>
    <mergeCell ref="C12:C13"/>
    <mergeCell ref="D12:D13"/>
    <mergeCell ref="E12:E13"/>
    <mergeCell ref="F12:AJ12"/>
    <mergeCell ref="AK12:AK13"/>
    <mergeCell ref="AL12:AL13"/>
    <mergeCell ref="A32:B32"/>
    <mergeCell ref="A22:A23"/>
    <mergeCell ref="B22:B23"/>
    <mergeCell ref="C22:C23"/>
    <mergeCell ref="D22:D23"/>
    <mergeCell ref="E22:E23"/>
    <mergeCell ref="F22:AJ22"/>
    <mergeCell ref="AK22:AK23"/>
    <mergeCell ref="AL22:AL23"/>
    <mergeCell ref="A40:A47"/>
    <mergeCell ref="B40:C47"/>
    <mergeCell ref="D40:F47"/>
    <mergeCell ref="G40:K47"/>
    <mergeCell ref="L40:P47"/>
    <mergeCell ref="Q40:U47"/>
    <mergeCell ref="V40:Z47"/>
    <mergeCell ref="A34:Z36"/>
    <mergeCell ref="A37:A39"/>
    <mergeCell ref="B38:C38"/>
    <mergeCell ref="D38:F38"/>
    <mergeCell ref="G38:K38"/>
    <mergeCell ref="L38:P38"/>
    <mergeCell ref="Q38:U38"/>
    <mergeCell ref="V38:Z38"/>
    <mergeCell ref="A50:A57"/>
    <mergeCell ref="B50:C57"/>
    <mergeCell ref="D50:F57"/>
    <mergeCell ref="G50:K57"/>
    <mergeCell ref="L50:P57"/>
    <mergeCell ref="Q50:U57"/>
    <mergeCell ref="B49:C49"/>
    <mergeCell ref="D49:F49"/>
    <mergeCell ref="G49:K49"/>
    <mergeCell ref="L49:P49"/>
    <mergeCell ref="Q49:U49"/>
    <mergeCell ref="A60:A67"/>
    <mergeCell ref="B60:C67"/>
    <mergeCell ref="D60:F67"/>
    <mergeCell ref="G60:K67"/>
    <mergeCell ref="L60:P67"/>
    <mergeCell ref="Q60:U67"/>
    <mergeCell ref="B59:C59"/>
    <mergeCell ref="D59:F59"/>
    <mergeCell ref="G59:K59"/>
    <mergeCell ref="L59:P59"/>
    <mergeCell ref="Q59:U59"/>
    <mergeCell ref="B69:C69"/>
    <mergeCell ref="D69:F69"/>
    <mergeCell ref="G69:K69"/>
    <mergeCell ref="L69:P69"/>
    <mergeCell ref="Q69:U69"/>
    <mergeCell ref="V69:Z69"/>
    <mergeCell ref="V60:Z67"/>
    <mergeCell ref="B68:C68"/>
    <mergeCell ref="D68:F68"/>
    <mergeCell ref="G68:K68"/>
    <mergeCell ref="L68:P68"/>
    <mergeCell ref="Q68:U68"/>
    <mergeCell ref="V68:Z68"/>
    <mergeCell ref="V79:Z79"/>
    <mergeCell ref="V70:Z77"/>
    <mergeCell ref="B78:C78"/>
    <mergeCell ref="D78:F78"/>
    <mergeCell ref="G78:K78"/>
    <mergeCell ref="L78:P78"/>
    <mergeCell ref="Q78:U78"/>
    <mergeCell ref="V78:Z78"/>
    <mergeCell ref="A70:A77"/>
    <mergeCell ref="B70:C77"/>
    <mergeCell ref="D70:F77"/>
    <mergeCell ref="G70:K77"/>
    <mergeCell ref="L70:P77"/>
    <mergeCell ref="Q70:U77"/>
    <mergeCell ref="A80:A87"/>
    <mergeCell ref="B80:C87"/>
    <mergeCell ref="D80:F87"/>
    <mergeCell ref="G80:K87"/>
    <mergeCell ref="L80:P87"/>
    <mergeCell ref="Q80:U87"/>
    <mergeCell ref="B79:C79"/>
    <mergeCell ref="D79:F79"/>
    <mergeCell ref="G79:K79"/>
    <mergeCell ref="L79:P79"/>
    <mergeCell ref="Q79:U79"/>
    <mergeCell ref="B89:C89"/>
    <mergeCell ref="D89:F89"/>
    <mergeCell ref="G89:K89"/>
    <mergeCell ref="L89:P89"/>
    <mergeCell ref="Q89:U89"/>
    <mergeCell ref="V89:Z89"/>
    <mergeCell ref="V80:Z87"/>
    <mergeCell ref="B88:C88"/>
    <mergeCell ref="D88:F88"/>
    <mergeCell ref="G88:K88"/>
    <mergeCell ref="L88:P88"/>
    <mergeCell ref="Q88:U88"/>
    <mergeCell ref="V88:Z88"/>
    <mergeCell ref="V99:Z99"/>
    <mergeCell ref="V90:Z97"/>
    <mergeCell ref="B98:C98"/>
    <mergeCell ref="D98:F98"/>
    <mergeCell ref="G98:K98"/>
    <mergeCell ref="L98:P98"/>
    <mergeCell ref="Q98:U98"/>
    <mergeCell ref="V98:Z98"/>
    <mergeCell ref="A90:A97"/>
    <mergeCell ref="B90:C97"/>
    <mergeCell ref="D90:F97"/>
    <mergeCell ref="G90:K97"/>
    <mergeCell ref="L90:P97"/>
    <mergeCell ref="Q90:U97"/>
    <mergeCell ref="A100:A107"/>
    <mergeCell ref="B100:C107"/>
    <mergeCell ref="D100:F107"/>
    <mergeCell ref="G100:K107"/>
    <mergeCell ref="L100:P107"/>
    <mergeCell ref="Q100:U103"/>
    <mergeCell ref="Q104:U107"/>
    <mergeCell ref="B99:C99"/>
    <mergeCell ref="D99:F99"/>
    <mergeCell ref="G99:K99"/>
    <mergeCell ref="L99:P99"/>
    <mergeCell ref="Q99:U99"/>
    <mergeCell ref="Q109:R109"/>
    <mergeCell ref="T109:U109"/>
    <mergeCell ref="V109:Z109"/>
    <mergeCell ref="V100:Z107"/>
    <mergeCell ref="B108:C108"/>
    <mergeCell ref="D108:F108"/>
    <mergeCell ref="G108:K108"/>
    <mergeCell ref="L108:P108"/>
    <mergeCell ref="Q108:U108"/>
    <mergeCell ref="V108:Z108"/>
    <mergeCell ref="A110:A117"/>
    <mergeCell ref="B110:C117"/>
    <mergeCell ref="D110:F117"/>
    <mergeCell ref="G110:K117"/>
    <mergeCell ref="L110:P117"/>
    <mergeCell ref="B109:C109"/>
    <mergeCell ref="D109:F109"/>
    <mergeCell ref="G109:K109"/>
    <mergeCell ref="L109:P109"/>
    <mergeCell ref="B119:C119"/>
    <mergeCell ref="D119:F119"/>
    <mergeCell ref="G119:K119"/>
    <mergeCell ref="L119:P119"/>
    <mergeCell ref="V119:Z119"/>
    <mergeCell ref="V110:Z117"/>
    <mergeCell ref="B118:C118"/>
    <mergeCell ref="D118:F118"/>
    <mergeCell ref="G118:K118"/>
    <mergeCell ref="L118:P118"/>
    <mergeCell ref="Q118:U118"/>
    <mergeCell ref="V118:Z118"/>
    <mergeCell ref="Q119:R119"/>
    <mergeCell ref="Q110:U113"/>
    <mergeCell ref="Q114:U117"/>
    <mergeCell ref="T119:U119"/>
    <mergeCell ref="V129:Z129"/>
    <mergeCell ref="V120:Z127"/>
    <mergeCell ref="B128:C128"/>
    <mergeCell ref="D128:F128"/>
    <mergeCell ref="G128:K128"/>
    <mergeCell ref="L128:P128"/>
    <mergeCell ref="Q128:U128"/>
    <mergeCell ref="V128:Z128"/>
    <mergeCell ref="A120:A127"/>
    <mergeCell ref="B120:C127"/>
    <mergeCell ref="D120:F127"/>
    <mergeCell ref="G120:K127"/>
    <mergeCell ref="L120:P127"/>
    <mergeCell ref="Q129:R129"/>
    <mergeCell ref="Q120:U123"/>
    <mergeCell ref="Q124:U127"/>
    <mergeCell ref="T129:U129"/>
    <mergeCell ref="A130:A137"/>
    <mergeCell ref="B130:C137"/>
    <mergeCell ref="D130:F137"/>
    <mergeCell ref="G130:K137"/>
    <mergeCell ref="L130:P137"/>
    <mergeCell ref="B129:C129"/>
    <mergeCell ref="D129:F129"/>
    <mergeCell ref="G129:K129"/>
    <mergeCell ref="L129:P129"/>
    <mergeCell ref="Q130:U133"/>
    <mergeCell ref="Q134:U137"/>
    <mergeCell ref="B139:C139"/>
    <mergeCell ref="D139:F139"/>
    <mergeCell ref="G139:K139"/>
    <mergeCell ref="L139:P139"/>
    <mergeCell ref="V139:Z139"/>
    <mergeCell ref="V130:Z137"/>
    <mergeCell ref="B138:C138"/>
    <mergeCell ref="D138:F138"/>
    <mergeCell ref="G138:K138"/>
    <mergeCell ref="L138:P138"/>
    <mergeCell ref="Q138:U138"/>
    <mergeCell ref="V138:Z138"/>
    <mergeCell ref="Q139:R139"/>
    <mergeCell ref="T139:U139"/>
    <mergeCell ref="V149:Z149"/>
    <mergeCell ref="V140:Z147"/>
    <mergeCell ref="B148:C148"/>
    <mergeCell ref="D148:F148"/>
    <mergeCell ref="G148:K148"/>
    <mergeCell ref="L148:P148"/>
    <mergeCell ref="Q148:U148"/>
    <mergeCell ref="V148:Z148"/>
    <mergeCell ref="A140:A147"/>
    <mergeCell ref="B140:C147"/>
    <mergeCell ref="D140:F147"/>
    <mergeCell ref="G140:K147"/>
    <mergeCell ref="L140:P147"/>
    <mergeCell ref="Q140:U143"/>
    <mergeCell ref="Q144:U147"/>
    <mergeCell ref="A150:A157"/>
    <mergeCell ref="B150:C157"/>
    <mergeCell ref="D150:F157"/>
    <mergeCell ref="G150:K157"/>
    <mergeCell ref="L150:P157"/>
    <mergeCell ref="Q150:U157"/>
    <mergeCell ref="B149:C149"/>
    <mergeCell ref="D149:F149"/>
    <mergeCell ref="G149:K149"/>
    <mergeCell ref="L149:P149"/>
    <mergeCell ref="Q149:R149"/>
    <mergeCell ref="T149:U149"/>
    <mergeCell ref="B159:C159"/>
    <mergeCell ref="D159:F159"/>
    <mergeCell ref="G159:K159"/>
    <mergeCell ref="L159:P159"/>
    <mergeCell ref="Q159:U159"/>
    <mergeCell ref="V159:Z159"/>
    <mergeCell ref="V150:Z157"/>
    <mergeCell ref="B158:C158"/>
    <mergeCell ref="D158:F158"/>
    <mergeCell ref="G158:K158"/>
    <mergeCell ref="L158:P158"/>
    <mergeCell ref="Q158:U158"/>
    <mergeCell ref="V158:Z158"/>
    <mergeCell ref="A170:A177"/>
    <mergeCell ref="B170:C177"/>
    <mergeCell ref="D170:F177"/>
    <mergeCell ref="G170:K177"/>
    <mergeCell ref="L170:P177"/>
    <mergeCell ref="Q170:U177"/>
    <mergeCell ref="V170:Z177"/>
    <mergeCell ref="B178:C178"/>
    <mergeCell ref="D178:F178"/>
    <mergeCell ref="G178:K178"/>
    <mergeCell ref="L178:P178"/>
    <mergeCell ref="Q178:U178"/>
    <mergeCell ref="V178:Z178"/>
    <mergeCell ref="B179:C179"/>
    <mergeCell ref="D179:F179"/>
    <mergeCell ref="G179:K179"/>
    <mergeCell ref="L179:P179"/>
    <mergeCell ref="Q179:U179"/>
    <mergeCell ref="V179:Z179"/>
    <mergeCell ref="A180:A187"/>
    <mergeCell ref="B180:C187"/>
    <mergeCell ref="D180:F187"/>
    <mergeCell ref="G180:K187"/>
    <mergeCell ref="L180:P187"/>
    <mergeCell ref="Q180:U187"/>
    <mergeCell ref="V180:Z187"/>
    <mergeCell ref="B188:C188"/>
    <mergeCell ref="D188:F188"/>
    <mergeCell ref="G188:K188"/>
    <mergeCell ref="L188:P188"/>
    <mergeCell ref="Q188:U188"/>
    <mergeCell ref="V188:Z188"/>
    <mergeCell ref="B189:C189"/>
    <mergeCell ref="D189:F189"/>
    <mergeCell ref="G189:K189"/>
    <mergeCell ref="L189:P189"/>
    <mergeCell ref="Q189:U189"/>
    <mergeCell ref="V189:Z189"/>
    <mergeCell ref="A190:A197"/>
    <mergeCell ref="B190:C197"/>
    <mergeCell ref="D190:F197"/>
    <mergeCell ref="G190:K197"/>
    <mergeCell ref="L190:P197"/>
    <mergeCell ref="Q190:U197"/>
    <mergeCell ref="V190:Z197"/>
    <mergeCell ref="B198:C198"/>
    <mergeCell ref="D198:F198"/>
    <mergeCell ref="G198:K198"/>
    <mergeCell ref="L198:P198"/>
    <mergeCell ref="Q198:U198"/>
    <mergeCell ref="V198:Z198"/>
    <mergeCell ref="B199:C199"/>
    <mergeCell ref="D199:F199"/>
    <mergeCell ref="G199:K199"/>
    <mergeCell ref="L199:P199"/>
    <mergeCell ref="Q199:U199"/>
    <mergeCell ref="V199:Z199"/>
    <mergeCell ref="A200:A207"/>
    <mergeCell ref="B200:C207"/>
    <mergeCell ref="D200:F207"/>
    <mergeCell ref="G200:K207"/>
    <mergeCell ref="L200:P207"/>
    <mergeCell ref="Q200:U207"/>
    <mergeCell ref="V200:Z207"/>
    <mergeCell ref="B208:C208"/>
    <mergeCell ref="D208:F208"/>
    <mergeCell ref="G208:K208"/>
    <mergeCell ref="L208:P208"/>
    <mergeCell ref="Q208:U208"/>
    <mergeCell ref="V208:Z208"/>
    <mergeCell ref="B209:C209"/>
    <mergeCell ref="D209:F209"/>
    <mergeCell ref="G209:K209"/>
    <mergeCell ref="L209:P209"/>
    <mergeCell ref="Q209:U209"/>
    <mergeCell ref="V209:Z209"/>
    <mergeCell ref="AA38:AE38"/>
    <mergeCell ref="B37:AE37"/>
    <mergeCell ref="B39:AE39"/>
    <mergeCell ref="AA40:AE47"/>
    <mergeCell ref="AA48:AE48"/>
    <mergeCell ref="AA49:AE49"/>
    <mergeCell ref="AA50:AE57"/>
    <mergeCell ref="AA58:AE58"/>
    <mergeCell ref="AA59:AE59"/>
    <mergeCell ref="V59:Z59"/>
    <mergeCell ref="V50:Z57"/>
    <mergeCell ref="B58:C58"/>
    <mergeCell ref="D58:F58"/>
    <mergeCell ref="G58:K58"/>
    <mergeCell ref="L58:P58"/>
    <mergeCell ref="Q58:U58"/>
    <mergeCell ref="V58:Z58"/>
    <mergeCell ref="V49:Z49"/>
    <mergeCell ref="B48:C48"/>
    <mergeCell ref="D48:F48"/>
    <mergeCell ref="G48:K48"/>
    <mergeCell ref="L48:P48"/>
    <mergeCell ref="Q48:U48"/>
    <mergeCell ref="V48:Z48"/>
    <mergeCell ref="AA60:AE67"/>
    <mergeCell ref="AA68:AE68"/>
    <mergeCell ref="AA69:AE69"/>
    <mergeCell ref="AA70:AE77"/>
    <mergeCell ref="AA78:AE78"/>
    <mergeCell ref="AA79:AE79"/>
    <mergeCell ref="AA80:AE87"/>
    <mergeCell ref="AA88:AE88"/>
    <mergeCell ref="AA89:AE89"/>
    <mergeCell ref="AA90:AE97"/>
    <mergeCell ref="AA98:AE98"/>
    <mergeCell ref="AA99:AE99"/>
    <mergeCell ref="AA100:AE107"/>
    <mergeCell ref="AA108:AE108"/>
    <mergeCell ref="AA109:AE109"/>
    <mergeCell ref="AA110:AE117"/>
    <mergeCell ref="AA118:AE118"/>
    <mergeCell ref="AA119:AE119"/>
    <mergeCell ref="AA120:AE127"/>
    <mergeCell ref="AA128:AE128"/>
    <mergeCell ref="AA129:AE129"/>
    <mergeCell ref="AA130:AE137"/>
    <mergeCell ref="AA138:AE138"/>
    <mergeCell ref="AA139:AE139"/>
    <mergeCell ref="AA140:AE147"/>
    <mergeCell ref="AA148:AE148"/>
    <mergeCell ref="AA149:AE149"/>
    <mergeCell ref="AA150:AE157"/>
    <mergeCell ref="AA158:AE158"/>
    <mergeCell ref="AA159:AE159"/>
    <mergeCell ref="AA160:AE167"/>
    <mergeCell ref="AA168:AE168"/>
    <mergeCell ref="AA169:AE169"/>
    <mergeCell ref="AA170:AE177"/>
    <mergeCell ref="AA178:AE178"/>
    <mergeCell ref="AA179:AE179"/>
    <mergeCell ref="AA180:AE187"/>
    <mergeCell ref="AA188:AE188"/>
    <mergeCell ref="AA189:AE189"/>
    <mergeCell ref="AA190:AE197"/>
    <mergeCell ref="AA198:AE198"/>
    <mergeCell ref="AA199:AE199"/>
    <mergeCell ref="AA200:AE207"/>
    <mergeCell ref="AA208:AE208"/>
    <mergeCell ref="AA209:AE209"/>
    <mergeCell ref="B219:C219"/>
    <mergeCell ref="D219:F219"/>
    <mergeCell ref="G219:K219"/>
    <mergeCell ref="L219:P219"/>
    <mergeCell ref="Q219:U219"/>
    <mergeCell ref="V219:Z219"/>
    <mergeCell ref="AA219:AE219"/>
    <mergeCell ref="A210:A217"/>
    <mergeCell ref="B210:C217"/>
    <mergeCell ref="D210:F217"/>
    <mergeCell ref="G210:K217"/>
    <mergeCell ref="L210:P217"/>
    <mergeCell ref="Q210:U217"/>
    <mergeCell ref="V210:Z217"/>
    <mergeCell ref="AA210:AE217"/>
    <mergeCell ref="B218:C218"/>
    <mergeCell ref="D218:F218"/>
    <mergeCell ref="G218:K218"/>
    <mergeCell ref="L218:P218"/>
    <mergeCell ref="Q218:U218"/>
    <mergeCell ref="V218:Z218"/>
    <mergeCell ref="AA218:AE21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3.140625" customWidth="1"/>
    <col min="2" max="2" width="17.85546875" customWidth="1"/>
    <col min="3" max="3" width="13.5703125" bestFit="1" customWidth="1"/>
    <col min="4" max="4" width="15.42578125" bestFit="1" customWidth="1"/>
    <col min="5" max="5" width="9.140625" bestFit="1" customWidth="1"/>
    <col min="6" max="6" width="10" bestFit="1" customWidth="1"/>
    <col min="7" max="7" width="12.42578125" customWidth="1"/>
    <col min="8" max="8" width="6.42578125" customWidth="1"/>
    <col min="10" max="10" width="14" bestFit="1" customWidth="1"/>
    <col min="12" max="12" width="10.7109375" bestFit="1" customWidth="1"/>
    <col min="13" max="13" width="14" bestFit="1" customWidth="1"/>
    <col min="15" max="15" width="16.7109375" bestFit="1" customWidth="1"/>
    <col min="16" max="16" width="7" bestFit="1" customWidth="1"/>
  </cols>
  <sheetData>
    <row r="1" spans="1:16" s="53" customFormat="1" x14ac:dyDescent="0.25">
      <c r="A1" s="98" t="s">
        <v>176</v>
      </c>
      <c r="B1" s="98" t="s">
        <v>177</v>
      </c>
      <c r="C1" s="98" t="s">
        <v>178</v>
      </c>
      <c r="D1" s="98" t="s">
        <v>179</v>
      </c>
      <c r="E1" s="98" t="s">
        <v>180</v>
      </c>
      <c r="F1" s="98" t="s">
        <v>181</v>
      </c>
      <c r="G1" s="98" t="s">
        <v>183</v>
      </c>
      <c r="H1" s="98" t="s">
        <v>182</v>
      </c>
      <c r="J1" s="98" t="s">
        <v>189</v>
      </c>
      <c r="L1" s="98" t="s">
        <v>187</v>
      </c>
      <c r="M1" s="98" t="s">
        <v>179</v>
      </c>
      <c r="N1" s="98" t="s">
        <v>185</v>
      </c>
      <c r="O1" s="98" t="s">
        <v>186</v>
      </c>
      <c r="P1" s="98" t="s">
        <v>182</v>
      </c>
    </row>
    <row r="2" spans="1:16" x14ac:dyDescent="0.25">
      <c r="A2" s="91">
        <v>45147</v>
      </c>
      <c r="B2" s="92">
        <v>20230809001</v>
      </c>
      <c r="C2" s="92">
        <v>20230809029</v>
      </c>
      <c r="D2" s="92" t="s">
        <v>24</v>
      </c>
      <c r="E2" s="92" t="s">
        <v>171</v>
      </c>
      <c r="F2" s="92">
        <v>500</v>
      </c>
      <c r="G2" s="93">
        <v>502</v>
      </c>
      <c r="H2" s="92" t="s">
        <v>102</v>
      </c>
      <c r="I2" s="93"/>
      <c r="J2" s="101">
        <v>500</v>
      </c>
      <c r="M2" t="s">
        <v>184</v>
      </c>
      <c r="N2" s="19">
        <v>7919</v>
      </c>
      <c r="O2" s="19">
        <v>7919</v>
      </c>
      <c r="P2" s="19" t="s">
        <v>102</v>
      </c>
    </row>
    <row r="3" spans="1:16" x14ac:dyDescent="0.25">
      <c r="A3" s="91">
        <v>45195</v>
      </c>
      <c r="B3" s="92">
        <v>20230926005</v>
      </c>
      <c r="C3" s="92">
        <v>20230926008</v>
      </c>
      <c r="D3" s="92" t="s">
        <v>24</v>
      </c>
      <c r="E3" s="92" t="s">
        <v>171</v>
      </c>
      <c r="F3" s="92">
        <v>1600</v>
      </c>
      <c r="G3" s="93">
        <v>1606.4</v>
      </c>
      <c r="H3" s="92" t="s">
        <v>102</v>
      </c>
      <c r="I3" s="93"/>
      <c r="J3" s="101">
        <v>1600</v>
      </c>
      <c r="L3" s="94">
        <v>45238</v>
      </c>
      <c r="M3" t="s">
        <v>184</v>
      </c>
      <c r="N3" s="19">
        <v>1994</v>
      </c>
      <c r="O3" s="19">
        <v>1994</v>
      </c>
      <c r="P3" s="19" t="s">
        <v>102</v>
      </c>
    </row>
    <row r="4" spans="1:16" x14ac:dyDescent="0.25">
      <c r="A4" s="94">
        <v>45231</v>
      </c>
      <c r="B4" s="93">
        <v>20231101011</v>
      </c>
      <c r="C4" s="93">
        <v>20231102006</v>
      </c>
      <c r="D4" s="93" t="s">
        <v>24</v>
      </c>
      <c r="E4" s="93" t="s">
        <v>171</v>
      </c>
      <c r="F4" s="93">
        <v>2000</v>
      </c>
      <c r="G4" s="93">
        <v>2008</v>
      </c>
      <c r="H4" s="93" t="s">
        <v>102</v>
      </c>
      <c r="I4" s="93"/>
      <c r="J4" s="93">
        <f>'12'!AK17</f>
        <v>1502.2000000000007</v>
      </c>
      <c r="L4" s="94">
        <v>45243</v>
      </c>
      <c r="M4" t="s">
        <v>184</v>
      </c>
      <c r="N4" s="19">
        <v>2058</v>
      </c>
      <c r="O4" s="19">
        <v>2058</v>
      </c>
      <c r="P4" s="19" t="s">
        <v>102</v>
      </c>
    </row>
    <row r="5" spans="1:16" x14ac:dyDescent="0.25">
      <c r="A5" s="94">
        <v>45267</v>
      </c>
      <c r="B5" s="93">
        <v>20231207002</v>
      </c>
      <c r="C5" s="93">
        <v>20231207013</v>
      </c>
      <c r="D5" s="93" t="s">
        <v>24</v>
      </c>
      <c r="E5" s="93" t="s">
        <v>171</v>
      </c>
      <c r="F5" s="93">
        <v>1160</v>
      </c>
      <c r="G5" s="93">
        <v>1164.6400000000001</v>
      </c>
      <c r="H5" s="93" t="s">
        <v>102</v>
      </c>
      <c r="I5" s="93"/>
      <c r="J5" s="93">
        <f>'12'!AK25</f>
        <v>0</v>
      </c>
      <c r="L5" s="94">
        <v>45267</v>
      </c>
      <c r="M5" t="s">
        <v>184</v>
      </c>
      <c r="N5" s="19">
        <v>2031</v>
      </c>
      <c r="O5" s="19">
        <v>2028</v>
      </c>
      <c r="P5" s="19" t="s">
        <v>102</v>
      </c>
    </row>
    <row r="6" spans="1:16" x14ac:dyDescent="0.25">
      <c r="A6" s="91"/>
      <c r="B6" s="92"/>
      <c r="C6" s="92"/>
      <c r="D6" s="92"/>
      <c r="E6" s="92"/>
      <c r="F6" s="92"/>
      <c r="G6" s="93"/>
      <c r="H6" s="92"/>
      <c r="I6" s="93"/>
      <c r="J6" s="93"/>
    </row>
    <row r="7" spans="1:16" x14ac:dyDescent="0.25">
      <c r="A7" s="91">
        <v>45139</v>
      </c>
      <c r="B7" s="92">
        <v>20230727003</v>
      </c>
      <c r="C7" s="92">
        <v>20230731003</v>
      </c>
      <c r="D7" s="92" t="s">
        <v>9</v>
      </c>
      <c r="E7" s="92" t="s">
        <v>172</v>
      </c>
      <c r="F7" s="92">
        <v>800</v>
      </c>
      <c r="G7" s="93">
        <v>802.8</v>
      </c>
      <c r="H7" s="92" t="s">
        <v>102</v>
      </c>
      <c r="I7" s="93"/>
      <c r="J7" s="101">
        <v>800</v>
      </c>
    </row>
    <row r="8" spans="1:16" x14ac:dyDescent="0.25">
      <c r="A8" s="91">
        <v>45195</v>
      </c>
      <c r="B8" s="92">
        <v>20230926002</v>
      </c>
      <c r="C8" s="92">
        <v>20230926005</v>
      </c>
      <c r="D8" s="92" t="s">
        <v>9</v>
      </c>
      <c r="E8" s="92" t="s">
        <v>172</v>
      </c>
      <c r="F8" s="92">
        <v>600</v>
      </c>
      <c r="G8" s="93">
        <v>602.1</v>
      </c>
      <c r="H8" s="92" t="s">
        <v>102</v>
      </c>
      <c r="I8" s="93"/>
      <c r="J8" s="101">
        <v>600</v>
      </c>
    </row>
    <row r="9" spans="1:16" x14ac:dyDescent="0.25">
      <c r="A9" s="94">
        <v>45231</v>
      </c>
      <c r="B9" s="93">
        <v>20231102008</v>
      </c>
      <c r="C9" s="93">
        <v>20231102003</v>
      </c>
      <c r="D9" s="93" t="s">
        <v>9</v>
      </c>
      <c r="E9" s="93" t="s">
        <v>172</v>
      </c>
      <c r="F9" s="93">
        <v>400</v>
      </c>
      <c r="G9" s="93">
        <v>401.4</v>
      </c>
      <c r="H9" s="93" t="s">
        <v>102</v>
      </c>
      <c r="I9" s="93"/>
      <c r="J9" s="101">
        <v>400</v>
      </c>
    </row>
    <row r="10" spans="1:16" x14ac:dyDescent="0.25">
      <c r="A10" s="91"/>
      <c r="B10" s="92"/>
      <c r="C10" s="92"/>
      <c r="D10" s="92"/>
      <c r="E10" s="92"/>
      <c r="F10" s="92"/>
      <c r="G10" s="93"/>
      <c r="H10" s="92"/>
      <c r="I10" s="96" t="s">
        <v>188</v>
      </c>
      <c r="J10" s="96">
        <v>66.489999999999995</v>
      </c>
    </row>
    <row r="11" spans="1:16" x14ac:dyDescent="0.25">
      <c r="A11" s="91"/>
      <c r="B11" s="92"/>
      <c r="C11" s="92"/>
      <c r="D11" s="92"/>
      <c r="E11" s="92"/>
      <c r="F11" s="92"/>
      <c r="G11" s="93"/>
      <c r="H11" s="92"/>
      <c r="I11" s="93"/>
      <c r="J11" s="93"/>
    </row>
    <row r="12" spans="1:16" x14ac:dyDescent="0.25">
      <c r="A12" s="91">
        <v>45139</v>
      </c>
      <c r="B12" s="92">
        <v>20230727002</v>
      </c>
      <c r="C12" s="92">
        <v>20230731002</v>
      </c>
      <c r="D12" s="92" t="s">
        <v>4</v>
      </c>
      <c r="E12" s="92" t="s">
        <v>173</v>
      </c>
      <c r="F12" s="92">
        <v>500</v>
      </c>
      <c r="G12" s="93">
        <v>501.5</v>
      </c>
      <c r="H12" s="92" t="s">
        <v>102</v>
      </c>
      <c r="I12" s="93"/>
      <c r="J12" s="101">
        <v>500</v>
      </c>
      <c r="N12" s="95"/>
    </row>
    <row r="13" spans="1:16" x14ac:dyDescent="0.25">
      <c r="A13" s="91">
        <v>45195</v>
      </c>
      <c r="B13" s="92">
        <v>20230926001</v>
      </c>
      <c r="C13" s="92">
        <v>20230926004</v>
      </c>
      <c r="D13" s="92" t="s">
        <v>4</v>
      </c>
      <c r="E13" s="92" t="s">
        <v>173</v>
      </c>
      <c r="F13" s="92">
        <v>300</v>
      </c>
      <c r="G13" s="93">
        <v>300.89999999999998</v>
      </c>
      <c r="H13" s="92" t="s">
        <v>102</v>
      </c>
      <c r="I13" s="93"/>
      <c r="J13" s="93">
        <v>287.42</v>
      </c>
    </row>
    <row r="14" spans="1:16" x14ac:dyDescent="0.25">
      <c r="A14" s="91"/>
      <c r="B14" s="92"/>
      <c r="C14" s="92"/>
      <c r="D14" s="92"/>
      <c r="E14" s="92"/>
      <c r="F14" s="92"/>
      <c r="G14" s="93"/>
      <c r="H14" s="92"/>
      <c r="I14" s="93"/>
      <c r="J14" s="93"/>
    </row>
    <row r="15" spans="1:16" x14ac:dyDescent="0.25">
      <c r="A15" s="91">
        <v>45201</v>
      </c>
      <c r="B15" s="92">
        <v>20231002001</v>
      </c>
      <c r="C15" s="92">
        <v>20231002022</v>
      </c>
      <c r="D15" s="92" t="s">
        <v>65</v>
      </c>
      <c r="E15" s="92">
        <v>0.18</v>
      </c>
      <c r="F15" s="92">
        <v>100</v>
      </c>
      <c r="G15" s="93">
        <v>100.4</v>
      </c>
      <c r="H15" s="92" t="s">
        <v>102</v>
      </c>
      <c r="I15" s="93"/>
      <c r="J15" s="101">
        <v>101.28</v>
      </c>
    </row>
    <row r="16" spans="1:16" x14ac:dyDescent="0.25">
      <c r="A16" s="91"/>
      <c r="B16" s="92"/>
      <c r="C16" s="92"/>
      <c r="D16" s="92"/>
      <c r="E16" s="92"/>
      <c r="F16" s="92"/>
      <c r="G16" s="93"/>
      <c r="H16" s="92"/>
      <c r="I16" s="93"/>
      <c r="J16" s="93"/>
    </row>
    <row r="17" spans="1:10" x14ac:dyDescent="0.25">
      <c r="A17" s="91">
        <v>45139</v>
      </c>
      <c r="B17" s="92">
        <v>20230727005</v>
      </c>
      <c r="C17" s="92">
        <v>20230731005</v>
      </c>
      <c r="D17" s="92" t="s">
        <v>3</v>
      </c>
      <c r="E17" s="92" t="s">
        <v>174</v>
      </c>
      <c r="F17" s="92">
        <v>900</v>
      </c>
      <c r="G17" s="93">
        <v>902.7</v>
      </c>
      <c r="H17" s="92" t="s">
        <v>102</v>
      </c>
      <c r="I17" s="93"/>
      <c r="J17" s="101">
        <v>900</v>
      </c>
    </row>
    <row r="18" spans="1:10" x14ac:dyDescent="0.25">
      <c r="A18" s="91">
        <v>45195</v>
      </c>
      <c r="B18" s="92">
        <v>20230926004</v>
      </c>
      <c r="C18" s="92">
        <v>20230926007</v>
      </c>
      <c r="D18" s="92" t="s">
        <v>3</v>
      </c>
      <c r="E18" s="92" t="s">
        <v>174</v>
      </c>
      <c r="F18" s="92">
        <v>800</v>
      </c>
      <c r="G18" s="93">
        <v>802.4</v>
      </c>
      <c r="H18" s="92" t="s">
        <v>102</v>
      </c>
      <c r="I18" s="93"/>
      <c r="J18" s="101">
        <v>800</v>
      </c>
    </row>
    <row r="19" spans="1:10" x14ac:dyDescent="0.25">
      <c r="A19" s="91">
        <v>45219</v>
      </c>
      <c r="B19" s="92">
        <v>20231020001</v>
      </c>
      <c r="C19" s="92">
        <v>20231020010</v>
      </c>
      <c r="D19" s="92" t="s">
        <v>3</v>
      </c>
      <c r="E19" s="92" t="s">
        <v>174</v>
      </c>
      <c r="F19" s="92">
        <v>280</v>
      </c>
      <c r="G19" s="93">
        <v>280.83999999999997</v>
      </c>
      <c r="H19" s="92" t="s">
        <v>102</v>
      </c>
      <c r="I19" s="93"/>
      <c r="J19" s="101">
        <v>280</v>
      </c>
    </row>
    <row r="20" spans="1:10" x14ac:dyDescent="0.25">
      <c r="A20" s="91">
        <v>45219</v>
      </c>
      <c r="B20" s="92">
        <v>20231020036</v>
      </c>
      <c r="C20" s="92"/>
      <c r="D20" s="92" t="s">
        <v>3</v>
      </c>
      <c r="E20" s="92" t="s">
        <v>174</v>
      </c>
      <c r="F20" s="92">
        <v>12.92</v>
      </c>
      <c r="G20" s="93">
        <v>12.96</v>
      </c>
      <c r="H20" s="92" t="s">
        <v>102</v>
      </c>
      <c r="I20" s="93"/>
      <c r="J20" s="101">
        <v>12.92</v>
      </c>
    </row>
    <row r="21" spans="1:10" x14ac:dyDescent="0.25">
      <c r="A21" s="94">
        <v>45231</v>
      </c>
      <c r="B21" s="93">
        <v>20231102010</v>
      </c>
      <c r="C21" s="93">
        <v>20231102005</v>
      </c>
      <c r="D21" s="93" t="s">
        <v>3</v>
      </c>
      <c r="E21" s="93" t="s">
        <v>174</v>
      </c>
      <c r="F21" s="93">
        <v>1200</v>
      </c>
      <c r="G21" s="93">
        <v>1203.5999999999999</v>
      </c>
      <c r="H21" s="93" t="s">
        <v>102</v>
      </c>
      <c r="I21" s="93"/>
      <c r="J21" s="101">
        <v>1200</v>
      </c>
    </row>
    <row r="22" spans="1:10" x14ac:dyDescent="0.25">
      <c r="A22" s="94">
        <v>45267</v>
      </c>
      <c r="B22" s="93">
        <v>20231207001</v>
      </c>
      <c r="C22" s="93">
        <v>20231207011</v>
      </c>
      <c r="D22" s="93" t="s">
        <v>3</v>
      </c>
      <c r="E22" s="93" t="s">
        <v>174</v>
      </c>
      <c r="F22" s="93">
        <v>500</v>
      </c>
      <c r="G22" s="93">
        <v>501.5</v>
      </c>
      <c r="H22" s="93" t="s">
        <v>102</v>
      </c>
      <c r="I22" s="93"/>
      <c r="J22" s="93">
        <v>77.760000000000005</v>
      </c>
    </row>
    <row r="23" spans="1:10" x14ac:dyDescent="0.25">
      <c r="A23" s="91"/>
      <c r="B23" s="92"/>
      <c r="C23" s="92"/>
      <c r="D23" s="92"/>
      <c r="E23" s="92"/>
      <c r="F23" s="92"/>
      <c r="G23" s="93"/>
      <c r="H23" s="92"/>
      <c r="I23" s="93"/>
      <c r="J23" s="93"/>
    </row>
    <row r="24" spans="1:10" x14ac:dyDescent="0.25">
      <c r="A24" s="91">
        <v>45139</v>
      </c>
      <c r="B24" s="92">
        <v>20230727004</v>
      </c>
      <c r="C24" s="92">
        <v>20230731004</v>
      </c>
      <c r="D24" s="92" t="s">
        <v>2</v>
      </c>
      <c r="E24" s="92" t="s">
        <v>1</v>
      </c>
      <c r="F24" s="92">
        <v>800</v>
      </c>
      <c r="G24" s="93">
        <v>802.8</v>
      </c>
      <c r="H24" s="92" t="s">
        <v>102</v>
      </c>
      <c r="I24" s="93"/>
      <c r="J24" s="101">
        <v>800</v>
      </c>
    </row>
    <row r="25" spans="1:10" x14ac:dyDescent="0.25">
      <c r="A25" s="91">
        <v>45195</v>
      </c>
      <c r="B25" s="92">
        <v>20230926003</v>
      </c>
      <c r="C25" s="92">
        <v>20230926006</v>
      </c>
      <c r="D25" s="92" t="s">
        <v>2</v>
      </c>
      <c r="E25" s="92" t="s">
        <v>1</v>
      </c>
      <c r="F25" s="92">
        <v>500</v>
      </c>
      <c r="G25" s="93">
        <v>501.75</v>
      </c>
      <c r="H25" s="92" t="s">
        <v>102</v>
      </c>
      <c r="I25" s="93"/>
      <c r="J25" s="101">
        <v>500</v>
      </c>
    </row>
    <row r="26" spans="1:10" x14ac:dyDescent="0.25">
      <c r="A26" s="94">
        <v>45231</v>
      </c>
      <c r="B26" s="93">
        <v>20231102009</v>
      </c>
      <c r="C26" s="93">
        <v>20231102004</v>
      </c>
      <c r="D26" s="93" t="s">
        <v>2</v>
      </c>
      <c r="E26" s="93" t="s">
        <v>1</v>
      </c>
      <c r="F26" s="93">
        <v>500</v>
      </c>
      <c r="G26" s="93">
        <v>501.75</v>
      </c>
      <c r="H26" s="93" t="s">
        <v>102</v>
      </c>
      <c r="I26" s="93"/>
      <c r="J26" s="101">
        <v>500</v>
      </c>
    </row>
    <row r="27" spans="1:10" x14ac:dyDescent="0.25">
      <c r="A27" s="92"/>
      <c r="B27" s="92"/>
      <c r="C27" s="92"/>
      <c r="D27" s="92"/>
      <c r="E27" s="92"/>
      <c r="F27" s="92"/>
      <c r="G27" s="93"/>
      <c r="H27" s="92"/>
      <c r="I27" s="96" t="s">
        <v>188</v>
      </c>
      <c r="J27" s="96">
        <v>47.99</v>
      </c>
    </row>
    <row r="28" spans="1:10" x14ac:dyDescent="0.25">
      <c r="A28" s="92"/>
      <c r="B28" s="92"/>
      <c r="C28" s="92"/>
      <c r="D28" s="92"/>
      <c r="E28" s="92"/>
      <c r="F28" s="92"/>
      <c r="G28" s="93"/>
      <c r="H28" s="92"/>
      <c r="I28" s="97"/>
      <c r="J28" s="97"/>
    </row>
    <row r="29" spans="1:10" x14ac:dyDescent="0.25">
      <c r="A29" s="94">
        <v>45267</v>
      </c>
      <c r="B29" s="92">
        <v>20231207003</v>
      </c>
      <c r="C29" s="93">
        <v>20231207024</v>
      </c>
      <c r="D29" s="92" t="s">
        <v>175</v>
      </c>
      <c r="E29" s="93" t="s">
        <v>201</v>
      </c>
      <c r="F29" s="92">
        <v>500</v>
      </c>
      <c r="G29" s="93">
        <v>483.08</v>
      </c>
      <c r="H29" s="92" t="s">
        <v>102</v>
      </c>
      <c r="I29" s="93"/>
      <c r="J29" s="93">
        <f>'12'!AK26</f>
        <v>198.65999999999997</v>
      </c>
    </row>
    <row r="30" spans="1:10" x14ac:dyDescent="0.25">
      <c r="A30" s="94">
        <v>45267</v>
      </c>
      <c r="B30" s="92">
        <v>20231207006</v>
      </c>
      <c r="C30" s="93"/>
      <c r="D30" s="92" t="s">
        <v>175</v>
      </c>
      <c r="E30" s="93" t="s">
        <v>201</v>
      </c>
      <c r="F30" s="92">
        <v>30</v>
      </c>
      <c r="G30" s="93">
        <v>28.98</v>
      </c>
      <c r="H30" s="92" t="s">
        <v>102</v>
      </c>
      <c r="I30" s="93"/>
      <c r="J30" s="93"/>
    </row>
    <row r="32" spans="1:10" x14ac:dyDescent="0.25">
      <c r="D32" s="92" t="s">
        <v>202</v>
      </c>
      <c r="E32" s="19" t="s">
        <v>203</v>
      </c>
      <c r="G32" s="93">
        <v>1.7</v>
      </c>
      <c r="H32" s="92" t="s">
        <v>102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08</vt:lpstr>
      <vt:lpstr>09</vt:lpstr>
      <vt:lpstr>10</vt:lpstr>
      <vt:lpstr>11</vt:lpstr>
      <vt:lpstr>12</vt:lpstr>
      <vt:lpstr>Rekapan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2024-03-14T06:19:08Z</dcterms:modified>
</cp:coreProperties>
</file>