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50" activeTab="4"/>
  </bookViews>
  <sheets>
    <sheet name="08" sheetId="1" r:id="rId1"/>
    <sheet name="09" sheetId="2" r:id="rId2"/>
    <sheet name="10" sheetId="3" r:id="rId3"/>
    <sheet name="11" sheetId="4" r:id="rId4"/>
    <sheet name="12" sheetId="5" r:id="rId5"/>
  </sheets>
  <calcPr calcId="144525"/>
</workbook>
</file>

<file path=xl/calcChain.xml><?xml version="1.0" encoding="utf-8"?>
<calcChain xmlns="http://schemas.openxmlformats.org/spreadsheetml/2006/main">
  <c r="K13" i="5" l="1"/>
  <c r="K9" i="5"/>
  <c r="T60" i="5"/>
  <c r="B60" i="5"/>
  <c r="J13" i="5" l="1"/>
  <c r="J9" i="5"/>
  <c r="T53" i="5"/>
  <c r="B53" i="5"/>
  <c r="I13" i="5"/>
  <c r="W46" i="5"/>
  <c r="T46" i="5"/>
  <c r="AJ13" i="5"/>
  <c r="AK13" i="5" s="1"/>
  <c r="I9" i="5"/>
  <c r="B46" i="5"/>
  <c r="F13" i="5"/>
  <c r="F11" i="5"/>
  <c r="E11" i="5"/>
  <c r="AJ11" i="5"/>
  <c r="AK11" i="5" s="1"/>
  <c r="F9" i="5"/>
  <c r="T39" i="5"/>
  <c r="J39" i="5"/>
  <c r="B39" i="5"/>
  <c r="AK15" i="5"/>
  <c r="E15" i="5"/>
  <c r="E14" i="5"/>
  <c r="E13" i="5"/>
  <c r="E12" i="5"/>
  <c r="E10" i="5"/>
  <c r="E9" i="5"/>
  <c r="AJ15" i="5"/>
  <c r="AJ14" i="5"/>
  <c r="AK14" i="5" s="1"/>
  <c r="D13" i="5"/>
  <c r="AJ12" i="5"/>
  <c r="AK12" i="5" s="1"/>
  <c r="AJ10" i="5"/>
  <c r="AK10" i="5" s="1"/>
  <c r="D10" i="5"/>
  <c r="C17" i="5" l="1"/>
  <c r="AJ9" i="5"/>
  <c r="AK9" i="5" s="1"/>
  <c r="AI11" i="4"/>
  <c r="AH15" i="4"/>
  <c r="AH13" i="4"/>
  <c r="W144" i="4"/>
  <c r="T144" i="4"/>
  <c r="AI15" i="4"/>
  <c r="AI13" i="4"/>
  <c r="AI9" i="4"/>
  <c r="W151" i="4"/>
  <c r="T151" i="4"/>
  <c r="J151" i="4"/>
  <c r="B151" i="4"/>
  <c r="AF15" i="4" l="1"/>
  <c r="AF14" i="4"/>
  <c r="AJ14" i="4"/>
  <c r="AK14" i="4" s="1"/>
  <c r="AJ15" i="4"/>
  <c r="AK15" i="4" s="1"/>
  <c r="AH11" i="4" l="1"/>
  <c r="AH9" i="4"/>
  <c r="J144" i="4"/>
  <c r="B144" i="4"/>
  <c r="AG13" i="4" l="1"/>
  <c r="AG11" i="4"/>
  <c r="AG9" i="4"/>
  <c r="AF13" i="4"/>
  <c r="AF11" i="4"/>
  <c r="AF9" i="4"/>
  <c r="T137" i="4"/>
  <c r="W130" i="4" l="1"/>
  <c r="O130" i="4"/>
  <c r="T130" i="4"/>
  <c r="J130" i="4"/>
  <c r="J137" i="4" l="1"/>
  <c r="B137" i="4"/>
  <c r="B130" i="4"/>
  <c r="AC13" i="4" l="1"/>
  <c r="AC11" i="4"/>
  <c r="AC9" i="4"/>
  <c r="T123" i="4"/>
  <c r="J123" i="4"/>
  <c r="B123" i="4"/>
  <c r="AB13" i="4" l="1"/>
  <c r="T116" i="4"/>
  <c r="J116" i="4"/>
  <c r="AB11" i="4" s="1"/>
  <c r="E116" i="4"/>
  <c r="AB10" i="4" s="1"/>
  <c r="B116" i="4"/>
  <c r="AB9" i="4" s="1"/>
  <c r="AA13" i="4" l="1"/>
  <c r="AA11" i="4"/>
  <c r="AA10" i="4"/>
  <c r="AA9" i="4"/>
  <c r="T109" i="4"/>
  <c r="J109" i="4"/>
  <c r="E109" i="4"/>
  <c r="B109" i="4"/>
  <c r="Z13" i="4" l="1"/>
  <c r="Z11" i="4"/>
  <c r="Z10" i="4"/>
  <c r="Z9" i="4"/>
  <c r="T102" i="4"/>
  <c r="J102" i="4"/>
  <c r="E102" i="4"/>
  <c r="B102" i="4"/>
  <c r="Y13" i="4" l="1"/>
  <c r="Y11" i="4"/>
  <c r="Y10" i="4"/>
  <c r="Y9" i="4"/>
  <c r="T95" i="4"/>
  <c r="J95" i="4"/>
  <c r="E95" i="4"/>
  <c r="B95" i="4"/>
  <c r="V13" i="4" l="1"/>
  <c r="V11" i="4"/>
  <c r="V10" i="4"/>
  <c r="V9" i="4"/>
  <c r="T88" i="4"/>
  <c r="J88" i="4"/>
  <c r="E88" i="4"/>
  <c r="B88" i="4"/>
  <c r="U13" i="4"/>
  <c r="U11" i="4"/>
  <c r="U10" i="4"/>
  <c r="T81" i="4"/>
  <c r="J81" i="4"/>
  <c r="E81" i="4"/>
  <c r="T13" i="4" l="1"/>
  <c r="T10" i="4"/>
  <c r="T74" i="4"/>
  <c r="E74" i="4"/>
  <c r="S13" i="4" l="1"/>
  <c r="S11" i="4"/>
  <c r="S10" i="4"/>
  <c r="S9" i="4"/>
  <c r="B67" i="4"/>
  <c r="E67" i="4"/>
  <c r="J67" i="4"/>
  <c r="T67" i="4"/>
  <c r="R13" i="4" l="1"/>
  <c r="R11" i="4"/>
  <c r="R10" i="4"/>
  <c r="R9" i="4"/>
  <c r="T60" i="4"/>
  <c r="J60" i="4"/>
  <c r="E60" i="4"/>
  <c r="B60" i="4"/>
  <c r="O13" i="4" l="1"/>
  <c r="O11" i="4"/>
  <c r="O10" i="4"/>
  <c r="T53" i="4"/>
  <c r="J53" i="4"/>
  <c r="E53" i="4"/>
  <c r="AK10" i="2" l="1"/>
  <c r="AK11" i="2"/>
  <c r="AK12" i="2"/>
  <c r="AK13" i="2"/>
  <c r="AK9" i="2"/>
  <c r="AJ10" i="2"/>
  <c r="AJ11" i="2"/>
  <c r="AJ12" i="2"/>
  <c r="AJ13" i="2"/>
  <c r="AJ9" i="2"/>
  <c r="AK10" i="3"/>
  <c r="AK11" i="3"/>
  <c r="AK13" i="3"/>
  <c r="AK14" i="3"/>
  <c r="AK15" i="3"/>
  <c r="AK9" i="3"/>
  <c r="AJ10" i="3"/>
  <c r="AJ11" i="3"/>
  <c r="AJ12" i="3"/>
  <c r="AJ13" i="3"/>
  <c r="AJ14" i="3"/>
  <c r="AJ15" i="3"/>
  <c r="AJ9" i="3"/>
  <c r="AJ10" i="4"/>
  <c r="AJ11" i="4"/>
  <c r="AJ12" i="4"/>
  <c r="AJ13" i="4"/>
  <c r="AJ9" i="4"/>
  <c r="N13" i="4"/>
  <c r="N11" i="4"/>
  <c r="N10" i="4"/>
  <c r="N9" i="4"/>
  <c r="B46" i="4"/>
  <c r="E46" i="4"/>
  <c r="J46" i="4"/>
  <c r="T46" i="4"/>
  <c r="M13" i="4" l="1"/>
  <c r="M11" i="4"/>
  <c r="J39" i="4"/>
  <c r="T39" i="4"/>
  <c r="C17" i="4" l="1"/>
  <c r="D13" i="4"/>
  <c r="D10" i="4"/>
  <c r="AD10" i="3" l="1"/>
  <c r="E179" i="3"/>
  <c r="AC10" i="3" l="1"/>
  <c r="E172" i="3"/>
  <c r="AB10" i="3" l="1"/>
  <c r="E165" i="3"/>
  <c r="Z10" i="3" l="1"/>
  <c r="E158" i="3"/>
  <c r="Y10" i="3"/>
  <c r="E151" i="3"/>
  <c r="X14" i="3" l="1"/>
  <c r="W14" i="3"/>
  <c r="X10" i="3"/>
  <c r="W10" i="3"/>
  <c r="T144" i="3"/>
  <c r="E144" i="3"/>
  <c r="E137" i="3" l="1"/>
  <c r="T137" i="3"/>
  <c r="B130" i="3" l="1"/>
  <c r="V9" i="3" s="1"/>
  <c r="J130" i="3"/>
  <c r="V11" i="3" s="1"/>
  <c r="T130" i="3"/>
  <c r="V14" i="3" s="1"/>
  <c r="B123" i="3" l="1"/>
  <c r="U9" i="3" s="1"/>
  <c r="J123" i="3"/>
  <c r="U11" i="3" s="1"/>
  <c r="T123" i="3"/>
  <c r="U14" i="3" s="1"/>
  <c r="S11" i="3" l="1"/>
  <c r="B116" i="3"/>
  <c r="S9" i="3" s="1"/>
  <c r="J116" i="3"/>
  <c r="T116" i="3"/>
  <c r="S14" i="3" s="1"/>
  <c r="B109" i="3" l="1"/>
  <c r="R9" i="3" s="1"/>
  <c r="J109" i="3"/>
  <c r="R11" i="3" s="1"/>
  <c r="T109" i="3"/>
  <c r="R14" i="3" s="1"/>
  <c r="Q11" i="3" l="1"/>
  <c r="T102" i="3"/>
  <c r="Q14" i="3" s="1"/>
  <c r="J102" i="3"/>
  <c r="P14" i="3" l="1"/>
  <c r="T95" i="3"/>
  <c r="O14" i="3"/>
  <c r="T88" i="3"/>
  <c r="T81" i="3"/>
  <c r="N14" i="3" l="1"/>
  <c r="T74" i="3" l="1"/>
  <c r="L14" i="3" s="1"/>
  <c r="J74" i="3" l="1"/>
  <c r="L11" i="3" s="1"/>
  <c r="J67" i="3"/>
  <c r="K11" i="3" s="1"/>
  <c r="B67" i="3"/>
  <c r="K9" i="3" s="1"/>
  <c r="T67" i="3"/>
  <c r="K14" i="3" s="1"/>
  <c r="J14" i="3" l="1"/>
  <c r="J9" i="3"/>
  <c r="T60" i="3"/>
  <c r="J60" i="3"/>
  <c r="J11" i="3" s="1"/>
  <c r="B60" i="3"/>
  <c r="I11" i="3" l="1"/>
  <c r="I9" i="3"/>
  <c r="T53" i="3"/>
  <c r="I14" i="3" s="1"/>
  <c r="J53" i="3"/>
  <c r="B53" i="3"/>
  <c r="Y46" i="3" l="1"/>
  <c r="H15" i="3" s="1"/>
  <c r="T46" i="3"/>
  <c r="H14" i="3" s="1"/>
  <c r="J46" i="3"/>
  <c r="H11" i="3" s="1"/>
  <c r="B46" i="3"/>
  <c r="H9" i="3" s="1"/>
  <c r="G11" i="3" l="1"/>
  <c r="G9" i="3"/>
  <c r="B39" i="3"/>
  <c r="J39" i="3"/>
  <c r="Y39" i="3"/>
  <c r="G15" i="3" s="1"/>
  <c r="J43" i="2"/>
  <c r="B43" i="2"/>
  <c r="T39" i="3"/>
  <c r="G14" i="3" s="1"/>
  <c r="AI13" i="2"/>
  <c r="T50" i="2"/>
  <c r="AH13" i="2"/>
  <c r="T43" i="2"/>
  <c r="T36" i="2"/>
  <c r="E13" i="4" l="1"/>
  <c r="AK13" i="4" s="1"/>
  <c r="E9" i="4"/>
  <c r="AK9" i="4" s="1"/>
  <c r="E12" i="4"/>
  <c r="AK12" i="4" s="1"/>
  <c r="E12" i="3"/>
  <c r="E10" i="4"/>
  <c r="AK10" i="4" s="1"/>
  <c r="E11" i="4" l="1"/>
  <c r="AK11" i="4" s="1"/>
  <c r="AK12" i="3"/>
  <c r="AF13" i="2"/>
  <c r="J36" i="2"/>
  <c r="AF11" i="2" s="1"/>
  <c r="B36" i="2"/>
  <c r="AF9" i="2" s="1"/>
  <c r="U211" i="1" l="1"/>
  <c r="AK13" i="1" l="1"/>
  <c r="AL13" i="1" l="1"/>
  <c r="AL12" i="1"/>
  <c r="AL11" i="1"/>
  <c r="AL10" i="1"/>
  <c r="AL9" i="1"/>
  <c r="AM9" i="1" l="1"/>
  <c r="U204" i="1" l="1"/>
  <c r="AJ13" i="1" s="1"/>
  <c r="U197" i="1" l="1"/>
  <c r="AI13" i="1" l="1"/>
  <c r="U190" i="1"/>
  <c r="AH13" i="1" l="1"/>
  <c r="U183" i="1" l="1"/>
  <c r="AF13" i="1" s="1"/>
  <c r="B176" i="1" l="1"/>
  <c r="K176" i="1"/>
  <c r="AE11" i="1" s="1"/>
  <c r="E176" i="1"/>
  <c r="AE10" i="1" s="1"/>
  <c r="U176" i="1"/>
  <c r="AE13" i="1" s="1"/>
  <c r="AE9" i="1" l="1"/>
  <c r="U169" i="1" l="1"/>
  <c r="E169" i="1"/>
  <c r="B169" i="1"/>
  <c r="AD10" i="1" l="1"/>
  <c r="AD13" i="1"/>
  <c r="AD9" i="1"/>
  <c r="P169" i="1"/>
  <c r="AD12" i="1" s="1"/>
  <c r="E155" i="1" l="1"/>
  <c r="U155" i="1"/>
  <c r="AB13" i="1" s="1"/>
  <c r="B155" i="1"/>
  <c r="P162" i="1"/>
  <c r="E162" i="1"/>
  <c r="B162" i="1"/>
  <c r="U162" i="1"/>
  <c r="AC13" i="1" s="1"/>
  <c r="AC12" i="1" l="1"/>
  <c r="AC10" i="1"/>
  <c r="AC9" i="1"/>
  <c r="AB10" i="1" l="1"/>
  <c r="AB9" i="1"/>
  <c r="U148" i="1"/>
  <c r="E148" i="1"/>
  <c r="B148" i="1"/>
  <c r="P148" i="1" l="1"/>
  <c r="AA12" i="1" s="1"/>
  <c r="AA9" i="1" l="1"/>
  <c r="AA13" i="1"/>
  <c r="AA10" i="1"/>
  <c r="B141" i="1" l="1"/>
  <c r="Y9" i="1" s="1"/>
  <c r="P141" i="1"/>
  <c r="Y12" i="1" s="1"/>
  <c r="U141" i="1"/>
  <c r="Y13" i="1" s="1"/>
  <c r="E141" i="1"/>
  <c r="Y10" i="1" s="1"/>
  <c r="X13" i="1" l="1"/>
  <c r="P134" i="1"/>
  <c r="X12" i="1" s="1"/>
  <c r="K134" i="1"/>
  <c r="X11" i="1" s="1"/>
  <c r="B134" i="1"/>
  <c r="X9" i="1" s="1"/>
  <c r="E134" i="1"/>
  <c r="X10" i="1" s="1"/>
  <c r="AM13" i="1" l="1"/>
  <c r="E127" i="1"/>
  <c r="V10" i="1" l="1"/>
  <c r="E120" i="1" l="1"/>
  <c r="U10" i="1" s="1"/>
  <c r="B120" i="1"/>
  <c r="U9" i="1" s="1"/>
  <c r="B113" i="1" l="1"/>
  <c r="T9" i="1" s="1"/>
  <c r="E113" i="1"/>
  <c r="T10" i="1" s="1"/>
  <c r="E106" i="1" l="1"/>
  <c r="R10" i="1" s="1"/>
  <c r="B106" i="1"/>
  <c r="R9" i="1" s="1"/>
  <c r="E99" i="1" l="1"/>
  <c r="Q10" i="1" s="1"/>
  <c r="B99" i="1"/>
  <c r="Q9" i="1" s="1"/>
  <c r="K99" i="1"/>
  <c r="Q11" i="1" s="1"/>
  <c r="B92" i="1" l="1"/>
  <c r="P9" i="1" s="1"/>
  <c r="E92" i="1"/>
  <c r="P10" i="1" s="1"/>
  <c r="K92" i="1"/>
  <c r="P11" i="1" s="1"/>
  <c r="B50" i="1"/>
  <c r="B43" i="1"/>
  <c r="B57" i="1"/>
  <c r="B85" i="1"/>
  <c r="O9" i="1" s="1"/>
  <c r="E85" i="1" l="1"/>
  <c r="O10" i="1" s="1"/>
  <c r="K85" i="1"/>
  <c r="O11" i="1" s="1"/>
  <c r="P85" i="1"/>
  <c r="O12" i="1" s="1"/>
  <c r="D9" i="1"/>
  <c r="AM10" i="1" l="1"/>
  <c r="P78" i="1"/>
  <c r="N12" i="1" s="1"/>
  <c r="K78" i="1"/>
  <c r="N11" i="1" s="1"/>
  <c r="K71" i="1" l="1"/>
  <c r="M11" i="1" s="1"/>
  <c r="P71" i="1"/>
  <c r="M12" i="1" s="1"/>
  <c r="E57" i="1" l="1"/>
  <c r="K64" i="1"/>
  <c r="K11" i="1" s="1"/>
  <c r="P64" i="1"/>
  <c r="K12" i="1" s="1"/>
  <c r="AM12" i="1" s="1"/>
  <c r="P57" i="1"/>
  <c r="E36" i="1"/>
  <c r="P50" i="1"/>
  <c r="P43" i="1"/>
  <c r="E50" i="1"/>
  <c r="E43" i="1"/>
  <c r="AM11" i="1" l="1"/>
</calcChain>
</file>

<file path=xl/comments1.xml><?xml version="1.0" encoding="utf-8"?>
<comments xmlns="http://schemas.openxmlformats.org/spreadsheetml/2006/main">
  <authors>
    <author>ADM-B1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8/11 Tembaga M16-00000002 (2.6) = 1994 KG
13/11 Tembaga M16-00000002 (2.6) = 2058 KG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Sisa Order Lama Bulan Oktober</t>
        </r>
      </text>
    </comment>
  </commentList>
</comments>
</file>

<file path=xl/comments2.xml><?xml version="1.0" encoding="utf-8"?>
<comments xmlns="http://schemas.openxmlformats.org/spreadsheetml/2006/main">
  <authors>
    <author>ADM-B1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8/11 Tembaga M16-00000002 (2.6) = 1994 KG
13/11 Tembaga M16-00000002 (2.6) = 2058 KG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ADM-B1:</t>
        </r>
        <r>
          <rPr>
            <sz val="9"/>
            <color indexed="81"/>
            <rFont val="Tahoma"/>
            <family val="2"/>
          </rPr>
          <t xml:space="preserve">
Sisa Order Lama Bulan Oktober</t>
        </r>
      </text>
    </comment>
  </commentList>
</comments>
</file>

<file path=xl/sharedStrings.xml><?xml version="1.0" encoding="utf-8"?>
<sst xmlns="http://schemas.openxmlformats.org/spreadsheetml/2006/main" count="319" uniqueCount="150">
  <si>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</si>
  <si>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</si>
  <si>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</si>
  <si>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</si>
  <si>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</si>
  <si>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</si>
  <si>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</si>
  <si>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</si>
  <si>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</si>
  <si>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</si>
  <si>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</si>
  <si>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</si>
  <si>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</si>
  <si>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</si>
  <si>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</si>
  <si>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</si>
  <si>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</si>
  <si>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</si>
  <si>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</si>
  <si>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</si>
  <si>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</si>
  <si>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</si>
  <si>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</si>
  <si>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</si>
  <si>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</si>
  <si>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</si>
  <si>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</si>
  <si>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</si>
  <si>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</si>
  <si>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</si>
  <si>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</si>
  <si>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</si>
  <si>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</si>
  <si>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</si>
  <si>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</si>
  <si>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</si>
  <si>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</si>
  <si>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</si>
  <si>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</si>
  <si>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</si>
  <si>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</si>
  <si>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</si>
  <si>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</si>
  <si>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</si>
  <si>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</si>
  <si>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</si>
  <si>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</si>
  <si>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</si>
  <si>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</si>
  <si>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</si>
  <si>
    <t>115800 + 150000 + 31000 + 150000</t>
  </si>
  <si>
    <t>75900 + 150000</t>
  </si>
  <si>
    <t>134200 + 253600</t>
  </si>
  <si>
    <t>112800 + 59500</t>
  </si>
  <si>
    <t>150000 + 150000 + 150000 + 84000 + 150000</t>
  </si>
  <si>
    <t>150000 + 150000 + 23800 + 12200</t>
  </si>
  <si>
    <t>172300 + 21600 + 600000 + 600000</t>
  </si>
  <si>
    <t>47800 + 162300 + 146000 + 591000 + 29000 + 241500</t>
  </si>
  <si>
    <t>8900 + 50200 + 35000 + 28000 + 25000 + 58000</t>
  </si>
  <si>
    <t>150000 + 150000 + 109000</t>
  </si>
  <si>
    <t>150000 + 113700 + 150000</t>
  </si>
  <si>
    <t>150000 + 39800 + 100000 + 150000</t>
  </si>
  <si>
    <t>174600 + 331900 + 600000 + 231000</t>
  </si>
  <si>
    <t>150000 + 85400 + 150000 + 150000 + 104000</t>
  </si>
  <si>
    <t>82000 + 18300 + 150000 + 38600</t>
  </si>
  <si>
    <t>103100 + 150000 + 150000</t>
  </si>
  <si>
    <t>62300 + 22900 + 10000 + 295500 + 97800 + 600000</t>
  </si>
  <si>
    <t>390000 + 243200 + 600000 + 600000</t>
  </si>
  <si>
    <t>150000 + 8000</t>
  </si>
  <si>
    <t>456100 + 600000 + 600000 + 62600 + 28600 + 85000 + 204100 + 264000 + 233200 + 98100 + 98500</t>
  </si>
  <si>
    <t>293400 + 234000 + 152300 + 100000 + 110000 + 230200</t>
  </si>
  <si>
    <t>90600 + 127200 + 600000</t>
  </si>
  <si>
    <t>600000 + 159100 + 73000 + 48000</t>
  </si>
  <si>
    <t>Sisa Order</t>
  </si>
  <si>
    <t>14400 + 150000</t>
  </si>
  <si>
    <t>W01-03000025</t>
  </si>
  <si>
    <t>448300 + 430600 + 144100 + 479200 + 346000 + 200000 + 263000</t>
  </si>
  <si>
    <t>170800 + 385800 + 360600 + 600000 + 600000 + 238100 + 110000</t>
  </si>
  <si>
    <t>360000 + 360000 + 360000</t>
  </si>
  <si>
    <t>176400 + 337000 + 361900 + 482200 + 305000 + 331700 + 425300 + 160900</t>
  </si>
  <si>
    <t>150000 + 150000 + 44000</t>
  </si>
  <si>
    <t>31700 + 150000 + 150000 + 15200</t>
  </si>
  <si>
    <t>150000 + 94400</t>
  </si>
  <si>
    <t>150000 + 70800</t>
  </si>
  <si>
    <t>150000 + 142000</t>
  </si>
  <si>
    <t>8000 + 150000 + 150000 + 150000</t>
  </si>
  <si>
    <t>150000 + 101100</t>
  </si>
  <si>
    <t>167500 + 268300 + 295000 + 381700 + 290900 + 194500 + 313700 + 314700</t>
  </si>
  <si>
    <t>55600 + 141600</t>
  </si>
  <si>
    <t>134300 + 150000 + 150000 + 75300</t>
  </si>
  <si>
    <t>48900 + 150000 + 150000 + 54600</t>
  </si>
  <si>
    <t>285300 + 309100 + 282900 + 405500 + 206500 + 171800 + 257000 + 368100</t>
  </si>
  <si>
    <t>74700 + 150000 + 150000</t>
  </si>
  <si>
    <t>95400 + 150000 + 104600</t>
  </si>
  <si>
    <t>59200 + 235600 + 231900 + 527900 + 293200 + 334600 + 446900</t>
  </si>
  <si>
    <t>368400 + 314100 + 389100 + 377800</t>
  </si>
  <si>
    <t>248100 + 243900 + 244800 + 245500</t>
  </si>
  <si>
    <t>372600 + 370500 + 364000 + 176500 + 172600 + 402700 + 402500</t>
  </si>
  <si>
    <t>436600 + 329400 + 347300</t>
  </si>
  <si>
    <t>388700 + 120200 + 358200</t>
  </si>
  <si>
    <t>470000 + 212800 + 147100 + 305000 + 321500 + 255500 + 360200 + 353300</t>
  </si>
  <si>
    <t>348400 + 359500</t>
  </si>
  <si>
    <t>293500 + 334600</t>
  </si>
  <si>
    <t>364500 + 344500 + 418700 + 341500 + 391000 + 401200 + 274000 + 407300</t>
  </si>
  <si>
    <t>196400 + 232900</t>
  </si>
  <si>
    <t>286900 + 265600</t>
  </si>
  <si>
    <t>267100 + 241200 + 340000 + 267400 + 258600 + 260000</t>
  </si>
  <si>
    <t>263900 + 450000</t>
  </si>
  <si>
    <t>258600 + 441600</t>
  </si>
  <si>
    <t>430100 + 441700 + 363300 + 425300 + 413900 + 435200</t>
  </si>
  <si>
    <t>131600 + 276300</t>
  </si>
  <si>
    <t>393900 + 407500 + 408100 + 427900 + 404900 + 383800</t>
  </si>
  <si>
    <t>305200 + 374000 + 439700 + 431600</t>
  </si>
  <si>
    <t>390300 + 468000</t>
  </si>
  <si>
    <t>290900 + 364900</t>
  </si>
  <si>
    <t>192100 + 241600</t>
  </si>
  <si>
    <t>347000 + 428400</t>
  </si>
  <si>
    <t>395000 + 470000</t>
  </si>
  <si>
    <t>343100 + 397000</t>
  </si>
  <si>
    <t>PRODUKSI BULAN INI :</t>
  </si>
  <si>
    <t>KG</t>
  </si>
  <si>
    <t>178100 + 94900</t>
  </si>
  <si>
    <t>308850 + 232050 + 253850 + 308850 + 232050 + 253850</t>
  </si>
  <si>
    <t>225000 + 225000</t>
  </si>
  <si>
    <t>271400 + 267000 + 260000 + 328600 + 229400 + 267700</t>
  </si>
  <si>
    <t>219900 + 192700</t>
  </si>
  <si>
    <t>233100 + 393700</t>
  </si>
  <si>
    <t>320100 + 216900</t>
  </si>
  <si>
    <t>433200 + 418300 + 430200 + 390000 + 384000 + 347500</t>
  </si>
  <si>
    <t>33000 + 85000</t>
  </si>
  <si>
    <t>374000 + 450800</t>
  </si>
  <si>
    <t>406900 + 404000 + 396000 + 447800 + 433700 + 442300</t>
  </si>
  <si>
    <t>458200 + 444900 + 396100</t>
  </si>
  <si>
    <t>344600 + 524100 + 461500</t>
  </si>
  <si>
    <t>248300 + 235100 + 212900</t>
  </si>
  <si>
    <t>384900 + 440800 + 339100</t>
  </si>
  <si>
    <t>388800 + 414400 + 358700</t>
  </si>
  <si>
    <t>403600 + 386600 + 273000</t>
  </si>
  <si>
    <t>446500 + 380700 + 429400</t>
  </si>
  <si>
    <t>190400 + 264300 + 223200</t>
  </si>
  <si>
    <t>183500 + 383600 + 418400</t>
  </si>
  <si>
    <t>367800 + 364700 + 391200</t>
  </si>
  <si>
    <t>W01-03000046</t>
  </si>
  <si>
    <t>W01-03000047</t>
  </si>
  <si>
    <t>389000 + 405000</t>
  </si>
  <si>
    <t>398800 + 404000</t>
  </si>
  <si>
    <t>432400 + 351200</t>
  </si>
  <si>
    <t>370800 + 388000</t>
  </si>
  <si>
    <t>348300 + 440600 + 428900</t>
  </si>
  <si>
    <t>424200 + 404400 + 331800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</si>
</sst>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165" fontId="1" fillId="0" borderId="1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3" fontId="1" fillId="2" borderId="9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/>
    </xf>
    <xf numFmtId="16" fontId="0" fillId="0" borderId="15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3" fontId="1" fillId="2" borderId="9" xfId="0" applyNumberFormat="1" applyFont="1" applyFill="1" applyBorder="1" applyAlignment="1">
      <alignment horizontal="center" vertical="center" wrapText="1"/>
    </xf>
    <xf numFmtId="3" fontId="1" fillId="2" borderId="1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361949</xdr:colOff>
      <xdr:row>0</xdr:row>
      <xdr:rowOff>76201</xdr:rowOff>
    </xdr:from>
    <xdr:to>
      <xdr:col>12</xdr:col>
      <xdr:colOff>314324</xdr:colOff>
      <xdr:row>5</xdr:row>
      <xdr:rowOff>125125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361949</xdr:colOff>
      <xdr:row>0</xdr:row>
      <xdr:rowOff>76201</xdr:rowOff>
    </xdr:from>
    <xdr:to>
      <xdr:col>12</xdr:col>
      <xdr:colOff>314324</xdr:colOff>
      <xdr:row>5</xdr:row>
      <xdr:rowOff>125125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76201"/>
          <a:ext cx="1781175" cy="10014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361949</xdr:colOff>
      <xdr:row>0</xdr:row>
      <xdr:rowOff>76201</xdr:rowOff>
    </xdr:from>
    <xdr:to>
      <xdr:col>12</xdr:col>
      <xdr:colOff>335935</xdr:colOff>
      <xdr:row>5</xdr:row>
      <xdr:rowOff>125125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76201"/>
          <a:ext cx="1781175" cy="10014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361949</xdr:colOff>
      <xdr:row>0</xdr:row>
      <xdr:rowOff>76201</xdr:rowOff>
    </xdr:from>
    <xdr:to>
      <xdr:col>12</xdr:col>
      <xdr:colOff>335935</xdr:colOff>
      <xdr:row>5</xdr:row>
      <xdr:rowOff>125125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76201"/>
          <a:ext cx="1802786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1"/>
  <sheetViews>
    <sheetView zoomScale="85" zoomScaleNormal="85" workbookViewId="0">
      <selection activeCell="AK22" sqref="AK22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7.42578125" bestFit="1" customWidth="1"/>
    <col min="11" max="11" width="9.140625" customWidth="1"/>
    <col min="38" max="38" width="15.5703125" customWidth="1"/>
    <col min="39" max="39" width="12.140625" customWidth="1"/>
    <col min="40" max="40" width="14.140625" customWidth="1"/>
  </cols>
  <sheetData>
    <row r="1" spans="1:40" ht="15" customHeight="1" x14ac:dyDescent="0.25">
      <c r="A1" s="76" t="s">
        <v>29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</row>
    <row r="2" spans="1:40" ht="1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</row>
    <row r="3" spans="1:40" ht="15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</row>
    <row r="4" spans="1:40" ht="1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2"/>
    </row>
    <row r="5" spans="1:40" ht="15" customHeight="1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2"/>
    </row>
    <row r="6" spans="1:40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2"/>
    </row>
    <row r="7" spans="1:40" x14ac:dyDescent="0.25">
      <c r="A7" s="66" t="s">
        <v>6</v>
      </c>
      <c r="B7" s="66" t="s">
        <v>48</v>
      </c>
      <c r="C7" s="66" t="s">
        <v>47</v>
      </c>
      <c r="D7" s="66" t="s">
        <v>30</v>
      </c>
      <c r="E7" s="68" t="s">
        <v>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70"/>
      <c r="AK7" s="19"/>
      <c r="AL7" s="66" t="s">
        <v>1</v>
      </c>
      <c r="AM7" s="75" t="s">
        <v>32</v>
      </c>
    </row>
    <row r="8" spans="1:40" x14ac:dyDescent="0.25">
      <c r="A8" s="67"/>
      <c r="B8" s="67"/>
      <c r="C8" s="67"/>
      <c r="D8" s="67"/>
      <c r="E8" s="3">
        <v>45136</v>
      </c>
      <c r="F8" s="3">
        <v>45138</v>
      </c>
      <c r="G8" s="3">
        <v>45139</v>
      </c>
      <c r="H8" s="3">
        <v>45140</v>
      </c>
      <c r="I8" s="3">
        <v>45141</v>
      </c>
      <c r="J8" s="3">
        <v>45142</v>
      </c>
      <c r="K8" s="3">
        <v>45143</v>
      </c>
      <c r="L8" s="3">
        <v>45144</v>
      </c>
      <c r="M8" s="3">
        <v>45145</v>
      </c>
      <c r="N8" s="3">
        <v>45146</v>
      </c>
      <c r="O8" s="3">
        <v>45147</v>
      </c>
      <c r="P8" s="3">
        <v>45148</v>
      </c>
      <c r="Q8" s="3">
        <v>45149</v>
      </c>
      <c r="R8" s="3">
        <v>45150</v>
      </c>
      <c r="S8" s="3">
        <v>45151</v>
      </c>
      <c r="T8" s="3">
        <v>45152</v>
      </c>
      <c r="U8" s="3">
        <v>45153</v>
      </c>
      <c r="V8" s="3">
        <v>45154</v>
      </c>
      <c r="W8" s="3">
        <v>45155</v>
      </c>
      <c r="X8" s="3">
        <v>45156</v>
      </c>
      <c r="Y8" s="3">
        <v>45157</v>
      </c>
      <c r="Z8" s="3">
        <v>45158</v>
      </c>
      <c r="AA8" s="3">
        <v>45159</v>
      </c>
      <c r="AB8" s="3">
        <v>45160</v>
      </c>
      <c r="AC8" s="3">
        <v>45161</v>
      </c>
      <c r="AD8" s="3">
        <v>45162</v>
      </c>
      <c r="AE8" s="3">
        <v>45163</v>
      </c>
      <c r="AF8" s="3">
        <v>45164</v>
      </c>
      <c r="AG8" s="3">
        <v>45165</v>
      </c>
      <c r="AH8" s="3">
        <v>45166</v>
      </c>
      <c r="AI8" s="3">
        <v>45167</v>
      </c>
      <c r="AJ8" s="3">
        <v>45168</v>
      </c>
      <c r="AK8" s="3">
        <v>45169</v>
      </c>
      <c r="AL8" s="67"/>
      <c r="AM8" s="75"/>
    </row>
    <row r="9" spans="1:40" x14ac:dyDescent="0.25">
      <c r="A9" s="26">
        <v>0.127</v>
      </c>
      <c r="B9" s="13" t="s">
        <v>2</v>
      </c>
      <c r="C9" s="12">
        <v>20230727004</v>
      </c>
      <c r="D9" s="22">
        <f>SUM(696.7 + 106.1)</f>
        <v>802.80000000000007</v>
      </c>
      <c r="E9" s="11">
        <v>70.2</v>
      </c>
      <c r="F9" s="11">
        <v>54.72</v>
      </c>
      <c r="G9" s="8"/>
      <c r="H9" s="8">
        <v>12.64</v>
      </c>
      <c r="I9" s="8">
        <v>41.91</v>
      </c>
      <c r="J9" s="8">
        <v>71.81</v>
      </c>
      <c r="K9" s="8"/>
      <c r="L9" s="8"/>
      <c r="M9" s="8"/>
      <c r="N9" s="8"/>
      <c r="O9" s="8">
        <f>B17*B85/1000</f>
        <v>9.3202899999999982</v>
      </c>
      <c r="P9" s="8">
        <f>B17*B92/1000</f>
        <v>37.889739999999996</v>
      </c>
      <c r="Q9" s="8">
        <f>B17*B99/1000</f>
        <v>73.052139999999994</v>
      </c>
      <c r="R9" s="8">
        <f>B17*B106/1000</f>
        <v>56.338729999999998</v>
      </c>
      <c r="S9" s="8"/>
      <c r="T9" s="8">
        <f>B17*B113/1000</f>
        <v>101.47508000000001</v>
      </c>
      <c r="U9" s="8">
        <f>B17*B120/1000</f>
        <v>45.271589999999996</v>
      </c>
      <c r="V9" s="8"/>
      <c r="W9" s="8"/>
      <c r="X9" s="8">
        <f>B17*B134/1000</f>
        <v>10.019029999999999</v>
      </c>
      <c r="Y9" s="8">
        <f>B17*B141/1000</f>
        <v>19.418209999999998</v>
      </c>
      <c r="Z9" s="8"/>
      <c r="AA9" s="8">
        <f>B17*B148/1000</f>
        <v>77.086799999999997</v>
      </c>
      <c r="AB9" s="8">
        <f>B17*B155/1000</f>
        <v>49.565460000000002</v>
      </c>
      <c r="AC9" s="8">
        <f>B17*B162/1000</f>
        <v>23.11477</v>
      </c>
      <c r="AD9" s="8">
        <f>B17*B169/1000</f>
        <v>32.55903</v>
      </c>
      <c r="AE9" s="8">
        <f>B17*B176/1000</f>
        <v>17.8066</v>
      </c>
      <c r="AF9" s="8"/>
      <c r="AG9" s="8"/>
      <c r="AH9" s="8"/>
      <c r="AI9" s="8"/>
      <c r="AJ9" s="8"/>
      <c r="AK9" s="8"/>
      <c r="AL9" s="14">
        <f>SUM(E9:AK9)</f>
        <v>804.19747000000018</v>
      </c>
      <c r="AM9" s="10">
        <f>AL9-D9</f>
        <v>1.3974700000001121</v>
      </c>
    </row>
    <row r="10" spans="1:40" x14ac:dyDescent="0.25">
      <c r="A10" s="26">
        <v>0.12</v>
      </c>
      <c r="B10" s="13" t="s">
        <v>3</v>
      </c>
      <c r="C10" s="15">
        <v>20230727003</v>
      </c>
      <c r="D10" s="23">
        <v>802.8</v>
      </c>
      <c r="E10" s="8"/>
      <c r="F10" s="8"/>
      <c r="G10" s="8">
        <v>60.14</v>
      </c>
      <c r="H10" s="8">
        <v>7.61</v>
      </c>
      <c r="I10" s="8">
        <v>20.43</v>
      </c>
      <c r="J10" s="8">
        <v>55.57</v>
      </c>
      <c r="K10" s="8"/>
      <c r="L10" s="8"/>
      <c r="M10" s="8"/>
      <c r="N10" s="8"/>
      <c r="O10" s="8">
        <f>B18*E85/1000</f>
        <v>31.517979999999998</v>
      </c>
      <c r="P10" s="8">
        <f>B18*E92/1000</f>
        <v>30.18</v>
      </c>
      <c r="Q10" s="8">
        <f>B18*E99/1000</f>
        <v>44.384720000000002</v>
      </c>
      <c r="R10" s="8">
        <f>B18*E106/1000</f>
        <v>46.205579999999998</v>
      </c>
      <c r="S10" s="8"/>
      <c r="T10" s="8">
        <f>B18*E113/1000</f>
        <v>84.564359999999994</v>
      </c>
      <c r="U10" s="8">
        <f>B18*E120/1000</f>
        <v>82.793800000000005</v>
      </c>
      <c r="V10" s="8">
        <f>B18*E127/1000</f>
        <v>90.54</v>
      </c>
      <c r="W10" s="8"/>
      <c r="X10" s="8">
        <f>B18*E134/1000</f>
        <v>44.948079999999997</v>
      </c>
      <c r="Y10" s="8">
        <f>B18*E141/1000</f>
        <v>30.18</v>
      </c>
      <c r="Z10" s="8"/>
      <c r="AA10" s="8">
        <f>B18*E148/1000</f>
        <v>33.801600000000001</v>
      </c>
      <c r="AB10" s="8">
        <f>B18*E155/1000</f>
        <v>64.323639999999997</v>
      </c>
      <c r="AC10" s="8">
        <f>B18*E162/1000</f>
        <v>41.145400000000002</v>
      </c>
      <c r="AD10" s="8">
        <f>B18*E169/1000</f>
        <v>40.551859999999998</v>
      </c>
      <c r="AE10" s="8">
        <f>B18*E176/1000</f>
        <v>3.9737</v>
      </c>
      <c r="AF10" s="8"/>
      <c r="AG10" s="8"/>
      <c r="AH10" s="8"/>
      <c r="AI10" s="8"/>
      <c r="AJ10" s="8"/>
      <c r="AK10" s="8"/>
      <c r="AL10" s="16">
        <f>SUM(E10:AK10)</f>
        <v>812.8607199999999</v>
      </c>
      <c r="AM10" s="10">
        <f>AL10-D10</f>
        <v>10.060719999999947</v>
      </c>
    </row>
    <row r="11" spans="1:40" x14ac:dyDescent="0.25">
      <c r="A11" s="26">
        <v>0.2</v>
      </c>
      <c r="B11" s="13" t="s">
        <v>4</v>
      </c>
      <c r="C11" s="15">
        <v>20230727005</v>
      </c>
      <c r="D11" s="23">
        <v>902.7</v>
      </c>
      <c r="E11" s="8"/>
      <c r="F11" s="8"/>
      <c r="G11" s="8"/>
      <c r="H11" s="8"/>
      <c r="I11" s="8"/>
      <c r="J11" s="17"/>
      <c r="K11" s="8">
        <f>$B19*$K64/1000</f>
        <v>97.91592</v>
      </c>
      <c r="L11" s="8"/>
      <c r="M11" s="8">
        <f>$B19*$K71/1000</f>
        <v>135.24252000000001</v>
      </c>
      <c r="N11" s="8">
        <f>B19*K78/1000</f>
        <v>293.58</v>
      </c>
      <c r="O11" s="8">
        <f>B19*K85/1000</f>
        <v>140.13552000000001</v>
      </c>
      <c r="P11" s="8">
        <f>B19*K92/1000</f>
        <v>100.46028</v>
      </c>
      <c r="Q11" s="8">
        <f>B19*K99/1000</f>
        <v>145.61568000000003</v>
      </c>
      <c r="R11" s="8"/>
      <c r="S11" s="8"/>
      <c r="T11" s="8"/>
      <c r="U11" s="8"/>
      <c r="V11" s="8"/>
      <c r="W11" s="8"/>
      <c r="X11" s="8">
        <f>B19*K134/1000</f>
        <v>2.7680400000000001</v>
      </c>
      <c r="Y11" s="8"/>
      <c r="Z11" s="8"/>
      <c r="AA11" s="8"/>
      <c r="AB11" s="8"/>
      <c r="AC11" s="8"/>
      <c r="AD11" s="8"/>
      <c r="AE11" s="8">
        <f>B19*K176/1000</f>
        <v>9.1988400000000006</v>
      </c>
      <c r="AF11" s="8"/>
      <c r="AG11" s="8"/>
      <c r="AH11" s="8"/>
      <c r="AI11" s="8"/>
      <c r="AJ11" s="8"/>
      <c r="AK11" s="8"/>
      <c r="AL11" s="14">
        <f>SUM(E11:AK11)</f>
        <v>924.91680000000008</v>
      </c>
      <c r="AM11" s="10">
        <f>AL11-D11</f>
        <v>22.216800000000035</v>
      </c>
    </row>
    <row r="12" spans="1:40" x14ac:dyDescent="0.25">
      <c r="A12" s="26">
        <v>0.16</v>
      </c>
      <c r="B12" s="13" t="s">
        <v>5</v>
      </c>
      <c r="C12" s="15">
        <v>20230727002</v>
      </c>
      <c r="D12" s="23">
        <v>501.5</v>
      </c>
      <c r="E12" s="8"/>
      <c r="F12" s="8"/>
      <c r="G12" s="8"/>
      <c r="H12" s="8">
        <v>14.47</v>
      </c>
      <c r="I12" s="8">
        <v>53.67</v>
      </c>
      <c r="J12" s="8">
        <v>90.93</v>
      </c>
      <c r="K12" s="8">
        <f>$B20*$P64/1000</f>
        <v>75.817820000000012</v>
      </c>
      <c r="L12" s="8"/>
      <c r="M12" s="8">
        <f>$B20*$P71/1000</f>
        <v>161.54670000000002</v>
      </c>
      <c r="N12" s="8">
        <f>B20*P78/1000</f>
        <v>148.61223000000001</v>
      </c>
      <c r="O12" s="8">
        <f>B20*P85/1000</f>
        <v>27.443260000000002</v>
      </c>
      <c r="P12" s="8"/>
      <c r="Q12" s="8"/>
      <c r="R12" s="8"/>
      <c r="S12" s="8"/>
      <c r="T12" s="8"/>
      <c r="U12" s="8"/>
      <c r="V12" s="8"/>
      <c r="W12" s="8"/>
      <c r="X12" s="8">
        <f>B20*P134/1000</f>
        <v>40.413510000000002</v>
      </c>
      <c r="Y12" s="8">
        <f>B20*P141/1000</f>
        <v>26.835000000000001</v>
      </c>
      <c r="Z12" s="8"/>
      <c r="AA12" s="8">
        <f>B20*P148/1000</f>
        <v>4.9555299999999995</v>
      </c>
      <c r="AB12" s="8"/>
      <c r="AC12" s="8">
        <f>B20*P162/1000</f>
        <v>74.010930000000002</v>
      </c>
      <c r="AD12" s="8">
        <f>B20*P169/1000</f>
        <v>23.364339999999999</v>
      </c>
      <c r="AE12" s="8"/>
      <c r="AF12" s="8"/>
      <c r="AG12" s="8"/>
      <c r="AH12" s="8"/>
      <c r="AI12" s="8"/>
      <c r="AJ12" s="8"/>
      <c r="AK12" s="8"/>
      <c r="AL12" s="14">
        <f>SUM(E12:AK12)</f>
        <v>742.06931999999995</v>
      </c>
      <c r="AM12" s="10">
        <f>AL12-D12</f>
        <v>240.56931999999995</v>
      </c>
    </row>
    <row r="13" spans="1:40" x14ac:dyDescent="0.25">
      <c r="A13" s="27">
        <v>0.08</v>
      </c>
      <c r="B13" s="13" t="s">
        <v>31</v>
      </c>
      <c r="C13" s="15">
        <v>20230809001</v>
      </c>
      <c r="D13" s="23">
        <v>502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f>B21*U134/1000</f>
        <v>2.9055</v>
      </c>
      <c r="Y13" s="8">
        <f>B21*U141/1000</f>
        <v>17.33466</v>
      </c>
      <c r="Z13" s="8"/>
      <c r="AA13" s="8">
        <f>B21*U148/1000</f>
        <v>62.307329999999993</v>
      </c>
      <c r="AB13" s="8">
        <f>B21*U155/1000</f>
        <v>59.786249999999995</v>
      </c>
      <c r="AC13" s="8">
        <f>B21*U162/1000</f>
        <v>54.426719999999996</v>
      </c>
      <c r="AD13" s="8">
        <f>B21*U169/1000</f>
        <v>48.655949999999997</v>
      </c>
      <c r="AE13" s="8">
        <f>B21*U176/1000</f>
        <v>81.944039999999987</v>
      </c>
      <c r="AF13" s="8">
        <f>B21*U183/1000</f>
        <v>13.959809999999999</v>
      </c>
      <c r="AG13" s="8"/>
      <c r="AH13" s="8">
        <f>B21*U190/1000</f>
        <v>122.03993999999999</v>
      </c>
      <c r="AI13" s="8">
        <f>B21*U197/1000</f>
        <v>50.059530000000002</v>
      </c>
      <c r="AJ13" s="8">
        <f>B21*U204/1000</f>
        <v>36.555659999999996</v>
      </c>
      <c r="AK13" s="8">
        <f>B21*U211/1000</f>
        <v>39.340469999999996</v>
      </c>
      <c r="AL13" s="16">
        <f>SUM(E13:AK13)</f>
        <v>589.31585999999993</v>
      </c>
      <c r="AM13" s="10">
        <f>AL13-D13</f>
        <v>87.31585999999993</v>
      </c>
    </row>
    <row r="16" spans="1:40" x14ac:dyDescent="0.25">
      <c r="A16" s="6" t="s">
        <v>9</v>
      </c>
      <c r="B16" s="6" t="s">
        <v>23</v>
      </c>
    </row>
    <row r="17" spans="1:25" x14ac:dyDescent="0.25">
      <c r="A17" s="18">
        <v>0.127</v>
      </c>
      <c r="B17" s="5">
        <v>0.11269999999999999</v>
      </c>
    </row>
    <row r="18" spans="1:25" x14ac:dyDescent="0.25">
      <c r="A18" s="18">
        <v>0.12</v>
      </c>
      <c r="B18" s="5">
        <v>0.10059999999999999</v>
      </c>
    </row>
    <row r="19" spans="1:25" x14ac:dyDescent="0.25">
      <c r="A19" s="18">
        <v>0.2</v>
      </c>
      <c r="B19" s="5">
        <v>0.27960000000000002</v>
      </c>
    </row>
    <row r="20" spans="1:25" x14ac:dyDescent="0.25">
      <c r="A20" s="18">
        <v>0.16</v>
      </c>
      <c r="B20" s="5">
        <v>0.1789</v>
      </c>
      <c r="J20" s="1"/>
    </row>
    <row r="21" spans="1:25" x14ac:dyDescent="0.25">
      <c r="A21" s="18">
        <v>0.08</v>
      </c>
      <c r="B21" s="5">
        <v>4.4699999999999997E-2</v>
      </c>
      <c r="J21" s="1"/>
    </row>
    <row r="22" spans="1:25" x14ac:dyDescent="0.25">
      <c r="A22" s="7"/>
      <c r="B22" s="7"/>
      <c r="J22" s="1"/>
    </row>
    <row r="23" spans="1:25" x14ac:dyDescent="0.25">
      <c r="A23" s="7"/>
      <c r="B23" s="7"/>
      <c r="J23" s="1"/>
    </row>
    <row r="24" spans="1:25" x14ac:dyDescent="0.25">
      <c r="A24" s="7"/>
      <c r="B24" s="7"/>
      <c r="J24" s="1"/>
    </row>
    <row r="25" spans="1:25" ht="15" customHeight="1" x14ac:dyDescent="0.25">
      <c r="A25" s="73" t="s">
        <v>7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</row>
    <row r="26" spans="1:25" ht="15" customHeight="1" x14ac:dyDescent="0.2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</row>
    <row r="27" spans="1:25" x14ac:dyDescent="0.25">
      <c r="A27" s="71" t="s">
        <v>8</v>
      </c>
      <c r="B27" s="71" t="s">
        <v>11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5" x14ac:dyDescent="0.25">
      <c r="A28" s="71"/>
      <c r="B28" s="72">
        <v>0.127</v>
      </c>
      <c r="C28" s="72"/>
      <c r="D28" s="72"/>
      <c r="E28" s="72">
        <v>0.12</v>
      </c>
      <c r="F28" s="72"/>
      <c r="G28" s="72"/>
      <c r="H28" s="72"/>
      <c r="I28" s="72"/>
      <c r="J28" s="72"/>
      <c r="K28" s="72">
        <v>0.2</v>
      </c>
      <c r="L28" s="72"/>
      <c r="M28" s="72"/>
      <c r="N28" s="72"/>
      <c r="O28" s="72"/>
      <c r="P28" s="72">
        <v>0.16</v>
      </c>
      <c r="Q28" s="72"/>
      <c r="R28" s="72"/>
      <c r="S28" s="72"/>
      <c r="T28" s="72"/>
      <c r="U28" s="78">
        <v>0.08</v>
      </c>
      <c r="V28" s="78"/>
      <c r="W28" s="78"/>
      <c r="X28" s="78"/>
      <c r="Y28" s="78"/>
    </row>
    <row r="29" spans="1:25" x14ac:dyDescent="0.25">
      <c r="A29" s="71"/>
      <c r="B29" s="71" t="s">
        <v>12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</row>
    <row r="30" spans="1:25" ht="15" customHeight="1" x14ac:dyDescent="0.25">
      <c r="A30" s="49">
        <v>45139</v>
      </c>
      <c r="B30" s="51"/>
      <c r="C30" s="51"/>
      <c r="D30" s="51"/>
      <c r="E30" s="52" t="s">
        <v>17</v>
      </c>
      <c r="F30" s="53"/>
      <c r="G30" s="53"/>
      <c r="H30" s="53"/>
      <c r="I30" s="53"/>
      <c r="J30" s="54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</row>
    <row r="31" spans="1:25" x14ac:dyDescent="0.25">
      <c r="A31" s="50"/>
      <c r="B31" s="51"/>
      <c r="C31" s="51"/>
      <c r="D31" s="51"/>
      <c r="E31" s="55"/>
      <c r="F31" s="56"/>
      <c r="G31" s="56"/>
      <c r="H31" s="56"/>
      <c r="I31" s="56"/>
      <c r="J31" s="57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</row>
    <row r="32" spans="1:25" x14ac:dyDescent="0.25">
      <c r="A32" s="50"/>
      <c r="B32" s="51"/>
      <c r="C32" s="51"/>
      <c r="D32" s="51"/>
      <c r="E32" s="55"/>
      <c r="F32" s="56"/>
      <c r="G32" s="56"/>
      <c r="H32" s="56"/>
      <c r="I32" s="56"/>
      <c r="J32" s="57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</row>
    <row r="33" spans="1:25" x14ac:dyDescent="0.25">
      <c r="A33" s="50"/>
      <c r="B33" s="51"/>
      <c r="C33" s="51"/>
      <c r="D33" s="51"/>
      <c r="E33" s="55"/>
      <c r="F33" s="56"/>
      <c r="G33" s="56"/>
      <c r="H33" s="56"/>
      <c r="I33" s="56"/>
      <c r="J33" s="57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</row>
    <row r="34" spans="1:25" x14ac:dyDescent="0.25">
      <c r="A34" s="50"/>
      <c r="B34" s="51"/>
      <c r="C34" s="51"/>
      <c r="D34" s="51"/>
      <c r="E34" s="55"/>
      <c r="F34" s="56"/>
      <c r="G34" s="56"/>
      <c r="H34" s="56"/>
      <c r="I34" s="56"/>
      <c r="J34" s="57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</row>
    <row r="35" spans="1:25" x14ac:dyDescent="0.25">
      <c r="A35" s="50"/>
      <c r="B35" s="51"/>
      <c r="C35" s="51"/>
      <c r="D35" s="51"/>
      <c r="E35" s="58"/>
      <c r="F35" s="59"/>
      <c r="G35" s="59"/>
      <c r="H35" s="59"/>
      <c r="I35" s="59"/>
      <c r="J35" s="60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</row>
    <row r="36" spans="1:25" x14ac:dyDescent="0.25">
      <c r="A36" s="4" t="s">
        <v>10</v>
      </c>
      <c r="B36" s="61"/>
      <c r="C36" s="61"/>
      <c r="D36" s="61"/>
      <c r="E36" s="62">
        <f>SUM(150000 + 61300 + 1900 + 150000 + 150000 + 60700 + 3000 + 5800 + 2500 + 12700)</f>
        <v>597900</v>
      </c>
      <c r="F36" s="63"/>
      <c r="G36" s="63"/>
      <c r="H36" s="63"/>
      <c r="I36" s="63"/>
      <c r="J36" s="64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5"/>
      <c r="V36" s="65"/>
      <c r="W36" s="65"/>
      <c r="X36" s="65"/>
      <c r="Y36" s="65"/>
    </row>
    <row r="37" spans="1:25" ht="15" customHeight="1" x14ac:dyDescent="0.25">
      <c r="A37" s="49">
        <v>45140</v>
      </c>
      <c r="B37" s="51" t="s">
        <v>15</v>
      </c>
      <c r="C37" s="51"/>
      <c r="D37" s="51"/>
      <c r="E37" s="52" t="s">
        <v>13</v>
      </c>
      <c r="F37" s="53"/>
      <c r="G37" s="53"/>
      <c r="H37" s="53"/>
      <c r="I37" s="53"/>
      <c r="J37" s="54"/>
      <c r="K37" s="51"/>
      <c r="L37" s="51"/>
      <c r="M37" s="51"/>
      <c r="N37" s="51"/>
      <c r="O37" s="51"/>
      <c r="P37" s="51">
        <v>80900</v>
      </c>
      <c r="Q37" s="51"/>
      <c r="R37" s="51"/>
      <c r="S37" s="51"/>
      <c r="T37" s="51"/>
      <c r="U37" s="51"/>
      <c r="V37" s="51"/>
      <c r="W37" s="51"/>
      <c r="X37" s="51"/>
      <c r="Y37" s="51"/>
    </row>
    <row r="38" spans="1:25" x14ac:dyDescent="0.25">
      <c r="A38" s="50"/>
      <c r="B38" s="51"/>
      <c r="C38" s="51"/>
      <c r="D38" s="51"/>
      <c r="E38" s="55"/>
      <c r="F38" s="56"/>
      <c r="G38" s="56"/>
      <c r="H38" s="56"/>
      <c r="I38" s="56"/>
      <c r="J38" s="57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</row>
    <row r="39" spans="1:25" x14ac:dyDescent="0.25">
      <c r="A39" s="50"/>
      <c r="B39" s="51"/>
      <c r="C39" s="51"/>
      <c r="D39" s="51"/>
      <c r="E39" s="55"/>
      <c r="F39" s="56"/>
      <c r="G39" s="56"/>
      <c r="H39" s="56"/>
      <c r="I39" s="56"/>
      <c r="J39" s="57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</row>
    <row r="40" spans="1:25" x14ac:dyDescent="0.25">
      <c r="A40" s="50"/>
      <c r="B40" s="51"/>
      <c r="C40" s="51"/>
      <c r="D40" s="51"/>
      <c r="E40" s="55"/>
      <c r="F40" s="56"/>
      <c r="G40" s="56"/>
      <c r="H40" s="56"/>
      <c r="I40" s="56"/>
      <c r="J40" s="57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</row>
    <row r="41" spans="1:25" x14ac:dyDescent="0.25">
      <c r="A41" s="50"/>
      <c r="B41" s="51"/>
      <c r="C41" s="51"/>
      <c r="D41" s="51"/>
      <c r="E41" s="55"/>
      <c r="F41" s="56"/>
      <c r="G41" s="56"/>
      <c r="H41" s="56"/>
      <c r="I41" s="56"/>
      <c r="J41" s="57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  <row r="42" spans="1:25" x14ac:dyDescent="0.25">
      <c r="A42" s="50"/>
      <c r="B42" s="51"/>
      <c r="C42" s="51"/>
      <c r="D42" s="51"/>
      <c r="E42" s="58"/>
      <c r="F42" s="59"/>
      <c r="G42" s="59"/>
      <c r="H42" s="59"/>
      <c r="I42" s="59"/>
      <c r="J42" s="60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</row>
    <row r="43" spans="1:25" x14ac:dyDescent="0.25">
      <c r="A43" s="4" t="s">
        <v>10</v>
      </c>
      <c r="B43" s="61">
        <f>SUM(43400 + 74200 + 4600)</f>
        <v>122200</v>
      </c>
      <c r="C43" s="61"/>
      <c r="D43" s="61"/>
      <c r="E43" s="62">
        <f>SUM(3400 + 72300)</f>
        <v>75700</v>
      </c>
      <c r="F43" s="63"/>
      <c r="G43" s="63"/>
      <c r="H43" s="63"/>
      <c r="I43" s="63"/>
      <c r="J43" s="64"/>
      <c r="K43" s="61"/>
      <c r="L43" s="61"/>
      <c r="M43" s="61"/>
      <c r="N43" s="61"/>
      <c r="O43" s="61"/>
      <c r="P43" s="61">
        <f>SUM(80900)</f>
        <v>80900</v>
      </c>
      <c r="Q43" s="61"/>
      <c r="R43" s="61"/>
      <c r="S43" s="61"/>
      <c r="T43" s="61"/>
      <c r="U43" s="65"/>
      <c r="V43" s="65"/>
      <c r="W43" s="65"/>
      <c r="X43" s="65"/>
      <c r="Y43" s="65"/>
    </row>
    <row r="44" spans="1:25" ht="15" customHeight="1" x14ac:dyDescent="0.25">
      <c r="A44" s="49">
        <v>45141</v>
      </c>
      <c r="B44" s="51" t="s">
        <v>18</v>
      </c>
      <c r="C44" s="51"/>
      <c r="D44" s="51"/>
      <c r="E44" s="52" t="s">
        <v>14</v>
      </c>
      <c r="F44" s="53"/>
      <c r="G44" s="53"/>
      <c r="H44" s="53"/>
      <c r="I44" s="53"/>
      <c r="J44" s="54"/>
      <c r="K44" s="51"/>
      <c r="L44" s="51"/>
      <c r="M44" s="51"/>
      <c r="N44" s="51"/>
      <c r="O44" s="51"/>
      <c r="P44" s="51" t="s">
        <v>16</v>
      </c>
      <c r="Q44" s="51"/>
      <c r="R44" s="51"/>
      <c r="S44" s="51"/>
      <c r="T44" s="51"/>
      <c r="U44" s="51"/>
      <c r="V44" s="51"/>
      <c r="W44" s="51"/>
      <c r="X44" s="51"/>
      <c r="Y44" s="51"/>
    </row>
    <row r="45" spans="1:25" x14ac:dyDescent="0.25">
      <c r="A45" s="50"/>
      <c r="B45" s="51"/>
      <c r="C45" s="51"/>
      <c r="D45" s="51"/>
      <c r="E45" s="55"/>
      <c r="F45" s="56"/>
      <c r="G45" s="56"/>
      <c r="H45" s="56"/>
      <c r="I45" s="56"/>
      <c r="J45" s="57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</row>
    <row r="46" spans="1:25" x14ac:dyDescent="0.25">
      <c r="A46" s="50"/>
      <c r="B46" s="51"/>
      <c r="C46" s="51"/>
      <c r="D46" s="51"/>
      <c r="E46" s="55"/>
      <c r="F46" s="56"/>
      <c r="G46" s="56"/>
      <c r="H46" s="56"/>
      <c r="I46" s="56"/>
      <c r="J46" s="57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</row>
    <row r="47" spans="1:25" x14ac:dyDescent="0.25">
      <c r="A47" s="50"/>
      <c r="B47" s="51"/>
      <c r="C47" s="51"/>
      <c r="D47" s="51"/>
      <c r="E47" s="55"/>
      <c r="F47" s="56"/>
      <c r="G47" s="56"/>
      <c r="H47" s="56"/>
      <c r="I47" s="56"/>
      <c r="J47" s="57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</row>
    <row r="48" spans="1:25" x14ac:dyDescent="0.25">
      <c r="A48" s="50"/>
      <c r="B48" s="51"/>
      <c r="C48" s="51"/>
      <c r="D48" s="51"/>
      <c r="E48" s="55"/>
      <c r="F48" s="56"/>
      <c r="G48" s="56"/>
      <c r="H48" s="56"/>
      <c r="I48" s="56"/>
      <c r="J48" s="57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</row>
    <row r="49" spans="1:25" x14ac:dyDescent="0.25">
      <c r="A49" s="50"/>
      <c r="B49" s="51"/>
      <c r="C49" s="51"/>
      <c r="D49" s="51"/>
      <c r="E49" s="58"/>
      <c r="F49" s="59"/>
      <c r="G49" s="59"/>
      <c r="H49" s="59"/>
      <c r="I49" s="59"/>
      <c r="J49" s="60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</row>
    <row r="50" spans="1:25" x14ac:dyDescent="0.25">
      <c r="A50" s="4" t="s">
        <v>10</v>
      </c>
      <c r="B50" s="61">
        <f>SUM(46800 + 150200 + 150000 + 24900)</f>
        <v>371900</v>
      </c>
      <c r="C50" s="61"/>
      <c r="D50" s="61"/>
      <c r="E50" s="62">
        <f>SUM(150000 + 51800 + 1390)</f>
        <v>203190</v>
      </c>
      <c r="F50" s="63"/>
      <c r="G50" s="63"/>
      <c r="H50" s="63"/>
      <c r="I50" s="63"/>
      <c r="J50" s="64"/>
      <c r="K50" s="61"/>
      <c r="L50" s="61"/>
      <c r="M50" s="61"/>
      <c r="N50" s="61"/>
      <c r="O50" s="61"/>
      <c r="P50" s="61">
        <f>SUM(150000 + 150000)</f>
        <v>300000</v>
      </c>
      <c r="Q50" s="61"/>
      <c r="R50" s="61"/>
      <c r="S50" s="61"/>
      <c r="T50" s="61"/>
      <c r="U50" s="65"/>
      <c r="V50" s="65"/>
      <c r="W50" s="65"/>
      <c r="X50" s="65"/>
      <c r="Y50" s="65"/>
    </row>
    <row r="51" spans="1:25" ht="15" customHeight="1" x14ac:dyDescent="0.25">
      <c r="A51" s="49">
        <v>45142</v>
      </c>
      <c r="B51" s="51" t="s">
        <v>19</v>
      </c>
      <c r="C51" s="51"/>
      <c r="D51" s="51"/>
      <c r="E51" s="52" t="s">
        <v>24</v>
      </c>
      <c r="F51" s="53"/>
      <c r="G51" s="53"/>
      <c r="H51" s="53"/>
      <c r="I51" s="53"/>
      <c r="J51" s="54"/>
      <c r="K51" s="51"/>
      <c r="L51" s="51"/>
      <c r="M51" s="51"/>
      <c r="N51" s="51"/>
      <c r="O51" s="51"/>
      <c r="P51" s="51" t="s">
        <v>20</v>
      </c>
      <c r="Q51" s="51"/>
      <c r="R51" s="51"/>
      <c r="S51" s="51"/>
      <c r="T51" s="51"/>
      <c r="U51" s="51"/>
      <c r="V51" s="51"/>
      <c r="W51" s="51"/>
      <c r="X51" s="51"/>
      <c r="Y51" s="51"/>
    </row>
    <row r="52" spans="1:25" x14ac:dyDescent="0.25">
      <c r="A52" s="50"/>
      <c r="B52" s="51"/>
      <c r="C52" s="51"/>
      <c r="D52" s="51"/>
      <c r="E52" s="55"/>
      <c r="F52" s="56"/>
      <c r="G52" s="56"/>
      <c r="H52" s="56"/>
      <c r="I52" s="56"/>
      <c r="J52" s="57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</row>
    <row r="53" spans="1:25" x14ac:dyDescent="0.25">
      <c r="A53" s="50"/>
      <c r="B53" s="51"/>
      <c r="C53" s="51"/>
      <c r="D53" s="51"/>
      <c r="E53" s="55"/>
      <c r="F53" s="56"/>
      <c r="G53" s="56"/>
      <c r="H53" s="56"/>
      <c r="I53" s="56"/>
      <c r="J53" s="57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</row>
    <row r="54" spans="1:25" x14ac:dyDescent="0.25">
      <c r="A54" s="50"/>
      <c r="B54" s="51"/>
      <c r="C54" s="51"/>
      <c r="D54" s="51"/>
      <c r="E54" s="55"/>
      <c r="F54" s="56"/>
      <c r="G54" s="56"/>
      <c r="H54" s="56"/>
      <c r="I54" s="56"/>
      <c r="J54" s="57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</row>
    <row r="55" spans="1:25" x14ac:dyDescent="0.25">
      <c r="A55" s="50"/>
      <c r="B55" s="51"/>
      <c r="C55" s="51"/>
      <c r="D55" s="51"/>
      <c r="E55" s="55"/>
      <c r="F55" s="56"/>
      <c r="G55" s="56"/>
      <c r="H55" s="56"/>
      <c r="I55" s="56"/>
      <c r="J55" s="57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</row>
    <row r="56" spans="1:25" x14ac:dyDescent="0.25">
      <c r="A56" s="50"/>
      <c r="B56" s="51"/>
      <c r="C56" s="51"/>
      <c r="D56" s="51"/>
      <c r="E56" s="58"/>
      <c r="F56" s="59"/>
      <c r="G56" s="59"/>
      <c r="H56" s="59"/>
      <c r="I56" s="59"/>
      <c r="J56" s="60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</row>
    <row r="57" spans="1:25" x14ac:dyDescent="0.25">
      <c r="A57" s="4" t="s">
        <v>10</v>
      </c>
      <c r="B57" s="71">
        <f>SUM(9400 + 150000 + 27800 + 150000 + 150000 + 150000)</f>
        <v>637200</v>
      </c>
      <c r="C57" s="71"/>
      <c r="D57" s="71"/>
      <c r="E57" s="62">
        <f>SUM(144500 + 28700 + 4100 + 3300 + 150200 + 3400 + 68200 + 150000)</f>
        <v>552400</v>
      </c>
      <c r="F57" s="63"/>
      <c r="G57" s="63"/>
      <c r="H57" s="63"/>
      <c r="I57" s="63"/>
      <c r="J57" s="64"/>
      <c r="K57" s="61"/>
      <c r="L57" s="61"/>
      <c r="M57" s="61"/>
      <c r="N57" s="61"/>
      <c r="O57" s="61"/>
      <c r="P57" s="61">
        <f>SUM(150000 + 57800 + 150200 + 150300)</f>
        <v>508300</v>
      </c>
      <c r="Q57" s="61"/>
      <c r="R57" s="61"/>
      <c r="S57" s="61"/>
      <c r="T57" s="61"/>
      <c r="U57" s="65"/>
      <c r="V57" s="65"/>
      <c r="W57" s="65"/>
      <c r="X57" s="65"/>
      <c r="Y57" s="65"/>
    </row>
    <row r="58" spans="1:25" x14ac:dyDescent="0.25">
      <c r="A58" s="49">
        <v>45143</v>
      </c>
      <c r="B58" s="51"/>
      <c r="C58" s="51"/>
      <c r="D58" s="51"/>
      <c r="E58" s="52"/>
      <c r="F58" s="53"/>
      <c r="G58" s="53"/>
      <c r="H58" s="53"/>
      <c r="I58" s="53"/>
      <c r="J58" s="54"/>
      <c r="K58" s="51" t="s">
        <v>22</v>
      </c>
      <c r="L58" s="51"/>
      <c r="M58" s="51"/>
      <c r="N58" s="51"/>
      <c r="O58" s="51"/>
      <c r="P58" s="51" t="s">
        <v>21</v>
      </c>
      <c r="Q58" s="51"/>
      <c r="R58" s="51"/>
      <c r="S58" s="51"/>
      <c r="T58" s="51"/>
      <c r="U58" s="51"/>
      <c r="V58" s="51"/>
      <c r="W58" s="51"/>
      <c r="X58" s="51"/>
      <c r="Y58" s="51"/>
    </row>
    <row r="59" spans="1:25" x14ac:dyDescent="0.25">
      <c r="A59" s="50"/>
      <c r="B59" s="51"/>
      <c r="C59" s="51"/>
      <c r="D59" s="51"/>
      <c r="E59" s="55"/>
      <c r="F59" s="56"/>
      <c r="G59" s="56"/>
      <c r="H59" s="56"/>
      <c r="I59" s="56"/>
      <c r="J59" s="57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</row>
    <row r="60" spans="1:25" x14ac:dyDescent="0.25">
      <c r="A60" s="50"/>
      <c r="B60" s="51"/>
      <c r="C60" s="51"/>
      <c r="D60" s="51"/>
      <c r="E60" s="55"/>
      <c r="F60" s="56"/>
      <c r="G60" s="56"/>
      <c r="H60" s="56"/>
      <c r="I60" s="56"/>
      <c r="J60" s="57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</row>
    <row r="61" spans="1:25" x14ac:dyDescent="0.25">
      <c r="A61" s="50"/>
      <c r="B61" s="51"/>
      <c r="C61" s="51"/>
      <c r="D61" s="51"/>
      <c r="E61" s="55"/>
      <c r="F61" s="56"/>
      <c r="G61" s="56"/>
      <c r="H61" s="56"/>
      <c r="I61" s="56"/>
      <c r="J61" s="57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</row>
    <row r="62" spans="1:25" x14ac:dyDescent="0.25">
      <c r="A62" s="50"/>
      <c r="B62" s="51"/>
      <c r="C62" s="51"/>
      <c r="D62" s="51"/>
      <c r="E62" s="55"/>
      <c r="F62" s="56"/>
      <c r="G62" s="56"/>
      <c r="H62" s="56"/>
      <c r="I62" s="56"/>
      <c r="J62" s="57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</row>
    <row r="63" spans="1:25" x14ac:dyDescent="0.25">
      <c r="A63" s="50"/>
      <c r="B63" s="51"/>
      <c r="C63" s="51"/>
      <c r="D63" s="51"/>
      <c r="E63" s="58"/>
      <c r="F63" s="59"/>
      <c r="G63" s="59"/>
      <c r="H63" s="59"/>
      <c r="I63" s="59"/>
      <c r="J63" s="60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</row>
    <row r="64" spans="1:25" x14ac:dyDescent="0.25">
      <c r="A64" s="4" t="s">
        <v>10</v>
      </c>
      <c r="B64" s="61"/>
      <c r="C64" s="61"/>
      <c r="D64" s="61"/>
      <c r="E64" s="62"/>
      <c r="F64" s="63"/>
      <c r="G64" s="63"/>
      <c r="H64" s="63"/>
      <c r="I64" s="63"/>
      <c r="J64" s="64"/>
      <c r="K64" s="61">
        <f>SUM(6900 + 150000 + 43300 + 150000)</f>
        <v>350200</v>
      </c>
      <c r="L64" s="61"/>
      <c r="M64" s="61"/>
      <c r="N64" s="61"/>
      <c r="O64" s="61"/>
      <c r="P64" s="61">
        <f>SUM(150000 + 150000 + 123800)</f>
        <v>423800</v>
      </c>
      <c r="Q64" s="61"/>
      <c r="R64" s="61"/>
      <c r="S64" s="61"/>
      <c r="T64" s="61"/>
      <c r="U64" s="65"/>
      <c r="V64" s="65"/>
      <c r="W64" s="65"/>
      <c r="X64" s="65"/>
      <c r="Y64" s="65"/>
    </row>
    <row r="65" spans="1:25" x14ac:dyDescent="0.25">
      <c r="A65" s="49">
        <v>45145</v>
      </c>
      <c r="B65" s="51"/>
      <c r="C65" s="51"/>
      <c r="D65" s="51"/>
      <c r="E65" s="52"/>
      <c r="F65" s="53"/>
      <c r="G65" s="53"/>
      <c r="H65" s="53"/>
      <c r="I65" s="53"/>
      <c r="J65" s="54"/>
      <c r="K65" s="51" t="s">
        <v>26</v>
      </c>
      <c r="L65" s="51"/>
      <c r="M65" s="51"/>
      <c r="N65" s="51"/>
      <c r="O65" s="51"/>
      <c r="P65" s="51" t="s">
        <v>25</v>
      </c>
      <c r="Q65" s="51"/>
      <c r="R65" s="51"/>
      <c r="S65" s="51"/>
      <c r="T65" s="51"/>
      <c r="U65" s="51"/>
      <c r="V65" s="51"/>
      <c r="W65" s="51"/>
      <c r="X65" s="51"/>
      <c r="Y65" s="51"/>
    </row>
    <row r="66" spans="1:25" x14ac:dyDescent="0.25">
      <c r="A66" s="50"/>
      <c r="B66" s="51"/>
      <c r="C66" s="51"/>
      <c r="D66" s="51"/>
      <c r="E66" s="55"/>
      <c r="F66" s="56"/>
      <c r="G66" s="56"/>
      <c r="H66" s="56"/>
      <c r="I66" s="56"/>
      <c r="J66" s="57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</row>
    <row r="67" spans="1:25" x14ac:dyDescent="0.25">
      <c r="A67" s="50"/>
      <c r="B67" s="51"/>
      <c r="C67" s="51"/>
      <c r="D67" s="51"/>
      <c r="E67" s="55"/>
      <c r="F67" s="56"/>
      <c r="G67" s="56"/>
      <c r="H67" s="56"/>
      <c r="I67" s="56"/>
      <c r="J67" s="57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</row>
    <row r="68" spans="1:25" x14ac:dyDescent="0.25">
      <c r="A68" s="50"/>
      <c r="B68" s="51"/>
      <c r="C68" s="51"/>
      <c r="D68" s="51"/>
      <c r="E68" s="55"/>
      <c r="F68" s="56"/>
      <c r="G68" s="56"/>
      <c r="H68" s="56"/>
      <c r="I68" s="56"/>
      <c r="J68" s="57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</row>
    <row r="69" spans="1:25" x14ac:dyDescent="0.25">
      <c r="A69" s="50"/>
      <c r="B69" s="51"/>
      <c r="C69" s="51"/>
      <c r="D69" s="51"/>
      <c r="E69" s="55"/>
      <c r="F69" s="56"/>
      <c r="G69" s="56"/>
      <c r="H69" s="56"/>
      <c r="I69" s="56"/>
      <c r="J69" s="57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</row>
    <row r="70" spans="1:25" x14ac:dyDescent="0.25">
      <c r="A70" s="50"/>
      <c r="B70" s="51"/>
      <c r="C70" s="51"/>
      <c r="D70" s="51"/>
      <c r="E70" s="58"/>
      <c r="F70" s="59"/>
      <c r="G70" s="59"/>
      <c r="H70" s="59"/>
      <c r="I70" s="59"/>
      <c r="J70" s="60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</row>
    <row r="71" spans="1:25" x14ac:dyDescent="0.25">
      <c r="A71" s="4" t="s">
        <v>10</v>
      </c>
      <c r="B71" s="61"/>
      <c r="C71" s="61"/>
      <c r="D71" s="61"/>
      <c r="E71" s="62"/>
      <c r="F71" s="63"/>
      <c r="G71" s="63"/>
      <c r="H71" s="63"/>
      <c r="I71" s="63"/>
      <c r="J71" s="64"/>
      <c r="K71" s="61">
        <f>SUM(25000 + 150000 + 3000 + 150000 + 5700 + 150000)</f>
        <v>483700</v>
      </c>
      <c r="L71" s="61"/>
      <c r="M71" s="61"/>
      <c r="N71" s="61"/>
      <c r="O71" s="61"/>
      <c r="P71" s="61">
        <f>SUM(150000 + 150000 + 150000 + 3000 + 150000 + 150000 + 150000)</f>
        <v>903000</v>
      </c>
      <c r="Q71" s="61"/>
      <c r="R71" s="61"/>
      <c r="S71" s="61"/>
      <c r="T71" s="61"/>
      <c r="U71" s="65"/>
      <c r="V71" s="65"/>
      <c r="W71" s="65"/>
      <c r="X71" s="65"/>
      <c r="Y71" s="65"/>
    </row>
    <row r="72" spans="1:25" x14ac:dyDescent="0.25">
      <c r="A72" s="49">
        <v>45146</v>
      </c>
      <c r="B72" s="51"/>
      <c r="C72" s="51"/>
      <c r="D72" s="51"/>
      <c r="E72" s="52"/>
      <c r="F72" s="53"/>
      <c r="G72" s="53"/>
      <c r="H72" s="53"/>
      <c r="I72" s="53"/>
      <c r="J72" s="54"/>
      <c r="K72" s="51" t="s">
        <v>27</v>
      </c>
      <c r="L72" s="51"/>
      <c r="M72" s="51"/>
      <c r="N72" s="51"/>
      <c r="O72" s="51"/>
      <c r="P72" s="51" t="s">
        <v>28</v>
      </c>
      <c r="Q72" s="51"/>
      <c r="R72" s="51"/>
      <c r="S72" s="51"/>
      <c r="T72" s="51"/>
      <c r="U72" s="51"/>
      <c r="V72" s="51"/>
      <c r="W72" s="51"/>
      <c r="X72" s="51"/>
      <c r="Y72" s="51"/>
    </row>
    <row r="73" spans="1:25" x14ac:dyDescent="0.25">
      <c r="A73" s="50"/>
      <c r="B73" s="51"/>
      <c r="C73" s="51"/>
      <c r="D73" s="51"/>
      <c r="E73" s="55"/>
      <c r="F73" s="56"/>
      <c r="G73" s="56"/>
      <c r="H73" s="56"/>
      <c r="I73" s="56"/>
      <c r="J73" s="57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</row>
    <row r="74" spans="1:25" x14ac:dyDescent="0.25">
      <c r="A74" s="50"/>
      <c r="B74" s="51"/>
      <c r="C74" s="51"/>
      <c r="D74" s="51"/>
      <c r="E74" s="55"/>
      <c r="F74" s="56"/>
      <c r="G74" s="56"/>
      <c r="H74" s="56"/>
      <c r="I74" s="56"/>
      <c r="J74" s="57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</row>
    <row r="75" spans="1:25" x14ac:dyDescent="0.25">
      <c r="A75" s="50"/>
      <c r="B75" s="51"/>
      <c r="C75" s="51"/>
      <c r="D75" s="51"/>
      <c r="E75" s="55"/>
      <c r="F75" s="56"/>
      <c r="G75" s="56"/>
      <c r="H75" s="56"/>
      <c r="I75" s="56"/>
      <c r="J75" s="57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</row>
    <row r="76" spans="1:25" x14ac:dyDescent="0.25">
      <c r="A76" s="50"/>
      <c r="B76" s="51"/>
      <c r="C76" s="51"/>
      <c r="D76" s="51"/>
      <c r="E76" s="55"/>
      <c r="F76" s="56"/>
      <c r="G76" s="56"/>
      <c r="H76" s="56"/>
      <c r="I76" s="56"/>
      <c r="J76" s="57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</row>
    <row r="77" spans="1:25" x14ac:dyDescent="0.25">
      <c r="A77" s="50"/>
      <c r="B77" s="51"/>
      <c r="C77" s="51"/>
      <c r="D77" s="51"/>
      <c r="E77" s="58"/>
      <c r="F77" s="59"/>
      <c r="G77" s="59"/>
      <c r="H77" s="59"/>
      <c r="I77" s="59"/>
      <c r="J77" s="60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</row>
    <row r="78" spans="1:25" x14ac:dyDescent="0.25">
      <c r="A78" s="4" t="s">
        <v>10</v>
      </c>
      <c r="B78" s="61"/>
      <c r="C78" s="61"/>
      <c r="D78" s="61"/>
      <c r="E78" s="62"/>
      <c r="F78" s="63"/>
      <c r="G78" s="63"/>
      <c r="H78" s="63"/>
      <c r="I78" s="63"/>
      <c r="J78" s="64"/>
      <c r="K78" s="61">
        <f>SUM(150000 + 150000 + 150000 + 150000 + 150000 + 150000 + 150000)</f>
        <v>1050000</v>
      </c>
      <c r="L78" s="61"/>
      <c r="M78" s="61"/>
      <c r="N78" s="61"/>
      <c r="O78" s="61"/>
      <c r="P78" s="61">
        <f>SUM(150000 + 110500 + 150000 + 150000 + 150000 + 120200)</f>
        <v>830700</v>
      </c>
      <c r="Q78" s="61"/>
      <c r="R78" s="61"/>
      <c r="S78" s="61"/>
      <c r="T78" s="61"/>
      <c r="U78" s="65"/>
      <c r="V78" s="65"/>
      <c r="W78" s="65"/>
      <c r="X78" s="65"/>
      <c r="Y78" s="65"/>
    </row>
    <row r="79" spans="1:25" ht="15" customHeight="1" x14ac:dyDescent="0.25">
      <c r="A79" s="49">
        <v>45147</v>
      </c>
      <c r="B79" s="51">
        <v>82700</v>
      </c>
      <c r="C79" s="51"/>
      <c r="D79" s="51"/>
      <c r="E79" s="52" t="s">
        <v>35</v>
      </c>
      <c r="F79" s="53"/>
      <c r="G79" s="53"/>
      <c r="H79" s="53"/>
      <c r="I79" s="53"/>
      <c r="J79" s="54"/>
      <c r="K79" s="51" t="s">
        <v>34</v>
      </c>
      <c r="L79" s="51"/>
      <c r="M79" s="51"/>
      <c r="N79" s="51"/>
      <c r="O79" s="51"/>
      <c r="P79" s="51" t="s">
        <v>33</v>
      </c>
      <c r="Q79" s="51"/>
      <c r="R79" s="51"/>
      <c r="S79" s="51"/>
      <c r="T79" s="51"/>
      <c r="U79" s="51"/>
      <c r="V79" s="51"/>
      <c r="W79" s="51"/>
      <c r="X79" s="51"/>
      <c r="Y79" s="51"/>
    </row>
    <row r="80" spans="1:25" x14ac:dyDescent="0.25">
      <c r="A80" s="50"/>
      <c r="B80" s="51"/>
      <c r="C80" s="51"/>
      <c r="D80" s="51"/>
      <c r="E80" s="55"/>
      <c r="F80" s="56"/>
      <c r="G80" s="56"/>
      <c r="H80" s="56"/>
      <c r="I80" s="56"/>
      <c r="J80" s="57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</row>
    <row r="81" spans="1:25" x14ac:dyDescent="0.25">
      <c r="A81" s="50"/>
      <c r="B81" s="51"/>
      <c r="C81" s="51"/>
      <c r="D81" s="51"/>
      <c r="E81" s="55"/>
      <c r="F81" s="56"/>
      <c r="G81" s="56"/>
      <c r="H81" s="56"/>
      <c r="I81" s="56"/>
      <c r="J81" s="57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</row>
    <row r="82" spans="1:25" x14ac:dyDescent="0.25">
      <c r="A82" s="50"/>
      <c r="B82" s="51"/>
      <c r="C82" s="51"/>
      <c r="D82" s="51"/>
      <c r="E82" s="55"/>
      <c r="F82" s="56"/>
      <c r="G82" s="56"/>
      <c r="H82" s="56"/>
      <c r="I82" s="56"/>
      <c r="J82" s="57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</row>
    <row r="83" spans="1:25" x14ac:dyDescent="0.25">
      <c r="A83" s="50"/>
      <c r="B83" s="51"/>
      <c r="C83" s="51"/>
      <c r="D83" s="51"/>
      <c r="E83" s="55"/>
      <c r="F83" s="56"/>
      <c r="G83" s="56"/>
      <c r="H83" s="56"/>
      <c r="I83" s="56"/>
      <c r="J83" s="57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</row>
    <row r="84" spans="1:25" x14ac:dyDescent="0.25">
      <c r="A84" s="50"/>
      <c r="B84" s="51"/>
      <c r="C84" s="51"/>
      <c r="D84" s="51"/>
      <c r="E84" s="58"/>
      <c r="F84" s="59"/>
      <c r="G84" s="59"/>
      <c r="H84" s="59"/>
      <c r="I84" s="59"/>
      <c r="J84" s="60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</row>
    <row r="85" spans="1:25" x14ac:dyDescent="0.25">
      <c r="A85" s="4" t="s">
        <v>10</v>
      </c>
      <c r="B85" s="61">
        <f>SUM(82700)</f>
        <v>82700</v>
      </c>
      <c r="C85" s="61"/>
      <c r="D85" s="61"/>
      <c r="E85" s="62">
        <f>SUM(2700 + 10600 + 150000 + 150000)</f>
        <v>313300</v>
      </c>
      <c r="F85" s="63"/>
      <c r="G85" s="63"/>
      <c r="H85" s="63"/>
      <c r="I85" s="63"/>
      <c r="J85" s="64"/>
      <c r="K85" s="61">
        <f>SUM(150000 + 150000 + 51200 + 150000)</f>
        <v>501200</v>
      </c>
      <c r="L85" s="61"/>
      <c r="M85" s="61"/>
      <c r="N85" s="61"/>
      <c r="O85" s="61"/>
      <c r="P85" s="61">
        <f>SUM(10300 + 143100)</f>
        <v>153400</v>
      </c>
      <c r="Q85" s="61"/>
      <c r="R85" s="61"/>
      <c r="S85" s="61"/>
      <c r="T85" s="61"/>
      <c r="U85" s="65"/>
      <c r="V85" s="65"/>
      <c r="W85" s="65"/>
      <c r="X85" s="65"/>
      <c r="Y85" s="65"/>
    </row>
    <row r="86" spans="1:25" ht="15" customHeight="1" x14ac:dyDescent="0.25">
      <c r="A86" s="49">
        <v>45148</v>
      </c>
      <c r="B86" s="51" t="s">
        <v>37</v>
      </c>
      <c r="C86" s="51"/>
      <c r="D86" s="51"/>
      <c r="E86" s="52" t="s">
        <v>16</v>
      </c>
      <c r="F86" s="53"/>
      <c r="G86" s="53"/>
      <c r="H86" s="53"/>
      <c r="I86" s="53"/>
      <c r="J86" s="54"/>
      <c r="K86" s="51" t="s">
        <v>36</v>
      </c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</row>
    <row r="87" spans="1:25" x14ac:dyDescent="0.25">
      <c r="A87" s="50"/>
      <c r="B87" s="51"/>
      <c r="C87" s="51"/>
      <c r="D87" s="51"/>
      <c r="E87" s="55"/>
      <c r="F87" s="56"/>
      <c r="G87" s="56"/>
      <c r="H87" s="56"/>
      <c r="I87" s="56"/>
      <c r="J87" s="57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</row>
    <row r="88" spans="1:25" x14ac:dyDescent="0.25">
      <c r="A88" s="50"/>
      <c r="B88" s="51"/>
      <c r="C88" s="51"/>
      <c r="D88" s="51"/>
      <c r="E88" s="55"/>
      <c r="F88" s="56"/>
      <c r="G88" s="56"/>
      <c r="H88" s="56"/>
      <c r="I88" s="56"/>
      <c r="J88" s="57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</row>
    <row r="89" spans="1:25" x14ac:dyDescent="0.25">
      <c r="A89" s="50"/>
      <c r="B89" s="51"/>
      <c r="C89" s="51"/>
      <c r="D89" s="51"/>
      <c r="E89" s="55"/>
      <c r="F89" s="56"/>
      <c r="G89" s="56"/>
      <c r="H89" s="56"/>
      <c r="I89" s="56"/>
      <c r="J89" s="57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</row>
    <row r="90" spans="1:25" x14ac:dyDescent="0.25">
      <c r="A90" s="50"/>
      <c r="B90" s="51"/>
      <c r="C90" s="51"/>
      <c r="D90" s="51"/>
      <c r="E90" s="55"/>
      <c r="F90" s="56"/>
      <c r="G90" s="56"/>
      <c r="H90" s="56"/>
      <c r="I90" s="56"/>
      <c r="J90" s="57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</row>
    <row r="91" spans="1:25" x14ac:dyDescent="0.25">
      <c r="A91" s="50"/>
      <c r="B91" s="51"/>
      <c r="C91" s="51"/>
      <c r="D91" s="51"/>
      <c r="E91" s="58"/>
      <c r="F91" s="59"/>
      <c r="G91" s="59"/>
      <c r="H91" s="59"/>
      <c r="I91" s="59"/>
      <c r="J91" s="60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</row>
    <row r="92" spans="1:25" x14ac:dyDescent="0.25">
      <c r="A92" s="4" t="s">
        <v>10</v>
      </c>
      <c r="B92" s="61">
        <f>SUM(12000 + 150000 + 150000 + 24200)</f>
        <v>336200</v>
      </c>
      <c r="C92" s="61"/>
      <c r="D92" s="61"/>
      <c r="E92" s="62">
        <f>SUM(150000 + 150000)</f>
        <v>300000</v>
      </c>
      <c r="F92" s="63"/>
      <c r="G92" s="63"/>
      <c r="H92" s="63"/>
      <c r="I92" s="63"/>
      <c r="J92" s="64"/>
      <c r="K92" s="61">
        <f>SUM(59300 + 150000 + 150000)</f>
        <v>359300</v>
      </c>
      <c r="L92" s="61"/>
      <c r="M92" s="61"/>
      <c r="N92" s="61"/>
      <c r="O92" s="61"/>
      <c r="P92" s="61"/>
      <c r="Q92" s="61"/>
      <c r="R92" s="61"/>
      <c r="S92" s="61"/>
      <c r="T92" s="61"/>
      <c r="U92" s="65"/>
      <c r="V92" s="65"/>
      <c r="W92" s="65"/>
      <c r="X92" s="65"/>
      <c r="Y92" s="65"/>
    </row>
    <row r="93" spans="1:25" ht="15" customHeight="1" x14ac:dyDescent="0.25">
      <c r="A93" s="49">
        <v>45149</v>
      </c>
      <c r="B93" s="51" t="s">
        <v>39</v>
      </c>
      <c r="C93" s="51"/>
      <c r="D93" s="51"/>
      <c r="E93" s="52" t="s">
        <v>40</v>
      </c>
      <c r="F93" s="53"/>
      <c r="G93" s="53"/>
      <c r="H93" s="53"/>
      <c r="I93" s="53"/>
      <c r="J93" s="54"/>
      <c r="K93" s="51" t="s">
        <v>38</v>
      </c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</row>
    <row r="94" spans="1:25" x14ac:dyDescent="0.25">
      <c r="A94" s="50"/>
      <c r="B94" s="51"/>
      <c r="C94" s="51"/>
      <c r="D94" s="51"/>
      <c r="E94" s="55"/>
      <c r="F94" s="56"/>
      <c r="G94" s="56"/>
      <c r="H94" s="56"/>
      <c r="I94" s="56"/>
      <c r="J94" s="57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</row>
    <row r="95" spans="1:25" x14ac:dyDescent="0.25">
      <c r="A95" s="50"/>
      <c r="B95" s="51"/>
      <c r="C95" s="51"/>
      <c r="D95" s="51"/>
      <c r="E95" s="55"/>
      <c r="F95" s="56"/>
      <c r="G95" s="56"/>
      <c r="H95" s="56"/>
      <c r="I95" s="56"/>
      <c r="J95" s="57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</row>
    <row r="96" spans="1:25" x14ac:dyDescent="0.25">
      <c r="A96" s="50"/>
      <c r="B96" s="51"/>
      <c r="C96" s="51"/>
      <c r="D96" s="51"/>
      <c r="E96" s="55"/>
      <c r="F96" s="56"/>
      <c r="G96" s="56"/>
      <c r="H96" s="56"/>
      <c r="I96" s="56"/>
      <c r="J96" s="57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</row>
    <row r="97" spans="1:25" x14ac:dyDescent="0.25">
      <c r="A97" s="50"/>
      <c r="B97" s="51"/>
      <c r="C97" s="51"/>
      <c r="D97" s="51"/>
      <c r="E97" s="55"/>
      <c r="F97" s="56"/>
      <c r="G97" s="56"/>
      <c r="H97" s="56"/>
      <c r="I97" s="56"/>
      <c r="J97" s="57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1:25" x14ac:dyDescent="0.25">
      <c r="A98" s="50"/>
      <c r="B98" s="51"/>
      <c r="C98" s="51"/>
      <c r="D98" s="51"/>
      <c r="E98" s="58"/>
      <c r="F98" s="59"/>
      <c r="G98" s="59"/>
      <c r="H98" s="59"/>
      <c r="I98" s="59"/>
      <c r="J98" s="60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</row>
    <row r="99" spans="1:25" x14ac:dyDescent="0.25">
      <c r="A99" s="4" t="s">
        <v>10</v>
      </c>
      <c r="B99" s="61">
        <f>SUM(150000 + 1500 + 15000 + 150000 + 31700 + 150000 + 150000)</f>
        <v>648200</v>
      </c>
      <c r="C99" s="61"/>
      <c r="D99" s="61"/>
      <c r="E99" s="62">
        <f>SUM(141200 + 150000 + 150000)</f>
        <v>441200</v>
      </c>
      <c r="F99" s="63"/>
      <c r="G99" s="63"/>
      <c r="H99" s="63"/>
      <c r="I99" s="63"/>
      <c r="J99" s="64"/>
      <c r="K99" s="61">
        <f>SUM(150000 + 134000 + 150000 + 86800)</f>
        <v>520800</v>
      </c>
      <c r="L99" s="61"/>
      <c r="M99" s="61"/>
      <c r="N99" s="61"/>
      <c r="O99" s="61"/>
      <c r="P99" s="61"/>
      <c r="Q99" s="61"/>
      <c r="R99" s="61"/>
      <c r="S99" s="61"/>
      <c r="T99" s="61"/>
      <c r="U99" s="65"/>
      <c r="V99" s="65"/>
      <c r="W99" s="65"/>
      <c r="X99" s="65"/>
      <c r="Y99" s="65"/>
    </row>
    <row r="100" spans="1:25" ht="15" customHeight="1" x14ac:dyDescent="0.25">
      <c r="A100" s="49">
        <v>45150</v>
      </c>
      <c r="B100" s="51" t="s">
        <v>41</v>
      </c>
      <c r="C100" s="51"/>
      <c r="D100" s="51"/>
      <c r="E100" s="52" t="s">
        <v>42</v>
      </c>
      <c r="F100" s="53"/>
      <c r="G100" s="53"/>
      <c r="H100" s="53"/>
      <c r="I100" s="53"/>
      <c r="J100" s="54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</row>
    <row r="101" spans="1:25" x14ac:dyDescent="0.25">
      <c r="A101" s="50"/>
      <c r="B101" s="51"/>
      <c r="C101" s="51"/>
      <c r="D101" s="51"/>
      <c r="E101" s="55"/>
      <c r="F101" s="56"/>
      <c r="G101" s="56"/>
      <c r="H101" s="56"/>
      <c r="I101" s="56"/>
      <c r="J101" s="57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</row>
    <row r="102" spans="1:25" x14ac:dyDescent="0.25">
      <c r="A102" s="50"/>
      <c r="B102" s="51"/>
      <c r="C102" s="51"/>
      <c r="D102" s="51"/>
      <c r="E102" s="55"/>
      <c r="F102" s="56"/>
      <c r="G102" s="56"/>
      <c r="H102" s="56"/>
      <c r="I102" s="56"/>
      <c r="J102" s="57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</row>
    <row r="103" spans="1:25" x14ac:dyDescent="0.25">
      <c r="A103" s="50"/>
      <c r="B103" s="51"/>
      <c r="C103" s="51"/>
      <c r="D103" s="51"/>
      <c r="E103" s="55"/>
      <c r="F103" s="56"/>
      <c r="G103" s="56"/>
      <c r="H103" s="56"/>
      <c r="I103" s="56"/>
      <c r="J103" s="57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</row>
    <row r="104" spans="1:25" x14ac:dyDescent="0.25">
      <c r="A104" s="50"/>
      <c r="B104" s="51"/>
      <c r="C104" s="51"/>
      <c r="D104" s="51"/>
      <c r="E104" s="55"/>
      <c r="F104" s="56"/>
      <c r="G104" s="56"/>
      <c r="H104" s="56"/>
      <c r="I104" s="56"/>
      <c r="J104" s="57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</row>
    <row r="105" spans="1:25" x14ac:dyDescent="0.25">
      <c r="A105" s="50"/>
      <c r="B105" s="51"/>
      <c r="C105" s="51"/>
      <c r="D105" s="51"/>
      <c r="E105" s="58"/>
      <c r="F105" s="59"/>
      <c r="G105" s="59"/>
      <c r="H105" s="59"/>
      <c r="I105" s="59"/>
      <c r="J105" s="60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</row>
    <row r="106" spans="1:25" x14ac:dyDescent="0.25">
      <c r="A106" s="4" t="s">
        <v>10</v>
      </c>
      <c r="B106" s="61">
        <f>SUM(63900 + 150000 + 150000 + 136000)</f>
        <v>499900</v>
      </c>
      <c r="C106" s="61"/>
      <c r="D106" s="61"/>
      <c r="E106" s="62">
        <f>SUM(9300 + 150000 + 150000 + 150000)</f>
        <v>459300</v>
      </c>
      <c r="F106" s="63"/>
      <c r="G106" s="63"/>
      <c r="H106" s="63"/>
      <c r="I106" s="63"/>
      <c r="J106" s="64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5"/>
      <c r="V106" s="65"/>
      <c r="W106" s="65"/>
      <c r="X106" s="65"/>
      <c r="Y106" s="65"/>
    </row>
    <row r="107" spans="1:25" ht="15" customHeight="1" x14ac:dyDescent="0.25">
      <c r="A107" s="49">
        <v>45152</v>
      </c>
      <c r="B107" s="51" t="s">
        <v>44</v>
      </c>
      <c r="C107" s="51"/>
      <c r="D107" s="51"/>
      <c r="E107" s="52" t="s">
        <v>43</v>
      </c>
      <c r="F107" s="53"/>
      <c r="G107" s="53"/>
      <c r="H107" s="53"/>
      <c r="I107" s="53"/>
      <c r="J107" s="54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</row>
    <row r="108" spans="1:25" x14ac:dyDescent="0.25">
      <c r="A108" s="50"/>
      <c r="B108" s="51"/>
      <c r="C108" s="51"/>
      <c r="D108" s="51"/>
      <c r="E108" s="55"/>
      <c r="F108" s="56"/>
      <c r="G108" s="56"/>
      <c r="H108" s="56"/>
      <c r="I108" s="56"/>
      <c r="J108" s="57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</row>
    <row r="109" spans="1:25" x14ac:dyDescent="0.25">
      <c r="A109" s="50"/>
      <c r="B109" s="51"/>
      <c r="C109" s="51"/>
      <c r="D109" s="51"/>
      <c r="E109" s="55"/>
      <c r="F109" s="56"/>
      <c r="G109" s="56"/>
      <c r="H109" s="56"/>
      <c r="I109" s="56"/>
      <c r="J109" s="57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</row>
    <row r="110" spans="1:25" x14ac:dyDescent="0.25">
      <c r="A110" s="50"/>
      <c r="B110" s="51"/>
      <c r="C110" s="51"/>
      <c r="D110" s="51"/>
      <c r="E110" s="55"/>
      <c r="F110" s="56"/>
      <c r="G110" s="56"/>
      <c r="H110" s="56"/>
      <c r="I110" s="56"/>
      <c r="J110" s="57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</row>
    <row r="111" spans="1:25" x14ac:dyDescent="0.25">
      <c r="A111" s="50"/>
      <c r="B111" s="51"/>
      <c r="C111" s="51"/>
      <c r="D111" s="51"/>
      <c r="E111" s="55"/>
      <c r="F111" s="56"/>
      <c r="G111" s="56"/>
      <c r="H111" s="56"/>
      <c r="I111" s="56"/>
      <c r="J111" s="57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</row>
    <row r="112" spans="1:25" x14ac:dyDescent="0.25">
      <c r="A112" s="50"/>
      <c r="B112" s="51"/>
      <c r="C112" s="51"/>
      <c r="D112" s="51"/>
      <c r="E112" s="58"/>
      <c r="F112" s="59"/>
      <c r="G112" s="59"/>
      <c r="H112" s="59"/>
      <c r="I112" s="59"/>
      <c r="J112" s="60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</row>
    <row r="113" spans="1:25" x14ac:dyDescent="0.25">
      <c r="A113" s="9" t="s">
        <v>10</v>
      </c>
      <c r="B113" s="61">
        <f>SUM(150000 + 150000 + 150000 + 122900 + 150000 + 8000 + 150000 + 19500)</f>
        <v>900400</v>
      </c>
      <c r="C113" s="61"/>
      <c r="D113" s="61"/>
      <c r="E113" s="62">
        <f>SUM(140000 + 150000 + 20600 + 150000 + 80000 + 150000 + 150000)</f>
        <v>840600</v>
      </c>
      <c r="F113" s="63"/>
      <c r="G113" s="63"/>
      <c r="H113" s="63"/>
      <c r="I113" s="63"/>
      <c r="J113" s="64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5"/>
      <c r="V113" s="65"/>
      <c r="W113" s="65"/>
      <c r="X113" s="65"/>
      <c r="Y113" s="65"/>
    </row>
    <row r="114" spans="1:25" ht="15" customHeight="1" x14ac:dyDescent="0.25">
      <c r="A114" s="49">
        <v>45153</v>
      </c>
      <c r="B114" s="51" t="s">
        <v>45</v>
      </c>
      <c r="C114" s="51"/>
      <c r="D114" s="51"/>
      <c r="E114" s="52" t="s">
        <v>46</v>
      </c>
      <c r="F114" s="53"/>
      <c r="G114" s="53"/>
      <c r="H114" s="53"/>
      <c r="I114" s="53"/>
      <c r="J114" s="54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</row>
    <row r="115" spans="1:25" x14ac:dyDescent="0.25">
      <c r="A115" s="50"/>
      <c r="B115" s="51"/>
      <c r="C115" s="51"/>
      <c r="D115" s="51"/>
      <c r="E115" s="55"/>
      <c r="F115" s="56"/>
      <c r="G115" s="56"/>
      <c r="H115" s="56"/>
      <c r="I115" s="56"/>
      <c r="J115" s="57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</row>
    <row r="116" spans="1:25" x14ac:dyDescent="0.25">
      <c r="A116" s="50"/>
      <c r="B116" s="51"/>
      <c r="C116" s="51"/>
      <c r="D116" s="51"/>
      <c r="E116" s="55"/>
      <c r="F116" s="56"/>
      <c r="G116" s="56"/>
      <c r="H116" s="56"/>
      <c r="I116" s="56"/>
      <c r="J116" s="57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</row>
    <row r="117" spans="1:25" x14ac:dyDescent="0.25">
      <c r="A117" s="50"/>
      <c r="B117" s="51"/>
      <c r="C117" s="51"/>
      <c r="D117" s="51"/>
      <c r="E117" s="55"/>
      <c r="F117" s="56"/>
      <c r="G117" s="56"/>
      <c r="H117" s="56"/>
      <c r="I117" s="56"/>
      <c r="J117" s="57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spans="1:25" x14ac:dyDescent="0.25">
      <c r="A118" s="50"/>
      <c r="B118" s="51"/>
      <c r="C118" s="51"/>
      <c r="D118" s="51"/>
      <c r="E118" s="55"/>
      <c r="F118" s="56"/>
      <c r="G118" s="56"/>
      <c r="H118" s="56"/>
      <c r="I118" s="56"/>
      <c r="J118" s="57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</row>
    <row r="119" spans="1:25" x14ac:dyDescent="0.25">
      <c r="A119" s="50"/>
      <c r="B119" s="51"/>
      <c r="C119" s="51"/>
      <c r="D119" s="51"/>
      <c r="E119" s="58"/>
      <c r="F119" s="59"/>
      <c r="G119" s="59"/>
      <c r="H119" s="59"/>
      <c r="I119" s="59"/>
      <c r="J119" s="60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spans="1:25" x14ac:dyDescent="0.25">
      <c r="A120" s="9" t="s">
        <v>10</v>
      </c>
      <c r="B120" s="61">
        <f>SUM(31500 + 150000 + 3000 + 67200 + 150000)</f>
        <v>401700</v>
      </c>
      <c r="C120" s="61"/>
      <c r="D120" s="61"/>
      <c r="E120" s="62">
        <f>SUM(73000 + 150000 + 150000 + 150000 + 150000 + 150000)</f>
        <v>823000</v>
      </c>
      <c r="F120" s="63"/>
      <c r="G120" s="63"/>
      <c r="H120" s="63"/>
      <c r="I120" s="63"/>
      <c r="J120" s="64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5"/>
      <c r="V120" s="65"/>
      <c r="W120" s="65"/>
      <c r="X120" s="65"/>
      <c r="Y120" s="65"/>
    </row>
    <row r="121" spans="1:25" ht="15" customHeight="1" x14ac:dyDescent="0.25">
      <c r="A121" s="49">
        <v>45154</v>
      </c>
      <c r="B121" s="51"/>
      <c r="C121" s="51"/>
      <c r="D121" s="51"/>
      <c r="E121" s="52" t="s">
        <v>49</v>
      </c>
      <c r="F121" s="53"/>
      <c r="G121" s="53"/>
      <c r="H121" s="53"/>
      <c r="I121" s="53"/>
      <c r="J121" s="54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</row>
    <row r="122" spans="1:25" x14ac:dyDescent="0.25">
      <c r="A122" s="50"/>
      <c r="B122" s="51"/>
      <c r="C122" s="51"/>
      <c r="D122" s="51"/>
      <c r="E122" s="55"/>
      <c r="F122" s="56"/>
      <c r="G122" s="56"/>
      <c r="H122" s="56"/>
      <c r="I122" s="56"/>
      <c r="J122" s="57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</row>
    <row r="123" spans="1:25" x14ac:dyDescent="0.25">
      <c r="A123" s="50"/>
      <c r="B123" s="51"/>
      <c r="C123" s="51"/>
      <c r="D123" s="51"/>
      <c r="E123" s="55"/>
      <c r="F123" s="56"/>
      <c r="G123" s="56"/>
      <c r="H123" s="56"/>
      <c r="I123" s="56"/>
      <c r="J123" s="57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1:25" x14ac:dyDescent="0.25">
      <c r="A124" s="50"/>
      <c r="B124" s="51"/>
      <c r="C124" s="51"/>
      <c r="D124" s="51"/>
      <c r="E124" s="55"/>
      <c r="F124" s="56"/>
      <c r="G124" s="56"/>
      <c r="H124" s="56"/>
      <c r="I124" s="56"/>
      <c r="J124" s="57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</row>
    <row r="125" spans="1:25" x14ac:dyDescent="0.25">
      <c r="A125" s="50"/>
      <c r="B125" s="51"/>
      <c r="C125" s="51"/>
      <c r="D125" s="51"/>
      <c r="E125" s="55"/>
      <c r="F125" s="56"/>
      <c r="G125" s="56"/>
      <c r="H125" s="56"/>
      <c r="I125" s="56"/>
      <c r="J125" s="57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</row>
    <row r="126" spans="1:25" x14ac:dyDescent="0.25">
      <c r="A126" s="50"/>
      <c r="B126" s="51"/>
      <c r="C126" s="51"/>
      <c r="D126" s="51"/>
      <c r="E126" s="58"/>
      <c r="F126" s="59"/>
      <c r="G126" s="59"/>
      <c r="H126" s="59"/>
      <c r="I126" s="59"/>
      <c r="J126" s="60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</row>
    <row r="127" spans="1:25" x14ac:dyDescent="0.25">
      <c r="A127" s="9" t="s">
        <v>10</v>
      </c>
      <c r="B127" s="61"/>
      <c r="C127" s="61"/>
      <c r="D127" s="61"/>
      <c r="E127" s="62">
        <f>SUM(150000 + 150000 + 150000 + 150000 + 150000 + 150000)</f>
        <v>900000</v>
      </c>
      <c r="F127" s="63"/>
      <c r="G127" s="63"/>
      <c r="H127" s="63"/>
      <c r="I127" s="63"/>
      <c r="J127" s="64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5"/>
      <c r="V127" s="65"/>
      <c r="W127" s="65"/>
      <c r="X127" s="65"/>
      <c r="Y127" s="65"/>
    </row>
    <row r="128" spans="1:25" ht="15" customHeight="1" x14ac:dyDescent="0.25">
      <c r="A128" s="49">
        <v>45156</v>
      </c>
      <c r="B128" s="51">
        <v>88900</v>
      </c>
      <c r="C128" s="51"/>
      <c r="D128" s="51"/>
      <c r="E128" s="52" t="s">
        <v>50</v>
      </c>
      <c r="F128" s="53"/>
      <c r="G128" s="53"/>
      <c r="H128" s="53"/>
      <c r="I128" s="53"/>
      <c r="J128" s="54"/>
      <c r="K128" s="51">
        <v>9900</v>
      </c>
      <c r="L128" s="51"/>
      <c r="M128" s="51"/>
      <c r="N128" s="51"/>
      <c r="O128" s="51"/>
      <c r="P128" s="51" t="s">
        <v>51</v>
      </c>
      <c r="Q128" s="51"/>
      <c r="R128" s="51"/>
      <c r="S128" s="51"/>
      <c r="T128" s="51"/>
      <c r="U128" s="51">
        <v>65000</v>
      </c>
      <c r="V128" s="51"/>
      <c r="W128" s="51"/>
      <c r="X128" s="51"/>
      <c r="Y128" s="51"/>
    </row>
    <row r="129" spans="1:25" x14ac:dyDescent="0.25">
      <c r="A129" s="50"/>
      <c r="B129" s="51"/>
      <c r="C129" s="51"/>
      <c r="D129" s="51"/>
      <c r="E129" s="55"/>
      <c r="F129" s="56"/>
      <c r="G129" s="56"/>
      <c r="H129" s="56"/>
      <c r="I129" s="56"/>
      <c r="J129" s="57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</row>
    <row r="130" spans="1:25" x14ac:dyDescent="0.25">
      <c r="A130" s="50"/>
      <c r="B130" s="51"/>
      <c r="C130" s="51"/>
      <c r="D130" s="51"/>
      <c r="E130" s="55"/>
      <c r="F130" s="56"/>
      <c r="G130" s="56"/>
      <c r="H130" s="56"/>
      <c r="I130" s="56"/>
      <c r="J130" s="57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</row>
    <row r="131" spans="1:25" x14ac:dyDescent="0.25">
      <c r="A131" s="50"/>
      <c r="B131" s="51"/>
      <c r="C131" s="51"/>
      <c r="D131" s="51"/>
      <c r="E131" s="55"/>
      <c r="F131" s="56"/>
      <c r="G131" s="56"/>
      <c r="H131" s="56"/>
      <c r="I131" s="56"/>
      <c r="J131" s="57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</row>
    <row r="132" spans="1:25" x14ac:dyDescent="0.25">
      <c r="A132" s="50"/>
      <c r="B132" s="51"/>
      <c r="C132" s="51"/>
      <c r="D132" s="51"/>
      <c r="E132" s="55"/>
      <c r="F132" s="56"/>
      <c r="G132" s="56"/>
      <c r="H132" s="56"/>
      <c r="I132" s="56"/>
      <c r="J132" s="57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</row>
    <row r="133" spans="1:25" x14ac:dyDescent="0.25">
      <c r="A133" s="50"/>
      <c r="B133" s="51"/>
      <c r="C133" s="51"/>
      <c r="D133" s="51"/>
      <c r="E133" s="58"/>
      <c r="F133" s="59"/>
      <c r="G133" s="59"/>
      <c r="H133" s="59"/>
      <c r="I133" s="59"/>
      <c r="J133" s="60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</row>
    <row r="134" spans="1:25" x14ac:dyDescent="0.25">
      <c r="A134" s="9" t="s">
        <v>10</v>
      </c>
      <c r="B134" s="61">
        <f>SUM(88900)</f>
        <v>88900</v>
      </c>
      <c r="C134" s="61"/>
      <c r="D134" s="61"/>
      <c r="E134" s="62">
        <f>SUM(115800 + 150000 + 31000 + 150000)</f>
        <v>446800</v>
      </c>
      <c r="F134" s="63"/>
      <c r="G134" s="63"/>
      <c r="H134" s="63"/>
      <c r="I134" s="63"/>
      <c r="J134" s="64"/>
      <c r="K134" s="61">
        <f>SUM(9900)</f>
        <v>9900</v>
      </c>
      <c r="L134" s="61"/>
      <c r="M134" s="61"/>
      <c r="N134" s="61"/>
      <c r="O134" s="61"/>
      <c r="P134" s="61">
        <f>SUM(75900 + 150000)</f>
        <v>225900</v>
      </c>
      <c r="Q134" s="61"/>
      <c r="R134" s="61"/>
      <c r="S134" s="61"/>
      <c r="T134" s="61"/>
      <c r="U134" s="65">
        <v>65000</v>
      </c>
      <c r="V134" s="65"/>
      <c r="W134" s="65"/>
      <c r="X134" s="65"/>
      <c r="Y134" s="65"/>
    </row>
    <row r="135" spans="1:25" ht="15" customHeight="1" x14ac:dyDescent="0.25">
      <c r="A135" s="49">
        <v>45157</v>
      </c>
      <c r="B135" s="51" t="s">
        <v>53</v>
      </c>
      <c r="C135" s="51"/>
      <c r="D135" s="51"/>
      <c r="E135" s="52" t="s">
        <v>16</v>
      </c>
      <c r="F135" s="53"/>
      <c r="G135" s="53"/>
      <c r="H135" s="53"/>
      <c r="I135" s="53"/>
      <c r="J135" s="54"/>
      <c r="K135" s="51"/>
      <c r="L135" s="51"/>
      <c r="M135" s="51"/>
      <c r="N135" s="51"/>
      <c r="O135" s="51"/>
      <c r="P135" s="51">
        <v>150000</v>
      </c>
      <c r="Q135" s="51"/>
      <c r="R135" s="51"/>
      <c r="S135" s="51"/>
      <c r="T135" s="51"/>
      <c r="U135" s="51" t="s">
        <v>52</v>
      </c>
      <c r="V135" s="51"/>
      <c r="W135" s="51"/>
      <c r="X135" s="51"/>
      <c r="Y135" s="51"/>
    </row>
    <row r="136" spans="1:25" x14ac:dyDescent="0.25">
      <c r="A136" s="50"/>
      <c r="B136" s="51"/>
      <c r="C136" s="51"/>
      <c r="D136" s="51"/>
      <c r="E136" s="55"/>
      <c r="F136" s="56"/>
      <c r="G136" s="56"/>
      <c r="H136" s="56"/>
      <c r="I136" s="56"/>
      <c r="J136" s="57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</row>
    <row r="137" spans="1:25" x14ac:dyDescent="0.25">
      <c r="A137" s="50"/>
      <c r="B137" s="51"/>
      <c r="C137" s="51"/>
      <c r="D137" s="51"/>
      <c r="E137" s="55"/>
      <c r="F137" s="56"/>
      <c r="G137" s="56"/>
      <c r="H137" s="56"/>
      <c r="I137" s="56"/>
      <c r="J137" s="57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spans="1:25" x14ac:dyDescent="0.25">
      <c r="A138" s="50"/>
      <c r="B138" s="51"/>
      <c r="C138" s="51"/>
      <c r="D138" s="51"/>
      <c r="E138" s="55"/>
      <c r="F138" s="56"/>
      <c r="G138" s="56"/>
      <c r="H138" s="56"/>
      <c r="I138" s="56"/>
      <c r="J138" s="57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</row>
    <row r="139" spans="1:25" x14ac:dyDescent="0.25">
      <c r="A139" s="50"/>
      <c r="B139" s="51"/>
      <c r="C139" s="51"/>
      <c r="D139" s="51"/>
      <c r="E139" s="55"/>
      <c r="F139" s="56"/>
      <c r="G139" s="56"/>
      <c r="H139" s="56"/>
      <c r="I139" s="56"/>
      <c r="J139" s="57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spans="1:25" x14ac:dyDescent="0.25">
      <c r="A140" s="50"/>
      <c r="B140" s="51"/>
      <c r="C140" s="51"/>
      <c r="D140" s="51"/>
      <c r="E140" s="58"/>
      <c r="F140" s="59"/>
      <c r="G140" s="59"/>
      <c r="H140" s="59"/>
      <c r="I140" s="59"/>
      <c r="J140" s="60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</row>
    <row r="141" spans="1:25" x14ac:dyDescent="0.25">
      <c r="A141" s="9" t="s">
        <v>10</v>
      </c>
      <c r="B141" s="61">
        <f>112800 + 59500</f>
        <v>172300</v>
      </c>
      <c r="C141" s="61"/>
      <c r="D141" s="61"/>
      <c r="E141" s="62">
        <f>150000 + 150000</f>
        <v>300000</v>
      </c>
      <c r="F141" s="63"/>
      <c r="G141" s="63"/>
      <c r="H141" s="63"/>
      <c r="I141" s="63"/>
      <c r="J141" s="64"/>
      <c r="K141" s="61"/>
      <c r="L141" s="61"/>
      <c r="M141" s="61"/>
      <c r="N141" s="61"/>
      <c r="O141" s="61"/>
      <c r="P141" s="61">
        <f>150000</f>
        <v>150000</v>
      </c>
      <c r="Q141" s="61"/>
      <c r="R141" s="61"/>
      <c r="S141" s="61"/>
      <c r="T141" s="61"/>
      <c r="U141" s="65">
        <f>134200 + 253600</f>
        <v>387800</v>
      </c>
      <c r="V141" s="65"/>
      <c r="W141" s="65"/>
      <c r="X141" s="65"/>
      <c r="Y141" s="65"/>
    </row>
    <row r="142" spans="1:25" ht="15" customHeight="1" x14ac:dyDescent="0.25">
      <c r="A142" s="49">
        <v>45159</v>
      </c>
      <c r="B142" s="51" t="s">
        <v>54</v>
      </c>
      <c r="C142" s="51"/>
      <c r="D142" s="51"/>
      <c r="E142" s="52" t="s">
        <v>55</v>
      </c>
      <c r="F142" s="53"/>
      <c r="G142" s="53"/>
      <c r="H142" s="53"/>
      <c r="I142" s="53"/>
      <c r="J142" s="54"/>
      <c r="K142" s="51"/>
      <c r="L142" s="51"/>
      <c r="M142" s="51"/>
      <c r="N142" s="51"/>
      <c r="O142" s="51"/>
      <c r="P142" s="51">
        <v>27700</v>
      </c>
      <c r="Q142" s="51"/>
      <c r="R142" s="51"/>
      <c r="S142" s="51"/>
      <c r="T142" s="51"/>
      <c r="U142" s="51" t="s">
        <v>56</v>
      </c>
      <c r="V142" s="51"/>
      <c r="W142" s="51"/>
      <c r="X142" s="51"/>
      <c r="Y142" s="51"/>
    </row>
    <row r="143" spans="1:25" x14ac:dyDescent="0.25">
      <c r="A143" s="50"/>
      <c r="B143" s="51"/>
      <c r="C143" s="51"/>
      <c r="D143" s="51"/>
      <c r="E143" s="55"/>
      <c r="F143" s="56"/>
      <c r="G143" s="56"/>
      <c r="H143" s="56"/>
      <c r="I143" s="56"/>
      <c r="J143" s="57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</row>
    <row r="144" spans="1:25" x14ac:dyDescent="0.25">
      <c r="A144" s="50"/>
      <c r="B144" s="51"/>
      <c r="C144" s="51"/>
      <c r="D144" s="51"/>
      <c r="E144" s="55"/>
      <c r="F144" s="56"/>
      <c r="G144" s="56"/>
      <c r="H144" s="56"/>
      <c r="I144" s="56"/>
      <c r="J144" s="57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</row>
    <row r="145" spans="1:25" x14ac:dyDescent="0.25">
      <c r="A145" s="50"/>
      <c r="B145" s="51"/>
      <c r="C145" s="51"/>
      <c r="D145" s="51"/>
      <c r="E145" s="55"/>
      <c r="F145" s="56"/>
      <c r="G145" s="56"/>
      <c r="H145" s="56"/>
      <c r="I145" s="56"/>
      <c r="J145" s="57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</row>
    <row r="146" spans="1:25" x14ac:dyDescent="0.25">
      <c r="A146" s="50"/>
      <c r="B146" s="51"/>
      <c r="C146" s="51"/>
      <c r="D146" s="51"/>
      <c r="E146" s="55"/>
      <c r="F146" s="56"/>
      <c r="G146" s="56"/>
      <c r="H146" s="56"/>
      <c r="I146" s="56"/>
      <c r="J146" s="57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</row>
    <row r="147" spans="1:25" x14ac:dyDescent="0.25">
      <c r="A147" s="50"/>
      <c r="B147" s="51"/>
      <c r="C147" s="51"/>
      <c r="D147" s="51"/>
      <c r="E147" s="58"/>
      <c r="F147" s="59"/>
      <c r="G147" s="59"/>
      <c r="H147" s="59"/>
      <c r="I147" s="59"/>
      <c r="J147" s="60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</row>
    <row r="148" spans="1:25" x14ac:dyDescent="0.25">
      <c r="A148" s="9" t="s">
        <v>10</v>
      </c>
      <c r="B148" s="61">
        <f>150000 + 150000 + 150000 + 84000 + 150000</f>
        <v>684000</v>
      </c>
      <c r="C148" s="61"/>
      <c r="D148" s="61"/>
      <c r="E148" s="62">
        <f>150000 + 150000 + 23800 + 12200</f>
        <v>336000</v>
      </c>
      <c r="F148" s="63"/>
      <c r="G148" s="63"/>
      <c r="H148" s="63"/>
      <c r="I148" s="63"/>
      <c r="J148" s="64"/>
      <c r="K148" s="61"/>
      <c r="L148" s="61"/>
      <c r="M148" s="61"/>
      <c r="N148" s="61"/>
      <c r="O148" s="61"/>
      <c r="P148" s="61">
        <f>27700</f>
        <v>27700</v>
      </c>
      <c r="Q148" s="61"/>
      <c r="R148" s="61"/>
      <c r="S148" s="61"/>
      <c r="T148" s="61"/>
      <c r="U148" s="65">
        <f>172300 + 21600 + 600000 + 600000</f>
        <v>1393900</v>
      </c>
      <c r="V148" s="65"/>
      <c r="W148" s="65"/>
      <c r="X148" s="65"/>
      <c r="Y148" s="65"/>
    </row>
    <row r="149" spans="1:25" ht="15" customHeight="1" x14ac:dyDescent="0.25">
      <c r="A149" s="49">
        <v>45160</v>
      </c>
      <c r="B149" s="51" t="s">
        <v>61</v>
      </c>
      <c r="C149" s="51"/>
      <c r="D149" s="51"/>
      <c r="E149" s="52" t="s">
        <v>63</v>
      </c>
      <c r="F149" s="53"/>
      <c r="G149" s="53"/>
      <c r="H149" s="53"/>
      <c r="I149" s="53"/>
      <c r="J149" s="54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 t="s">
        <v>62</v>
      </c>
      <c r="V149" s="51"/>
      <c r="W149" s="51"/>
      <c r="X149" s="51"/>
      <c r="Y149" s="51"/>
    </row>
    <row r="150" spans="1:25" x14ac:dyDescent="0.25">
      <c r="A150" s="50"/>
      <c r="B150" s="51"/>
      <c r="C150" s="51"/>
      <c r="D150" s="51"/>
      <c r="E150" s="55"/>
      <c r="F150" s="56"/>
      <c r="G150" s="56"/>
      <c r="H150" s="56"/>
      <c r="I150" s="56"/>
      <c r="J150" s="57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</row>
    <row r="151" spans="1:25" x14ac:dyDescent="0.25">
      <c r="A151" s="50"/>
      <c r="B151" s="51"/>
      <c r="C151" s="51"/>
      <c r="D151" s="51"/>
      <c r="E151" s="55"/>
      <c r="F151" s="56"/>
      <c r="G151" s="56"/>
      <c r="H151" s="56"/>
      <c r="I151" s="56"/>
      <c r="J151" s="57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</row>
    <row r="152" spans="1:25" x14ac:dyDescent="0.25">
      <c r="A152" s="50"/>
      <c r="B152" s="51"/>
      <c r="C152" s="51"/>
      <c r="D152" s="51"/>
      <c r="E152" s="55"/>
      <c r="F152" s="56"/>
      <c r="G152" s="56"/>
      <c r="H152" s="56"/>
      <c r="I152" s="56"/>
      <c r="J152" s="57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</row>
    <row r="153" spans="1:25" x14ac:dyDescent="0.25">
      <c r="A153" s="50"/>
      <c r="B153" s="51"/>
      <c r="C153" s="51"/>
      <c r="D153" s="51"/>
      <c r="E153" s="55"/>
      <c r="F153" s="56"/>
      <c r="G153" s="56"/>
      <c r="H153" s="56"/>
      <c r="I153" s="56"/>
      <c r="J153" s="57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</row>
    <row r="154" spans="1:25" x14ac:dyDescent="0.25">
      <c r="A154" s="50"/>
      <c r="B154" s="51"/>
      <c r="C154" s="51"/>
      <c r="D154" s="51"/>
      <c r="E154" s="58"/>
      <c r="F154" s="59"/>
      <c r="G154" s="59"/>
      <c r="H154" s="59"/>
      <c r="I154" s="59"/>
      <c r="J154" s="60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</row>
    <row r="155" spans="1:25" x14ac:dyDescent="0.25">
      <c r="A155" s="9" t="s">
        <v>10</v>
      </c>
      <c r="B155" s="61">
        <f>150000 + 39800 + 100000 + 150000</f>
        <v>439800</v>
      </c>
      <c r="C155" s="61"/>
      <c r="D155" s="61"/>
      <c r="E155" s="62">
        <f>150000 + 85400 + 150000 + 150000 + 104000</f>
        <v>639400</v>
      </c>
      <c r="F155" s="63"/>
      <c r="G155" s="63"/>
      <c r="H155" s="63"/>
      <c r="I155" s="63"/>
      <c r="J155" s="64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5">
        <f>174600 + 331900 + 600000 + 231000</f>
        <v>1337500</v>
      </c>
      <c r="V155" s="65"/>
      <c r="W155" s="65"/>
      <c r="X155" s="65"/>
      <c r="Y155" s="65"/>
    </row>
    <row r="156" spans="1:25" ht="15" customHeight="1" x14ac:dyDescent="0.25">
      <c r="A156" s="49">
        <v>45161</v>
      </c>
      <c r="B156" s="51" t="s">
        <v>58</v>
      </c>
      <c r="C156" s="51"/>
      <c r="D156" s="51"/>
      <c r="E156" s="52" t="s">
        <v>59</v>
      </c>
      <c r="F156" s="53"/>
      <c r="G156" s="53"/>
      <c r="H156" s="53"/>
      <c r="I156" s="53"/>
      <c r="J156" s="54"/>
      <c r="K156" s="51"/>
      <c r="L156" s="51"/>
      <c r="M156" s="51"/>
      <c r="N156" s="51"/>
      <c r="O156" s="51"/>
      <c r="P156" s="51" t="s">
        <v>60</v>
      </c>
      <c r="Q156" s="51"/>
      <c r="R156" s="51"/>
      <c r="S156" s="51"/>
      <c r="T156" s="51"/>
      <c r="U156" s="51" t="s">
        <v>57</v>
      </c>
      <c r="V156" s="51"/>
      <c r="W156" s="51"/>
      <c r="X156" s="51"/>
      <c r="Y156" s="51"/>
    </row>
    <row r="157" spans="1:25" x14ac:dyDescent="0.25">
      <c r="A157" s="50"/>
      <c r="B157" s="51"/>
      <c r="C157" s="51"/>
      <c r="D157" s="51"/>
      <c r="E157" s="55"/>
      <c r="F157" s="56"/>
      <c r="G157" s="56"/>
      <c r="H157" s="56"/>
      <c r="I157" s="56"/>
      <c r="J157" s="57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</row>
    <row r="158" spans="1:25" x14ac:dyDescent="0.25">
      <c r="A158" s="50"/>
      <c r="B158" s="51"/>
      <c r="C158" s="51"/>
      <c r="D158" s="51"/>
      <c r="E158" s="55"/>
      <c r="F158" s="56"/>
      <c r="G158" s="56"/>
      <c r="H158" s="56"/>
      <c r="I158" s="56"/>
      <c r="J158" s="57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</row>
    <row r="159" spans="1:25" x14ac:dyDescent="0.25">
      <c r="A159" s="50"/>
      <c r="B159" s="51"/>
      <c r="C159" s="51"/>
      <c r="D159" s="51"/>
      <c r="E159" s="55"/>
      <c r="F159" s="56"/>
      <c r="G159" s="56"/>
      <c r="H159" s="56"/>
      <c r="I159" s="56"/>
      <c r="J159" s="57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</row>
    <row r="160" spans="1:25" x14ac:dyDescent="0.25">
      <c r="A160" s="50"/>
      <c r="B160" s="51"/>
      <c r="C160" s="51"/>
      <c r="D160" s="51"/>
      <c r="E160" s="55"/>
      <c r="F160" s="56"/>
      <c r="G160" s="56"/>
      <c r="H160" s="56"/>
      <c r="I160" s="56"/>
      <c r="J160" s="57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</row>
    <row r="161" spans="1:25" x14ac:dyDescent="0.25">
      <c r="A161" s="50"/>
      <c r="B161" s="51"/>
      <c r="C161" s="51"/>
      <c r="D161" s="51"/>
      <c r="E161" s="58"/>
      <c r="F161" s="59"/>
      <c r="G161" s="59"/>
      <c r="H161" s="59"/>
      <c r="I161" s="59"/>
      <c r="J161" s="60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</row>
    <row r="162" spans="1:25" x14ac:dyDescent="0.25">
      <c r="A162" s="9" t="s">
        <v>10</v>
      </c>
      <c r="B162" s="61">
        <f>8900 + 50200 + 35000 + 28000 + 25000 + 58000</f>
        <v>205100</v>
      </c>
      <c r="C162" s="61"/>
      <c r="D162" s="61"/>
      <c r="E162" s="62">
        <f>150000 + 150000 + 109000</f>
        <v>409000</v>
      </c>
      <c r="F162" s="63"/>
      <c r="G162" s="63"/>
      <c r="H162" s="63"/>
      <c r="I162" s="63"/>
      <c r="J162" s="64"/>
      <c r="K162" s="61"/>
      <c r="L162" s="61"/>
      <c r="M162" s="61"/>
      <c r="N162" s="61"/>
      <c r="O162" s="61"/>
      <c r="P162" s="61">
        <f>150000 + 113700 + 150000</f>
        <v>413700</v>
      </c>
      <c r="Q162" s="61"/>
      <c r="R162" s="61"/>
      <c r="S162" s="61"/>
      <c r="T162" s="61"/>
      <c r="U162" s="65">
        <f>47800 + 162300 + 146000 + 591000 + 29000 + 241500</f>
        <v>1217600</v>
      </c>
      <c r="V162" s="65"/>
      <c r="W162" s="65"/>
      <c r="X162" s="65"/>
      <c r="Y162" s="65"/>
    </row>
    <row r="163" spans="1:25" ht="15" customHeight="1" x14ac:dyDescent="0.25">
      <c r="A163" s="49">
        <v>45162</v>
      </c>
      <c r="B163" s="51" t="s">
        <v>64</v>
      </c>
      <c r="C163" s="51"/>
      <c r="D163" s="51"/>
      <c r="E163" s="52" t="s">
        <v>65</v>
      </c>
      <c r="F163" s="53"/>
      <c r="G163" s="53"/>
      <c r="H163" s="53"/>
      <c r="I163" s="53"/>
      <c r="J163" s="54"/>
      <c r="K163" s="51"/>
      <c r="L163" s="51"/>
      <c r="M163" s="51"/>
      <c r="N163" s="51"/>
      <c r="O163" s="51"/>
      <c r="P163" s="51">
        <v>130600</v>
      </c>
      <c r="Q163" s="51"/>
      <c r="R163" s="51"/>
      <c r="S163" s="51"/>
      <c r="T163" s="51"/>
      <c r="U163" s="51" t="s">
        <v>66</v>
      </c>
      <c r="V163" s="51"/>
      <c r="W163" s="51"/>
      <c r="X163" s="51"/>
      <c r="Y163" s="51"/>
    </row>
    <row r="164" spans="1:25" x14ac:dyDescent="0.25">
      <c r="A164" s="50"/>
      <c r="B164" s="51"/>
      <c r="C164" s="51"/>
      <c r="D164" s="51"/>
      <c r="E164" s="55"/>
      <c r="F164" s="56"/>
      <c r="G164" s="56"/>
      <c r="H164" s="56"/>
      <c r="I164" s="56"/>
      <c r="J164" s="57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</row>
    <row r="165" spans="1:25" x14ac:dyDescent="0.25">
      <c r="A165" s="50"/>
      <c r="B165" s="51"/>
      <c r="C165" s="51"/>
      <c r="D165" s="51"/>
      <c r="E165" s="55"/>
      <c r="F165" s="56"/>
      <c r="G165" s="56"/>
      <c r="H165" s="56"/>
      <c r="I165" s="56"/>
      <c r="J165" s="57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</row>
    <row r="166" spans="1:25" x14ac:dyDescent="0.25">
      <c r="A166" s="50"/>
      <c r="B166" s="51"/>
      <c r="C166" s="51"/>
      <c r="D166" s="51"/>
      <c r="E166" s="55"/>
      <c r="F166" s="56"/>
      <c r="G166" s="56"/>
      <c r="H166" s="56"/>
      <c r="I166" s="56"/>
      <c r="J166" s="57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</row>
    <row r="167" spans="1:25" x14ac:dyDescent="0.25">
      <c r="A167" s="50"/>
      <c r="B167" s="51"/>
      <c r="C167" s="51"/>
      <c r="D167" s="51"/>
      <c r="E167" s="55"/>
      <c r="F167" s="56"/>
      <c r="G167" s="56"/>
      <c r="H167" s="56"/>
      <c r="I167" s="56"/>
      <c r="J167" s="57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</row>
    <row r="168" spans="1:25" x14ac:dyDescent="0.25">
      <c r="A168" s="50"/>
      <c r="B168" s="51"/>
      <c r="C168" s="51"/>
      <c r="D168" s="51"/>
      <c r="E168" s="58"/>
      <c r="F168" s="59"/>
      <c r="G168" s="59"/>
      <c r="H168" s="59"/>
      <c r="I168" s="59"/>
      <c r="J168" s="60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</row>
    <row r="169" spans="1:25" x14ac:dyDescent="0.25">
      <c r="A169" s="9" t="s">
        <v>10</v>
      </c>
      <c r="B169" s="61">
        <f>82000 + 18300 + 150000 + 38600</f>
        <v>288900</v>
      </c>
      <c r="C169" s="61"/>
      <c r="D169" s="61"/>
      <c r="E169" s="62">
        <f>103100 + 150000 + 150000</f>
        <v>403100</v>
      </c>
      <c r="F169" s="63"/>
      <c r="G169" s="63"/>
      <c r="H169" s="63"/>
      <c r="I169" s="63"/>
      <c r="J169" s="64"/>
      <c r="K169" s="61"/>
      <c r="L169" s="61"/>
      <c r="M169" s="61"/>
      <c r="N169" s="61"/>
      <c r="O169" s="61"/>
      <c r="P169" s="61">
        <f>130600</f>
        <v>130600</v>
      </c>
      <c r="Q169" s="61"/>
      <c r="R169" s="61"/>
      <c r="S169" s="61"/>
      <c r="T169" s="61"/>
      <c r="U169" s="65">
        <f>62300 + 22900 + 10000 + 295500 + 97800 + 600000</f>
        <v>1088500</v>
      </c>
      <c r="V169" s="65"/>
      <c r="W169" s="65"/>
      <c r="X169" s="65"/>
      <c r="Y169" s="65"/>
    </row>
    <row r="170" spans="1:25" ht="15" customHeight="1" x14ac:dyDescent="0.25">
      <c r="A170" s="49">
        <v>45163</v>
      </c>
      <c r="B170" s="51" t="s">
        <v>68</v>
      </c>
      <c r="C170" s="51"/>
      <c r="D170" s="51"/>
      <c r="E170" s="52">
        <v>39500</v>
      </c>
      <c r="F170" s="53"/>
      <c r="G170" s="53"/>
      <c r="H170" s="53"/>
      <c r="I170" s="53"/>
      <c r="J170" s="54"/>
      <c r="K170" s="51">
        <v>32900</v>
      </c>
      <c r="L170" s="51"/>
      <c r="M170" s="51"/>
      <c r="N170" s="51"/>
      <c r="O170" s="51"/>
      <c r="P170" s="51"/>
      <c r="Q170" s="51"/>
      <c r="R170" s="51"/>
      <c r="S170" s="51"/>
      <c r="T170" s="51"/>
      <c r="U170" s="51" t="s">
        <v>67</v>
      </c>
      <c r="V170" s="51"/>
      <c r="W170" s="51"/>
      <c r="X170" s="51"/>
      <c r="Y170" s="51"/>
    </row>
    <row r="171" spans="1:25" x14ac:dyDescent="0.25">
      <c r="A171" s="50"/>
      <c r="B171" s="51"/>
      <c r="C171" s="51"/>
      <c r="D171" s="51"/>
      <c r="E171" s="55"/>
      <c r="F171" s="56"/>
      <c r="G171" s="56"/>
      <c r="H171" s="56"/>
      <c r="I171" s="56"/>
      <c r="J171" s="57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</row>
    <row r="172" spans="1:25" x14ac:dyDescent="0.25">
      <c r="A172" s="50"/>
      <c r="B172" s="51"/>
      <c r="C172" s="51"/>
      <c r="D172" s="51"/>
      <c r="E172" s="55"/>
      <c r="F172" s="56"/>
      <c r="G172" s="56"/>
      <c r="H172" s="56"/>
      <c r="I172" s="56"/>
      <c r="J172" s="57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</row>
    <row r="173" spans="1:25" x14ac:dyDescent="0.25">
      <c r="A173" s="50"/>
      <c r="B173" s="51"/>
      <c r="C173" s="51"/>
      <c r="D173" s="51"/>
      <c r="E173" s="55"/>
      <c r="F173" s="56"/>
      <c r="G173" s="56"/>
      <c r="H173" s="56"/>
      <c r="I173" s="56"/>
      <c r="J173" s="57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</row>
    <row r="174" spans="1:25" x14ac:dyDescent="0.25">
      <c r="A174" s="50"/>
      <c r="B174" s="51"/>
      <c r="C174" s="51"/>
      <c r="D174" s="51"/>
      <c r="E174" s="55"/>
      <c r="F174" s="56"/>
      <c r="G174" s="56"/>
      <c r="H174" s="56"/>
      <c r="I174" s="56"/>
      <c r="J174" s="57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</row>
    <row r="175" spans="1:25" x14ac:dyDescent="0.25">
      <c r="A175" s="50"/>
      <c r="B175" s="51"/>
      <c r="C175" s="51"/>
      <c r="D175" s="51"/>
      <c r="E175" s="58"/>
      <c r="F175" s="59"/>
      <c r="G175" s="59"/>
      <c r="H175" s="59"/>
      <c r="I175" s="59"/>
      <c r="J175" s="60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</row>
    <row r="176" spans="1:25" x14ac:dyDescent="0.25">
      <c r="A176" s="9" t="s">
        <v>10</v>
      </c>
      <c r="B176" s="61">
        <f>150000 + 8000</f>
        <v>158000</v>
      </c>
      <c r="C176" s="61"/>
      <c r="D176" s="61"/>
      <c r="E176" s="62">
        <f>39500</f>
        <v>39500</v>
      </c>
      <c r="F176" s="63"/>
      <c r="G176" s="63"/>
      <c r="H176" s="63"/>
      <c r="I176" s="63"/>
      <c r="J176" s="64"/>
      <c r="K176" s="61">
        <f>32900</f>
        <v>32900</v>
      </c>
      <c r="L176" s="61"/>
      <c r="M176" s="61"/>
      <c r="N176" s="61"/>
      <c r="O176" s="61"/>
      <c r="P176" s="61"/>
      <c r="Q176" s="61"/>
      <c r="R176" s="61"/>
      <c r="S176" s="61"/>
      <c r="T176" s="61"/>
      <c r="U176" s="65">
        <f>390000 + 243200 + 600000 + 600000</f>
        <v>1833200</v>
      </c>
      <c r="V176" s="65"/>
      <c r="W176" s="65"/>
      <c r="X176" s="65"/>
      <c r="Y176" s="65"/>
    </row>
    <row r="177" spans="1:25" ht="15" customHeight="1" x14ac:dyDescent="0.25">
      <c r="A177" s="49">
        <v>45164</v>
      </c>
      <c r="B177" s="51"/>
      <c r="C177" s="51"/>
      <c r="D177" s="51"/>
      <c r="E177" s="52"/>
      <c r="F177" s="53"/>
      <c r="G177" s="53"/>
      <c r="H177" s="53"/>
      <c r="I177" s="53"/>
      <c r="J177" s="54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>
        <v>312300</v>
      </c>
      <c r="V177" s="51"/>
      <c r="W177" s="51"/>
      <c r="X177" s="51"/>
      <c r="Y177" s="51"/>
    </row>
    <row r="178" spans="1:25" x14ac:dyDescent="0.25">
      <c r="A178" s="50"/>
      <c r="B178" s="51"/>
      <c r="C178" s="51"/>
      <c r="D178" s="51"/>
      <c r="E178" s="55"/>
      <c r="F178" s="56"/>
      <c r="G178" s="56"/>
      <c r="H178" s="56"/>
      <c r="I178" s="56"/>
      <c r="J178" s="57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</row>
    <row r="179" spans="1:25" x14ac:dyDescent="0.25">
      <c r="A179" s="50"/>
      <c r="B179" s="51"/>
      <c r="C179" s="51"/>
      <c r="D179" s="51"/>
      <c r="E179" s="55"/>
      <c r="F179" s="56"/>
      <c r="G179" s="56"/>
      <c r="H179" s="56"/>
      <c r="I179" s="56"/>
      <c r="J179" s="57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</row>
    <row r="180" spans="1:25" x14ac:dyDescent="0.25">
      <c r="A180" s="50"/>
      <c r="B180" s="51"/>
      <c r="C180" s="51"/>
      <c r="D180" s="51"/>
      <c r="E180" s="55"/>
      <c r="F180" s="56"/>
      <c r="G180" s="56"/>
      <c r="H180" s="56"/>
      <c r="I180" s="56"/>
      <c r="J180" s="57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</row>
    <row r="181" spans="1:25" x14ac:dyDescent="0.25">
      <c r="A181" s="50"/>
      <c r="B181" s="51"/>
      <c r="C181" s="51"/>
      <c r="D181" s="51"/>
      <c r="E181" s="55"/>
      <c r="F181" s="56"/>
      <c r="G181" s="56"/>
      <c r="H181" s="56"/>
      <c r="I181" s="56"/>
      <c r="J181" s="57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</row>
    <row r="182" spans="1:25" x14ac:dyDescent="0.25">
      <c r="A182" s="50"/>
      <c r="B182" s="51"/>
      <c r="C182" s="51"/>
      <c r="D182" s="51"/>
      <c r="E182" s="58"/>
      <c r="F182" s="59"/>
      <c r="G182" s="59"/>
      <c r="H182" s="59"/>
      <c r="I182" s="59"/>
      <c r="J182" s="60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</row>
    <row r="183" spans="1:25" x14ac:dyDescent="0.25">
      <c r="A183" s="9" t="s">
        <v>10</v>
      </c>
      <c r="B183" s="61"/>
      <c r="C183" s="61"/>
      <c r="D183" s="61"/>
      <c r="E183" s="62"/>
      <c r="F183" s="63"/>
      <c r="G183" s="63"/>
      <c r="H183" s="63"/>
      <c r="I183" s="63"/>
      <c r="J183" s="64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5">
        <f>312300</f>
        <v>312300</v>
      </c>
      <c r="V183" s="65"/>
      <c r="W183" s="65"/>
      <c r="X183" s="65"/>
      <c r="Y183" s="65"/>
    </row>
    <row r="184" spans="1:25" ht="15" customHeight="1" x14ac:dyDescent="0.25">
      <c r="A184" s="49">
        <v>45166</v>
      </c>
      <c r="B184" s="51"/>
      <c r="C184" s="51"/>
      <c r="D184" s="51"/>
      <c r="E184" s="52"/>
      <c r="F184" s="53"/>
      <c r="G184" s="53"/>
      <c r="H184" s="53"/>
      <c r="I184" s="53"/>
      <c r="J184" s="54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 t="s">
        <v>69</v>
      </c>
      <c r="V184" s="51"/>
      <c r="W184" s="51"/>
      <c r="X184" s="51"/>
      <c r="Y184" s="51"/>
    </row>
    <row r="185" spans="1:25" x14ac:dyDescent="0.25">
      <c r="A185" s="50"/>
      <c r="B185" s="51"/>
      <c r="C185" s="51"/>
      <c r="D185" s="51"/>
      <c r="E185" s="55"/>
      <c r="F185" s="56"/>
      <c r="G185" s="56"/>
      <c r="H185" s="56"/>
      <c r="I185" s="56"/>
      <c r="J185" s="57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</row>
    <row r="186" spans="1:25" x14ac:dyDescent="0.25">
      <c r="A186" s="50"/>
      <c r="B186" s="51"/>
      <c r="C186" s="51"/>
      <c r="D186" s="51"/>
      <c r="E186" s="55"/>
      <c r="F186" s="56"/>
      <c r="G186" s="56"/>
      <c r="H186" s="56"/>
      <c r="I186" s="56"/>
      <c r="J186" s="57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</row>
    <row r="187" spans="1:25" x14ac:dyDescent="0.25">
      <c r="A187" s="50"/>
      <c r="B187" s="51"/>
      <c r="C187" s="51"/>
      <c r="D187" s="51"/>
      <c r="E187" s="55"/>
      <c r="F187" s="56"/>
      <c r="G187" s="56"/>
      <c r="H187" s="56"/>
      <c r="I187" s="56"/>
      <c r="J187" s="57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</row>
    <row r="188" spans="1:25" x14ac:dyDescent="0.25">
      <c r="A188" s="50"/>
      <c r="B188" s="51"/>
      <c r="C188" s="51"/>
      <c r="D188" s="51"/>
      <c r="E188" s="55"/>
      <c r="F188" s="56"/>
      <c r="G188" s="56"/>
      <c r="H188" s="56"/>
      <c r="I188" s="56"/>
      <c r="J188" s="57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</row>
    <row r="189" spans="1:25" x14ac:dyDescent="0.25">
      <c r="A189" s="50"/>
      <c r="B189" s="51"/>
      <c r="C189" s="51"/>
      <c r="D189" s="51"/>
      <c r="E189" s="58"/>
      <c r="F189" s="59"/>
      <c r="G189" s="59"/>
      <c r="H189" s="59"/>
      <c r="I189" s="59"/>
      <c r="J189" s="60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</row>
    <row r="190" spans="1:25" x14ac:dyDescent="0.25">
      <c r="A190" s="9" t="s">
        <v>10</v>
      </c>
      <c r="B190" s="61"/>
      <c r="C190" s="61"/>
      <c r="D190" s="61"/>
      <c r="E190" s="62"/>
      <c r="F190" s="63"/>
      <c r="G190" s="63"/>
      <c r="H190" s="63"/>
      <c r="I190" s="63"/>
      <c r="J190" s="64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5">
        <f>456100 + 600000 + 600000 + 62600 + 28600 + 85000 + 204100 + 264000 + 233200 + 98100 + 98500</f>
        <v>2730200</v>
      </c>
      <c r="V190" s="65"/>
      <c r="W190" s="65"/>
      <c r="X190" s="65"/>
      <c r="Y190" s="65"/>
    </row>
    <row r="191" spans="1:25" ht="15" customHeight="1" x14ac:dyDescent="0.25">
      <c r="A191" s="49">
        <v>45167</v>
      </c>
      <c r="B191" s="51"/>
      <c r="C191" s="51"/>
      <c r="D191" s="51"/>
      <c r="E191" s="52"/>
      <c r="F191" s="53"/>
      <c r="G191" s="53"/>
      <c r="H191" s="53"/>
      <c r="I191" s="53"/>
      <c r="J191" s="54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 t="s">
        <v>70</v>
      </c>
      <c r="V191" s="51"/>
      <c r="W191" s="51"/>
      <c r="X191" s="51"/>
      <c r="Y191" s="51"/>
    </row>
    <row r="192" spans="1:25" x14ac:dyDescent="0.25">
      <c r="A192" s="50"/>
      <c r="B192" s="51"/>
      <c r="C192" s="51"/>
      <c r="D192" s="51"/>
      <c r="E192" s="55"/>
      <c r="F192" s="56"/>
      <c r="G192" s="56"/>
      <c r="H192" s="56"/>
      <c r="I192" s="56"/>
      <c r="J192" s="57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</row>
    <row r="193" spans="1:25" x14ac:dyDescent="0.25">
      <c r="A193" s="50"/>
      <c r="B193" s="51"/>
      <c r="C193" s="51"/>
      <c r="D193" s="51"/>
      <c r="E193" s="55"/>
      <c r="F193" s="56"/>
      <c r="G193" s="56"/>
      <c r="H193" s="56"/>
      <c r="I193" s="56"/>
      <c r="J193" s="57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</row>
    <row r="194" spans="1:25" x14ac:dyDescent="0.25">
      <c r="A194" s="50"/>
      <c r="B194" s="51"/>
      <c r="C194" s="51"/>
      <c r="D194" s="51"/>
      <c r="E194" s="55"/>
      <c r="F194" s="56"/>
      <c r="G194" s="56"/>
      <c r="H194" s="56"/>
      <c r="I194" s="56"/>
      <c r="J194" s="57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</row>
    <row r="195" spans="1:25" x14ac:dyDescent="0.25">
      <c r="A195" s="50"/>
      <c r="B195" s="51"/>
      <c r="C195" s="51"/>
      <c r="D195" s="51"/>
      <c r="E195" s="55"/>
      <c r="F195" s="56"/>
      <c r="G195" s="56"/>
      <c r="H195" s="56"/>
      <c r="I195" s="56"/>
      <c r="J195" s="57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</row>
    <row r="196" spans="1:25" x14ac:dyDescent="0.25">
      <c r="A196" s="50"/>
      <c r="B196" s="51"/>
      <c r="C196" s="51"/>
      <c r="D196" s="51"/>
      <c r="E196" s="58"/>
      <c r="F196" s="59"/>
      <c r="G196" s="59"/>
      <c r="H196" s="59"/>
      <c r="I196" s="59"/>
      <c r="J196" s="60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</row>
    <row r="197" spans="1:25" x14ac:dyDescent="0.25">
      <c r="A197" s="9" t="s">
        <v>10</v>
      </c>
      <c r="B197" s="61"/>
      <c r="C197" s="61"/>
      <c r="D197" s="61"/>
      <c r="E197" s="62"/>
      <c r="F197" s="63"/>
      <c r="G197" s="63"/>
      <c r="H197" s="63"/>
      <c r="I197" s="63"/>
      <c r="J197" s="64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5">
        <f>293400 + 234000 + 152300 + 100000 + 110000 + 230200</f>
        <v>1119900</v>
      </c>
      <c r="V197" s="65"/>
      <c r="W197" s="65"/>
      <c r="X197" s="65"/>
      <c r="Y197" s="65"/>
    </row>
    <row r="198" spans="1:25" ht="15" customHeight="1" x14ac:dyDescent="0.25">
      <c r="A198" s="49">
        <v>45168</v>
      </c>
      <c r="B198" s="51"/>
      <c r="C198" s="51"/>
      <c r="D198" s="51"/>
      <c r="E198" s="52"/>
      <c r="F198" s="53"/>
      <c r="G198" s="53"/>
      <c r="H198" s="53"/>
      <c r="I198" s="53"/>
      <c r="J198" s="54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 t="s">
        <v>71</v>
      </c>
      <c r="V198" s="51"/>
      <c r="W198" s="51"/>
      <c r="X198" s="51"/>
      <c r="Y198" s="51"/>
    </row>
    <row r="199" spans="1:25" x14ac:dyDescent="0.25">
      <c r="A199" s="50"/>
      <c r="B199" s="51"/>
      <c r="C199" s="51"/>
      <c r="D199" s="51"/>
      <c r="E199" s="55"/>
      <c r="F199" s="56"/>
      <c r="G199" s="56"/>
      <c r="H199" s="56"/>
      <c r="I199" s="56"/>
      <c r="J199" s="57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</row>
    <row r="200" spans="1:25" x14ac:dyDescent="0.25">
      <c r="A200" s="50"/>
      <c r="B200" s="51"/>
      <c r="C200" s="51"/>
      <c r="D200" s="51"/>
      <c r="E200" s="55"/>
      <c r="F200" s="56"/>
      <c r="G200" s="56"/>
      <c r="H200" s="56"/>
      <c r="I200" s="56"/>
      <c r="J200" s="57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</row>
    <row r="201" spans="1:25" x14ac:dyDescent="0.25">
      <c r="A201" s="50"/>
      <c r="B201" s="51"/>
      <c r="C201" s="51"/>
      <c r="D201" s="51"/>
      <c r="E201" s="55"/>
      <c r="F201" s="56"/>
      <c r="G201" s="56"/>
      <c r="H201" s="56"/>
      <c r="I201" s="56"/>
      <c r="J201" s="57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</row>
    <row r="202" spans="1:25" x14ac:dyDescent="0.25">
      <c r="A202" s="50"/>
      <c r="B202" s="51"/>
      <c r="C202" s="51"/>
      <c r="D202" s="51"/>
      <c r="E202" s="55"/>
      <c r="F202" s="56"/>
      <c r="G202" s="56"/>
      <c r="H202" s="56"/>
      <c r="I202" s="56"/>
      <c r="J202" s="57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</row>
    <row r="203" spans="1:25" x14ac:dyDescent="0.25">
      <c r="A203" s="50"/>
      <c r="B203" s="51"/>
      <c r="C203" s="51"/>
      <c r="D203" s="51"/>
      <c r="E203" s="58"/>
      <c r="F203" s="59"/>
      <c r="G203" s="59"/>
      <c r="H203" s="59"/>
      <c r="I203" s="59"/>
      <c r="J203" s="60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</row>
    <row r="204" spans="1:25" x14ac:dyDescent="0.25">
      <c r="A204" s="9" t="s">
        <v>10</v>
      </c>
      <c r="B204" s="61"/>
      <c r="C204" s="61"/>
      <c r="D204" s="61"/>
      <c r="E204" s="62"/>
      <c r="F204" s="63"/>
      <c r="G204" s="63"/>
      <c r="H204" s="63"/>
      <c r="I204" s="63"/>
      <c r="J204" s="64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5">
        <f>90600 + 127200 + 600000</f>
        <v>817800</v>
      </c>
      <c r="V204" s="65"/>
      <c r="W204" s="65"/>
      <c r="X204" s="65"/>
      <c r="Y204" s="65"/>
    </row>
    <row r="205" spans="1:25" ht="15" customHeight="1" x14ac:dyDescent="0.25">
      <c r="A205" s="49">
        <v>45169</v>
      </c>
      <c r="B205" s="51"/>
      <c r="C205" s="51"/>
      <c r="D205" s="51"/>
      <c r="E205" s="52"/>
      <c r="F205" s="53"/>
      <c r="G205" s="53"/>
      <c r="H205" s="53"/>
      <c r="I205" s="53"/>
      <c r="J205" s="54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 t="s">
        <v>72</v>
      </c>
      <c r="V205" s="51"/>
      <c r="W205" s="51"/>
      <c r="X205" s="51"/>
      <c r="Y205" s="51"/>
    </row>
    <row r="206" spans="1:25" x14ac:dyDescent="0.25">
      <c r="A206" s="50"/>
      <c r="B206" s="51"/>
      <c r="C206" s="51"/>
      <c r="D206" s="51"/>
      <c r="E206" s="55"/>
      <c r="F206" s="56"/>
      <c r="G206" s="56"/>
      <c r="H206" s="56"/>
      <c r="I206" s="56"/>
      <c r="J206" s="57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</row>
    <row r="207" spans="1:25" x14ac:dyDescent="0.25">
      <c r="A207" s="50"/>
      <c r="B207" s="51"/>
      <c r="C207" s="51"/>
      <c r="D207" s="51"/>
      <c r="E207" s="55"/>
      <c r="F207" s="56"/>
      <c r="G207" s="56"/>
      <c r="H207" s="56"/>
      <c r="I207" s="56"/>
      <c r="J207" s="57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</row>
    <row r="208" spans="1:25" x14ac:dyDescent="0.25">
      <c r="A208" s="50"/>
      <c r="B208" s="51"/>
      <c r="C208" s="51"/>
      <c r="D208" s="51"/>
      <c r="E208" s="55"/>
      <c r="F208" s="56"/>
      <c r="G208" s="56"/>
      <c r="H208" s="56"/>
      <c r="I208" s="56"/>
      <c r="J208" s="57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</row>
    <row r="209" spans="1:25" x14ac:dyDescent="0.25">
      <c r="A209" s="50"/>
      <c r="B209" s="51"/>
      <c r="C209" s="51"/>
      <c r="D209" s="51"/>
      <c r="E209" s="55"/>
      <c r="F209" s="56"/>
      <c r="G209" s="56"/>
      <c r="H209" s="56"/>
      <c r="I209" s="56"/>
      <c r="J209" s="57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</row>
    <row r="210" spans="1:25" x14ac:dyDescent="0.25">
      <c r="A210" s="50"/>
      <c r="B210" s="51"/>
      <c r="C210" s="51"/>
      <c r="D210" s="51"/>
      <c r="E210" s="58"/>
      <c r="F210" s="59"/>
      <c r="G210" s="59"/>
      <c r="H210" s="59"/>
      <c r="I210" s="59"/>
      <c r="J210" s="60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</row>
    <row r="211" spans="1:25" x14ac:dyDescent="0.25">
      <c r="A211" s="9" t="s">
        <v>10</v>
      </c>
      <c r="B211" s="61"/>
      <c r="C211" s="61"/>
      <c r="D211" s="61"/>
      <c r="E211" s="62"/>
      <c r="F211" s="63"/>
      <c r="G211" s="63"/>
      <c r="H211" s="63"/>
      <c r="I211" s="63"/>
      <c r="J211" s="64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5">
        <f>600000 + 159100 + 73000 + 48000</f>
        <v>880100</v>
      </c>
      <c r="V211" s="65"/>
      <c r="W211" s="65"/>
      <c r="X211" s="65"/>
      <c r="Y211" s="65"/>
    </row>
  </sheetData>
  <mergeCells count="303">
    <mergeCell ref="B190:D190"/>
    <mergeCell ref="E190:J190"/>
    <mergeCell ref="K190:O190"/>
    <mergeCell ref="P190:T190"/>
    <mergeCell ref="U190:Y190"/>
    <mergeCell ref="U177:Y182"/>
    <mergeCell ref="B183:D183"/>
    <mergeCell ref="E183:J183"/>
    <mergeCell ref="K183:O183"/>
    <mergeCell ref="P183:T183"/>
    <mergeCell ref="U183:Y183"/>
    <mergeCell ref="A184:A189"/>
    <mergeCell ref="B184:D189"/>
    <mergeCell ref="E184:J189"/>
    <mergeCell ref="K184:O189"/>
    <mergeCell ref="P184:T189"/>
    <mergeCell ref="U184:Y189"/>
    <mergeCell ref="A135:A140"/>
    <mergeCell ref="B135:D140"/>
    <mergeCell ref="E135:J140"/>
    <mergeCell ref="K135:O140"/>
    <mergeCell ref="A177:A182"/>
    <mergeCell ref="B177:D182"/>
    <mergeCell ref="E177:J182"/>
    <mergeCell ref="K177:O182"/>
    <mergeCell ref="P177:T182"/>
    <mergeCell ref="A149:A154"/>
    <mergeCell ref="B149:D154"/>
    <mergeCell ref="E149:J154"/>
    <mergeCell ref="K149:O154"/>
    <mergeCell ref="P149:T154"/>
    <mergeCell ref="U149:Y154"/>
    <mergeCell ref="B155:D155"/>
    <mergeCell ref="E155:J155"/>
    <mergeCell ref="K155:O155"/>
    <mergeCell ref="A121:A126"/>
    <mergeCell ref="B121:D126"/>
    <mergeCell ref="E121:J126"/>
    <mergeCell ref="K121:O126"/>
    <mergeCell ref="P121:T126"/>
    <mergeCell ref="U121:Y126"/>
    <mergeCell ref="B169:D169"/>
    <mergeCell ref="E169:J169"/>
    <mergeCell ref="K169:O169"/>
    <mergeCell ref="P169:T169"/>
    <mergeCell ref="U169:Y169"/>
    <mergeCell ref="A156:A161"/>
    <mergeCell ref="B156:D161"/>
    <mergeCell ref="E156:J161"/>
    <mergeCell ref="K156:O161"/>
    <mergeCell ref="P156:T161"/>
    <mergeCell ref="U156:Y161"/>
    <mergeCell ref="B162:D162"/>
    <mergeCell ref="E162:J162"/>
    <mergeCell ref="K162:O162"/>
    <mergeCell ref="P162:T162"/>
    <mergeCell ref="U162:Y162"/>
    <mergeCell ref="A163:A168"/>
    <mergeCell ref="B163:D168"/>
    <mergeCell ref="A114:A119"/>
    <mergeCell ref="B114:D119"/>
    <mergeCell ref="E114:J119"/>
    <mergeCell ref="K114:O119"/>
    <mergeCell ref="P114:T119"/>
    <mergeCell ref="U114:Y119"/>
    <mergeCell ref="B120:D120"/>
    <mergeCell ref="E120:J120"/>
    <mergeCell ref="K120:O120"/>
    <mergeCell ref="P120:T120"/>
    <mergeCell ref="U120:Y120"/>
    <mergeCell ref="B127:D127"/>
    <mergeCell ref="E127:J127"/>
    <mergeCell ref="K127:O127"/>
    <mergeCell ref="P127:T127"/>
    <mergeCell ref="U127:Y127"/>
    <mergeCell ref="A128:A133"/>
    <mergeCell ref="B128:D133"/>
    <mergeCell ref="E128:J133"/>
    <mergeCell ref="K128:O133"/>
    <mergeCell ref="P128:T133"/>
    <mergeCell ref="U128:Y133"/>
    <mergeCell ref="A100:A105"/>
    <mergeCell ref="B100:D105"/>
    <mergeCell ref="E100:J105"/>
    <mergeCell ref="K100:O105"/>
    <mergeCell ref="P100:T105"/>
    <mergeCell ref="U100:Y105"/>
    <mergeCell ref="B106:D106"/>
    <mergeCell ref="E106:J106"/>
    <mergeCell ref="K106:O106"/>
    <mergeCell ref="P106:T106"/>
    <mergeCell ref="U106:Y106"/>
    <mergeCell ref="B92:D92"/>
    <mergeCell ref="E92:J92"/>
    <mergeCell ref="K92:O92"/>
    <mergeCell ref="P92:T92"/>
    <mergeCell ref="U92:Y92"/>
    <mergeCell ref="U85:Y85"/>
    <mergeCell ref="A86:A91"/>
    <mergeCell ref="B86:D91"/>
    <mergeCell ref="E86:J91"/>
    <mergeCell ref="K86:O91"/>
    <mergeCell ref="P86:T91"/>
    <mergeCell ref="U86:Y91"/>
    <mergeCell ref="U79:Y84"/>
    <mergeCell ref="E78:J78"/>
    <mergeCell ref="E79:J84"/>
    <mergeCell ref="E85:J85"/>
    <mergeCell ref="U28:Y28"/>
    <mergeCell ref="U57:Y57"/>
    <mergeCell ref="U58:Y63"/>
    <mergeCell ref="U64:Y64"/>
    <mergeCell ref="E57:J57"/>
    <mergeCell ref="E58:J63"/>
    <mergeCell ref="E64:J64"/>
    <mergeCell ref="E65:J70"/>
    <mergeCell ref="E72:J77"/>
    <mergeCell ref="E71:J71"/>
    <mergeCell ref="K85:O85"/>
    <mergeCell ref="P85:T85"/>
    <mergeCell ref="K71:O71"/>
    <mergeCell ref="P71:T71"/>
    <mergeCell ref="B58:D63"/>
    <mergeCell ref="B64:D64"/>
    <mergeCell ref="B37:D42"/>
    <mergeCell ref="B43:D43"/>
    <mergeCell ref="B44:D49"/>
    <mergeCell ref="B27:Y27"/>
    <mergeCell ref="B29:Y29"/>
    <mergeCell ref="U30:Y35"/>
    <mergeCell ref="U36:Y36"/>
    <mergeCell ref="U37:Y42"/>
    <mergeCell ref="U43:Y43"/>
    <mergeCell ref="U44:Y49"/>
    <mergeCell ref="U50:Y50"/>
    <mergeCell ref="U51:Y56"/>
    <mergeCell ref="E37:J42"/>
    <mergeCell ref="E43:J43"/>
    <mergeCell ref="E44:J49"/>
    <mergeCell ref="E50:J50"/>
    <mergeCell ref="E51:J56"/>
    <mergeCell ref="K36:O36"/>
    <mergeCell ref="P36:T36"/>
    <mergeCell ref="K28:O28"/>
    <mergeCell ref="P28:T28"/>
    <mergeCell ref="AM7:AM8"/>
    <mergeCell ref="K64:O64"/>
    <mergeCell ref="P64:T64"/>
    <mergeCell ref="K57:O57"/>
    <mergeCell ref="P57:T57"/>
    <mergeCell ref="A58:A63"/>
    <mergeCell ref="A1:AM6"/>
    <mergeCell ref="A79:A84"/>
    <mergeCell ref="K79:O84"/>
    <mergeCell ref="P79:T84"/>
    <mergeCell ref="K78:O78"/>
    <mergeCell ref="P78:T78"/>
    <mergeCell ref="D7:D8"/>
    <mergeCell ref="A72:A77"/>
    <mergeCell ref="K72:O77"/>
    <mergeCell ref="P72:T77"/>
    <mergeCell ref="K58:O63"/>
    <mergeCell ref="P58:T63"/>
    <mergeCell ref="P44:T49"/>
    <mergeCell ref="K50:O50"/>
    <mergeCell ref="P50:T50"/>
    <mergeCell ref="B30:D35"/>
    <mergeCell ref="B36:D36"/>
    <mergeCell ref="B57:D57"/>
    <mergeCell ref="A51:A56"/>
    <mergeCell ref="K51:O56"/>
    <mergeCell ref="P51:T56"/>
    <mergeCell ref="A44:A49"/>
    <mergeCell ref="K43:O43"/>
    <mergeCell ref="P43:T43"/>
    <mergeCell ref="K44:O49"/>
    <mergeCell ref="A37:A42"/>
    <mergeCell ref="A30:A35"/>
    <mergeCell ref="B50:D50"/>
    <mergeCell ref="B51:D56"/>
    <mergeCell ref="P30:T35"/>
    <mergeCell ref="E30:J35"/>
    <mergeCell ref="E36:J36"/>
    <mergeCell ref="AL7:AL8"/>
    <mergeCell ref="A7:A8"/>
    <mergeCell ref="B7:B8"/>
    <mergeCell ref="C7:C8"/>
    <mergeCell ref="E7:AJ7"/>
    <mergeCell ref="K37:O42"/>
    <mergeCell ref="P37:T42"/>
    <mergeCell ref="A27:A29"/>
    <mergeCell ref="K30:O35"/>
    <mergeCell ref="B28:D28"/>
    <mergeCell ref="E28:J28"/>
    <mergeCell ref="A25:Y26"/>
    <mergeCell ref="U93:Y98"/>
    <mergeCell ref="B99:D99"/>
    <mergeCell ref="E99:J99"/>
    <mergeCell ref="K99:O99"/>
    <mergeCell ref="P99:T99"/>
    <mergeCell ref="U99:Y99"/>
    <mergeCell ref="A65:A70"/>
    <mergeCell ref="K65:O70"/>
    <mergeCell ref="P65:T70"/>
    <mergeCell ref="B65:D70"/>
    <mergeCell ref="B71:D71"/>
    <mergeCell ref="A93:A98"/>
    <mergeCell ref="B93:D98"/>
    <mergeCell ref="E93:J98"/>
    <mergeCell ref="K93:O98"/>
    <mergeCell ref="P93:T98"/>
    <mergeCell ref="B72:D77"/>
    <mergeCell ref="B78:D78"/>
    <mergeCell ref="B79:D84"/>
    <mergeCell ref="B85:D85"/>
    <mergeCell ref="U65:Y70"/>
    <mergeCell ref="U71:Y71"/>
    <mergeCell ref="U72:Y77"/>
    <mergeCell ref="U78:Y78"/>
    <mergeCell ref="A107:A112"/>
    <mergeCell ref="B107:D112"/>
    <mergeCell ref="E107:J112"/>
    <mergeCell ref="K107:O112"/>
    <mergeCell ref="P107:T112"/>
    <mergeCell ref="U107:Y112"/>
    <mergeCell ref="B113:D113"/>
    <mergeCell ref="E113:J113"/>
    <mergeCell ref="K113:O113"/>
    <mergeCell ref="P113:T113"/>
    <mergeCell ref="U113:Y113"/>
    <mergeCell ref="A170:A175"/>
    <mergeCell ref="B170:D175"/>
    <mergeCell ref="E170:J175"/>
    <mergeCell ref="K170:O175"/>
    <mergeCell ref="P170:T175"/>
    <mergeCell ref="U170:Y175"/>
    <mergeCell ref="B134:D134"/>
    <mergeCell ref="E134:J134"/>
    <mergeCell ref="K134:O134"/>
    <mergeCell ref="P134:T134"/>
    <mergeCell ref="U134:Y134"/>
    <mergeCell ref="A142:A147"/>
    <mergeCell ref="B142:D147"/>
    <mergeCell ref="E142:J147"/>
    <mergeCell ref="K142:O147"/>
    <mergeCell ref="P142:T147"/>
    <mergeCell ref="U142:Y147"/>
    <mergeCell ref="P135:T140"/>
    <mergeCell ref="U135:Y140"/>
    <mergeCell ref="B141:D141"/>
    <mergeCell ref="E141:J141"/>
    <mergeCell ref="K141:O141"/>
    <mergeCell ref="P141:T141"/>
    <mergeCell ref="U141:Y141"/>
    <mergeCell ref="B176:D176"/>
    <mergeCell ref="E176:J176"/>
    <mergeCell ref="K176:O176"/>
    <mergeCell ref="P176:T176"/>
    <mergeCell ref="U176:Y176"/>
    <mergeCell ref="B148:D148"/>
    <mergeCell ref="E148:J148"/>
    <mergeCell ref="K148:O148"/>
    <mergeCell ref="P148:T148"/>
    <mergeCell ref="U148:Y148"/>
    <mergeCell ref="E163:J168"/>
    <mergeCell ref="K163:O168"/>
    <mergeCell ref="P163:T168"/>
    <mergeCell ref="U163:Y168"/>
    <mergeCell ref="P155:T155"/>
    <mergeCell ref="U155:Y155"/>
    <mergeCell ref="A191:A196"/>
    <mergeCell ref="B191:D196"/>
    <mergeCell ref="E191:J196"/>
    <mergeCell ref="K191:O196"/>
    <mergeCell ref="P191:T196"/>
    <mergeCell ref="U191:Y196"/>
    <mergeCell ref="B197:D197"/>
    <mergeCell ref="E197:J197"/>
    <mergeCell ref="K197:O197"/>
    <mergeCell ref="P197:T197"/>
    <mergeCell ref="U197:Y197"/>
    <mergeCell ref="A198:A203"/>
    <mergeCell ref="B198:D203"/>
    <mergeCell ref="E198:J203"/>
    <mergeCell ref="K198:O203"/>
    <mergeCell ref="P198:T203"/>
    <mergeCell ref="U198:Y203"/>
    <mergeCell ref="B204:D204"/>
    <mergeCell ref="E204:J204"/>
    <mergeCell ref="K204:O204"/>
    <mergeCell ref="P204:T204"/>
    <mergeCell ref="U204:Y204"/>
    <mergeCell ref="A205:A210"/>
    <mergeCell ref="B205:D210"/>
    <mergeCell ref="E205:J210"/>
    <mergeCell ref="K205:O210"/>
    <mergeCell ref="P205:T210"/>
    <mergeCell ref="U205:Y210"/>
    <mergeCell ref="B211:D211"/>
    <mergeCell ref="E211:J211"/>
    <mergeCell ref="K211:O211"/>
    <mergeCell ref="P211:T211"/>
    <mergeCell ref="U211:Y211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zoomScale="85" zoomScaleNormal="85" workbookViewId="0">
      <selection activeCell="E10" sqref="E10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9.42578125" customWidth="1"/>
    <col min="10" max="10" width="9.140625" customWidth="1"/>
    <col min="35" max="35" width="9" customWidth="1"/>
    <col min="36" max="36" width="16.85546875" customWidth="1"/>
    <col min="37" max="37" width="12" customWidth="1"/>
  </cols>
  <sheetData>
    <row r="1" spans="1:37" ht="15" customHeight="1" x14ac:dyDescent="0.25">
      <c r="A1" s="76" t="s">
        <v>29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</row>
    <row r="2" spans="1:37" ht="1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</row>
    <row r="3" spans="1:37" ht="15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</row>
    <row r="4" spans="1:37" ht="1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2"/>
    </row>
    <row r="5" spans="1:37" ht="15" customHeight="1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2"/>
    </row>
    <row r="6" spans="1:37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2"/>
    </row>
    <row r="7" spans="1:37" ht="15" customHeight="1" x14ac:dyDescent="0.25">
      <c r="A7" s="66" t="s">
        <v>6</v>
      </c>
      <c r="B7" s="66" t="s">
        <v>48</v>
      </c>
      <c r="C7" s="66" t="s">
        <v>47</v>
      </c>
      <c r="D7" s="66" t="s">
        <v>30</v>
      </c>
      <c r="E7" s="79" t="s">
        <v>73</v>
      </c>
      <c r="F7" s="80" t="s">
        <v>0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2"/>
      <c r="AJ7" s="66" t="s">
        <v>1</v>
      </c>
      <c r="AK7" s="66" t="s">
        <v>32</v>
      </c>
    </row>
    <row r="8" spans="1:37" x14ac:dyDescent="0.25">
      <c r="A8" s="67"/>
      <c r="B8" s="67"/>
      <c r="C8" s="67"/>
      <c r="D8" s="67"/>
      <c r="E8" s="79"/>
      <c r="F8" s="3">
        <v>45170</v>
      </c>
      <c r="G8" s="3">
        <v>45171</v>
      </c>
      <c r="H8" s="3">
        <v>45172</v>
      </c>
      <c r="I8" s="3">
        <v>45173</v>
      </c>
      <c r="J8" s="3">
        <v>45174</v>
      </c>
      <c r="K8" s="3">
        <v>45175</v>
      </c>
      <c r="L8" s="3">
        <v>45176</v>
      </c>
      <c r="M8" s="3">
        <v>45177</v>
      </c>
      <c r="N8" s="3">
        <v>45178</v>
      </c>
      <c r="O8" s="3">
        <v>45179</v>
      </c>
      <c r="P8" s="3">
        <v>45180</v>
      </c>
      <c r="Q8" s="3">
        <v>45181</v>
      </c>
      <c r="R8" s="3">
        <v>45182</v>
      </c>
      <c r="S8" s="3">
        <v>45183</v>
      </c>
      <c r="T8" s="3">
        <v>45184</v>
      </c>
      <c r="U8" s="3">
        <v>45185</v>
      </c>
      <c r="V8" s="3">
        <v>45186</v>
      </c>
      <c r="W8" s="3">
        <v>45187</v>
      </c>
      <c r="X8" s="3">
        <v>45188</v>
      </c>
      <c r="Y8" s="3">
        <v>45189</v>
      </c>
      <c r="Z8" s="3">
        <v>45190</v>
      </c>
      <c r="AA8" s="3">
        <v>45191</v>
      </c>
      <c r="AB8" s="3">
        <v>45192</v>
      </c>
      <c r="AC8" s="3">
        <v>45193</v>
      </c>
      <c r="AD8" s="3">
        <v>45194</v>
      </c>
      <c r="AE8" s="3">
        <v>45195</v>
      </c>
      <c r="AF8" s="3">
        <v>45196</v>
      </c>
      <c r="AG8" s="3">
        <v>45197</v>
      </c>
      <c r="AH8" s="3">
        <v>45198</v>
      </c>
      <c r="AI8" s="3">
        <v>45199</v>
      </c>
      <c r="AJ8" s="67"/>
      <c r="AK8" s="67"/>
    </row>
    <row r="9" spans="1:37" x14ac:dyDescent="0.25">
      <c r="A9" s="26">
        <v>0.127</v>
      </c>
      <c r="B9" s="20" t="s">
        <v>2</v>
      </c>
      <c r="C9" s="21">
        <v>20230926006</v>
      </c>
      <c r="D9" s="28">
        <v>500</v>
      </c>
      <c r="E9" s="25">
        <v>1.4</v>
      </c>
      <c r="F9" s="24"/>
      <c r="G9" s="11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f>B17*B36/1000</f>
        <v>18.527879999999996</v>
      </c>
      <c r="AG9" s="8"/>
      <c r="AH9" s="8"/>
      <c r="AI9" s="8"/>
      <c r="AJ9" s="14">
        <f>SUM(F9:AI9)</f>
        <v>18.527879999999996</v>
      </c>
      <c r="AK9" s="30">
        <f>AJ9+E9-D9</f>
        <v>-480.07211999999998</v>
      </c>
    </row>
    <row r="10" spans="1:37" x14ac:dyDescent="0.25">
      <c r="A10" s="26">
        <v>0.12</v>
      </c>
      <c r="B10" s="20" t="s">
        <v>3</v>
      </c>
      <c r="C10" s="15">
        <v>20230926005</v>
      </c>
      <c r="D10" s="29">
        <v>600</v>
      </c>
      <c r="E10" s="25">
        <v>10.06</v>
      </c>
      <c r="F10" s="2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4">
        <f t="shared" ref="AJ10:AJ13" si="0">SUM(F10:AI10)</f>
        <v>0</v>
      </c>
      <c r="AK10" s="30">
        <f t="shared" ref="AK10:AK13" si="1">AJ10+E10-D10</f>
        <v>-589.94000000000005</v>
      </c>
    </row>
    <row r="11" spans="1:37" x14ac:dyDescent="0.25">
      <c r="A11" s="26">
        <v>0.2</v>
      </c>
      <c r="B11" s="20" t="s">
        <v>4</v>
      </c>
      <c r="C11" s="15">
        <v>20230926007</v>
      </c>
      <c r="D11" s="29">
        <v>800</v>
      </c>
      <c r="E11" s="25">
        <v>22.22</v>
      </c>
      <c r="F11" s="2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f>B19*J36/1000</f>
        <v>28.435320000000004</v>
      </c>
      <c r="AG11" s="8"/>
      <c r="AH11" s="8"/>
      <c r="AI11" s="8"/>
      <c r="AJ11" s="14">
        <f t="shared" si="0"/>
        <v>28.435320000000004</v>
      </c>
      <c r="AK11" s="30">
        <f t="shared" si="1"/>
        <v>-749.34468000000004</v>
      </c>
    </row>
    <row r="12" spans="1:37" x14ac:dyDescent="0.25">
      <c r="A12" s="26">
        <v>0.16</v>
      </c>
      <c r="B12" s="20" t="s">
        <v>5</v>
      </c>
      <c r="C12" s="15">
        <v>20230926004</v>
      </c>
      <c r="D12" s="29">
        <v>300</v>
      </c>
      <c r="E12" s="25">
        <v>240.57</v>
      </c>
      <c r="F12" s="2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14">
        <f t="shared" si="0"/>
        <v>0</v>
      </c>
      <c r="AK12" s="30">
        <f t="shared" si="1"/>
        <v>-59.430000000000007</v>
      </c>
    </row>
    <row r="13" spans="1:37" x14ac:dyDescent="0.25">
      <c r="A13" s="27">
        <v>0.08</v>
      </c>
      <c r="B13" s="20" t="s">
        <v>31</v>
      </c>
      <c r="C13" s="15">
        <v>20230926008</v>
      </c>
      <c r="D13" s="29">
        <v>1600</v>
      </c>
      <c r="E13" s="25">
        <v>87.32</v>
      </c>
      <c r="F13" s="2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>
        <f>B21*T36/1000</f>
        <v>103.31064000000001</v>
      </c>
      <c r="AG13" s="8"/>
      <c r="AH13" s="8">
        <f>B21*T43/1000</f>
        <v>110.19890999999998</v>
      </c>
      <c r="AI13" s="8">
        <f>B21*T50/1000</f>
        <v>48.276000000000003</v>
      </c>
      <c r="AJ13" s="14">
        <f t="shared" si="0"/>
        <v>261.78555</v>
      </c>
      <c r="AK13" s="30">
        <f t="shared" si="1"/>
        <v>-1250.89445</v>
      </c>
    </row>
    <row r="16" spans="1:37" x14ac:dyDescent="0.25">
      <c r="A16" s="6" t="s">
        <v>9</v>
      </c>
      <c r="B16" s="6" t="s">
        <v>23</v>
      </c>
    </row>
    <row r="17" spans="1:24" x14ac:dyDescent="0.25">
      <c r="A17" s="18">
        <v>0.127</v>
      </c>
      <c r="B17" s="5">
        <v>0.11269999999999999</v>
      </c>
    </row>
    <row r="18" spans="1:24" x14ac:dyDescent="0.25">
      <c r="A18" s="18">
        <v>0.12</v>
      </c>
      <c r="B18" s="5">
        <v>0.10059999999999999</v>
      </c>
    </row>
    <row r="19" spans="1:24" x14ac:dyDescent="0.25">
      <c r="A19" s="18">
        <v>0.2</v>
      </c>
      <c r="B19" s="5">
        <v>0.27960000000000002</v>
      </c>
    </row>
    <row r="20" spans="1:24" x14ac:dyDescent="0.25">
      <c r="A20" s="18">
        <v>0.16</v>
      </c>
      <c r="B20" s="5">
        <v>0.1789</v>
      </c>
    </row>
    <row r="21" spans="1:24" x14ac:dyDescent="0.25">
      <c r="A21" s="18">
        <v>0.08</v>
      </c>
      <c r="B21" s="5">
        <v>4.4699999999999997E-2</v>
      </c>
    </row>
    <row r="22" spans="1:24" x14ac:dyDescent="0.25">
      <c r="A22" s="7"/>
      <c r="B22" s="7"/>
    </row>
    <row r="23" spans="1:24" x14ac:dyDescent="0.25">
      <c r="A23" s="7"/>
      <c r="B23" s="7"/>
    </row>
    <row r="24" spans="1:24" x14ac:dyDescent="0.25">
      <c r="A24" s="7"/>
      <c r="B24" s="7"/>
    </row>
    <row r="25" spans="1:24" x14ac:dyDescent="0.25">
      <c r="A25" s="73" t="s">
        <v>7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</row>
    <row r="26" spans="1:24" x14ac:dyDescent="0.25">
      <c r="A26" s="74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</row>
    <row r="27" spans="1:24" x14ac:dyDescent="0.25">
      <c r="A27" s="71" t="s">
        <v>8</v>
      </c>
      <c r="B27" s="71" t="s">
        <v>11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r="28" spans="1:24" x14ac:dyDescent="0.25">
      <c r="A28" s="71"/>
      <c r="B28" s="72">
        <v>0.127</v>
      </c>
      <c r="C28" s="72"/>
      <c r="D28" s="72"/>
      <c r="E28" s="72">
        <v>0.12</v>
      </c>
      <c r="F28" s="72"/>
      <c r="G28" s="72"/>
      <c r="H28" s="72"/>
      <c r="I28" s="72"/>
      <c r="J28" s="72">
        <v>0.2</v>
      </c>
      <c r="K28" s="72"/>
      <c r="L28" s="72"/>
      <c r="M28" s="72"/>
      <c r="N28" s="72"/>
      <c r="O28" s="72">
        <v>0.16</v>
      </c>
      <c r="P28" s="72"/>
      <c r="Q28" s="72"/>
      <c r="R28" s="72"/>
      <c r="S28" s="72"/>
      <c r="T28" s="78">
        <v>0.08</v>
      </c>
      <c r="U28" s="78"/>
      <c r="V28" s="78"/>
      <c r="W28" s="78"/>
      <c r="X28" s="78"/>
    </row>
    <row r="29" spans="1:24" x14ac:dyDescent="0.25">
      <c r="A29" s="71"/>
      <c r="B29" s="71" t="s">
        <v>12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 spans="1:24" x14ac:dyDescent="0.25">
      <c r="A30" s="49">
        <v>45196</v>
      </c>
      <c r="B30" s="51" t="s">
        <v>74</v>
      </c>
      <c r="C30" s="51"/>
      <c r="D30" s="51"/>
      <c r="E30" s="51"/>
      <c r="F30" s="51"/>
      <c r="G30" s="51"/>
      <c r="H30" s="51"/>
      <c r="I30" s="51"/>
      <c r="J30" s="51">
        <v>101700</v>
      </c>
      <c r="K30" s="51"/>
      <c r="L30" s="51"/>
      <c r="M30" s="51"/>
      <c r="N30" s="51"/>
      <c r="O30" s="51"/>
      <c r="P30" s="51"/>
      <c r="Q30" s="51"/>
      <c r="R30" s="51"/>
      <c r="S30" s="51"/>
      <c r="T30" s="51" t="s">
        <v>76</v>
      </c>
      <c r="U30" s="51"/>
      <c r="V30" s="51"/>
      <c r="W30" s="51"/>
      <c r="X30" s="51"/>
    </row>
    <row r="31" spans="1:24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3" spans="1:24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</row>
    <row r="34" spans="1:24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spans="1:24" x14ac:dyDescent="0.25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 x14ac:dyDescent="0.25">
      <c r="A36" s="4" t="s">
        <v>10</v>
      </c>
      <c r="B36" s="61">
        <f>14400 + 150000</f>
        <v>164400</v>
      </c>
      <c r="C36" s="61"/>
      <c r="D36" s="61"/>
      <c r="E36" s="61"/>
      <c r="F36" s="61"/>
      <c r="G36" s="61"/>
      <c r="H36" s="61"/>
      <c r="I36" s="61"/>
      <c r="J36" s="61">
        <f>101700</f>
        <v>101700</v>
      </c>
      <c r="K36" s="61"/>
      <c r="L36" s="61"/>
      <c r="M36" s="61"/>
      <c r="N36" s="61"/>
      <c r="O36" s="61"/>
      <c r="P36" s="61"/>
      <c r="Q36" s="61"/>
      <c r="R36" s="61"/>
      <c r="S36" s="61"/>
      <c r="T36" s="65">
        <f>448300 + 430600 + 144100 + 479200 + 346000 + 200000 + 263000</f>
        <v>2311200</v>
      </c>
      <c r="U36" s="65"/>
      <c r="V36" s="65"/>
      <c r="W36" s="65"/>
      <c r="X36" s="65"/>
    </row>
    <row r="37" spans="1:24" x14ac:dyDescent="0.25">
      <c r="A37" s="49">
        <v>45198</v>
      </c>
      <c r="B37" s="51" t="s">
        <v>80</v>
      </c>
      <c r="C37" s="51"/>
      <c r="D37" s="51"/>
      <c r="E37" s="51"/>
      <c r="F37" s="51"/>
      <c r="G37" s="51"/>
      <c r="H37" s="51"/>
      <c r="I37" s="51"/>
      <c r="J37" s="51" t="s">
        <v>81</v>
      </c>
      <c r="K37" s="51"/>
      <c r="L37" s="51"/>
      <c r="M37" s="51"/>
      <c r="N37" s="51"/>
      <c r="O37" s="51"/>
      <c r="P37" s="51"/>
      <c r="Q37" s="51"/>
      <c r="R37" s="51"/>
      <c r="S37" s="51"/>
      <c r="T37" s="51" t="s">
        <v>77</v>
      </c>
      <c r="U37" s="51"/>
      <c r="V37" s="51"/>
      <c r="W37" s="51"/>
      <c r="X37" s="51"/>
    </row>
    <row r="38" spans="1:24" x14ac:dyDescent="0.25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</row>
    <row r="39" spans="1:24" x14ac:dyDescent="0.25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</row>
    <row r="40" spans="1:24" x14ac:dyDescent="0.25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</row>
    <row r="41" spans="1:24" x14ac:dyDescent="0.25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</row>
    <row r="42" spans="1:24" x14ac:dyDescent="0.25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</row>
    <row r="43" spans="1:24" x14ac:dyDescent="0.25">
      <c r="A43" s="4" t="s">
        <v>10</v>
      </c>
      <c r="B43" s="61">
        <f>150000 + 150000 + 44000</f>
        <v>344000</v>
      </c>
      <c r="C43" s="61"/>
      <c r="D43" s="61"/>
      <c r="E43" s="61"/>
      <c r="F43" s="61"/>
      <c r="G43" s="61"/>
      <c r="H43" s="61"/>
      <c r="I43" s="61"/>
      <c r="J43" s="61">
        <f>31700 + 150000 + 150000 + 15200</f>
        <v>346900</v>
      </c>
      <c r="K43" s="61"/>
      <c r="L43" s="61"/>
      <c r="M43" s="61"/>
      <c r="N43" s="61"/>
      <c r="O43" s="61"/>
      <c r="P43" s="61"/>
      <c r="Q43" s="61"/>
      <c r="R43" s="61"/>
      <c r="S43" s="61"/>
      <c r="T43" s="65">
        <f>170800 + 385800 + 360600 + 600000 + 600000 + 238100 + 110000</f>
        <v>2465300</v>
      </c>
      <c r="U43" s="65"/>
      <c r="V43" s="65"/>
      <c r="W43" s="65"/>
      <c r="X43" s="65"/>
    </row>
    <row r="44" spans="1:24" x14ac:dyDescent="0.25">
      <c r="A44" s="49">
        <v>45199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 t="s">
        <v>78</v>
      </c>
      <c r="U44" s="51"/>
      <c r="V44" s="51"/>
      <c r="W44" s="51"/>
      <c r="X44" s="51"/>
    </row>
    <row r="45" spans="1:24" x14ac:dyDescent="0.2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</row>
    <row r="46" spans="1:24" x14ac:dyDescent="0.25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</row>
    <row r="47" spans="1:24" x14ac:dyDescent="0.25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</row>
    <row r="48" spans="1:24" x14ac:dyDescent="0.25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</row>
    <row r="49" spans="1:24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</row>
    <row r="50" spans="1:24" x14ac:dyDescent="0.25">
      <c r="A50" s="4" t="s">
        <v>10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5">
        <f>360000 + 360000 + 360000</f>
        <v>1080000</v>
      </c>
      <c r="U50" s="65"/>
      <c r="V50" s="65"/>
      <c r="W50" s="65"/>
      <c r="X50" s="65"/>
    </row>
  </sheetData>
  <mergeCells count="51">
    <mergeCell ref="T44:X49"/>
    <mergeCell ref="B50:D50"/>
    <mergeCell ref="E50:I50"/>
    <mergeCell ref="J50:N50"/>
    <mergeCell ref="O50:S50"/>
    <mergeCell ref="T50:X50"/>
    <mergeCell ref="A44:A49"/>
    <mergeCell ref="B44:D49"/>
    <mergeCell ref="E44:I49"/>
    <mergeCell ref="J44:N49"/>
    <mergeCell ref="O44:S49"/>
    <mergeCell ref="T37:X42"/>
    <mergeCell ref="B43:D43"/>
    <mergeCell ref="E43:I43"/>
    <mergeCell ref="J43:N43"/>
    <mergeCell ref="O43:S43"/>
    <mergeCell ref="T43:X43"/>
    <mergeCell ref="A37:A42"/>
    <mergeCell ref="B37:D42"/>
    <mergeCell ref="E37:I42"/>
    <mergeCell ref="J37:N42"/>
    <mergeCell ref="O37:S42"/>
    <mergeCell ref="E36:I36"/>
    <mergeCell ref="B36:D36"/>
    <mergeCell ref="J36:N36"/>
    <mergeCell ref="O36:S36"/>
    <mergeCell ref="T36:X36"/>
    <mergeCell ref="A30:A35"/>
    <mergeCell ref="B30:D35"/>
    <mergeCell ref="J30:N35"/>
    <mergeCell ref="O30:S35"/>
    <mergeCell ref="T30:X35"/>
    <mergeCell ref="E30:I35"/>
    <mergeCell ref="A25:X26"/>
    <mergeCell ref="A27:A29"/>
    <mergeCell ref="B27:X27"/>
    <mergeCell ref="B28:D28"/>
    <mergeCell ref="J28:N28"/>
    <mergeCell ref="O28:S28"/>
    <mergeCell ref="T28:X28"/>
    <mergeCell ref="B29:X29"/>
    <mergeCell ref="E28:I28"/>
    <mergeCell ref="AK7:AK8"/>
    <mergeCell ref="E7:E8"/>
    <mergeCell ref="F7:AI7"/>
    <mergeCell ref="A1:AJ6"/>
    <mergeCell ref="A7:A8"/>
    <mergeCell ref="B7:B8"/>
    <mergeCell ref="C7:C8"/>
    <mergeCell ref="D7:D8"/>
    <mergeCell ref="AJ7:AJ8"/>
  </mergeCells>
  <pageMargins left="0.7" right="0.7" top="0.75" bottom="0.75" header="0.3" footer="0.3"/>
  <ignoredErrors>
    <ignoredError sqref="AJ12 AJ1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9"/>
  <sheetViews>
    <sheetView zoomScale="85" zoomScaleNormal="85" workbookViewId="0">
      <selection activeCell="H24" sqref="H24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9.42578125" customWidth="1"/>
    <col min="10" max="10" width="9.140625" customWidth="1"/>
    <col min="35" max="35" width="9" customWidth="1"/>
    <col min="36" max="36" width="16.85546875" customWidth="1"/>
    <col min="37" max="37" width="12" customWidth="1"/>
  </cols>
  <sheetData>
    <row r="1" spans="1:37" ht="15" customHeight="1" x14ac:dyDescent="0.25">
      <c r="A1" s="76" t="s">
        <v>29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</row>
    <row r="2" spans="1:37" ht="1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</row>
    <row r="3" spans="1:37" ht="15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</row>
    <row r="4" spans="1:37" ht="1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2"/>
    </row>
    <row r="5" spans="1:37" ht="15" customHeight="1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2"/>
    </row>
    <row r="6" spans="1:37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2"/>
    </row>
    <row r="7" spans="1:37" ht="15" customHeight="1" x14ac:dyDescent="0.25">
      <c r="A7" s="66" t="s">
        <v>6</v>
      </c>
      <c r="B7" s="66" t="s">
        <v>48</v>
      </c>
      <c r="C7" s="66" t="s">
        <v>47</v>
      </c>
      <c r="D7" s="66" t="s">
        <v>30</v>
      </c>
      <c r="E7" s="79" t="s">
        <v>73</v>
      </c>
      <c r="F7" s="80" t="s">
        <v>0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2"/>
      <c r="AJ7" s="66" t="s">
        <v>1</v>
      </c>
      <c r="AK7" s="66" t="s">
        <v>32</v>
      </c>
    </row>
    <row r="8" spans="1:37" x14ac:dyDescent="0.25">
      <c r="A8" s="67"/>
      <c r="B8" s="67"/>
      <c r="C8" s="67"/>
      <c r="D8" s="67"/>
      <c r="E8" s="79"/>
      <c r="F8" s="3">
        <v>45200</v>
      </c>
      <c r="G8" s="3">
        <v>45201</v>
      </c>
      <c r="H8" s="3">
        <v>45202</v>
      </c>
      <c r="I8" s="3">
        <v>45203</v>
      </c>
      <c r="J8" s="3">
        <v>45204</v>
      </c>
      <c r="K8" s="3">
        <v>45205</v>
      </c>
      <c r="L8" s="3">
        <v>45206</v>
      </c>
      <c r="M8" s="3">
        <v>45207</v>
      </c>
      <c r="N8" s="3">
        <v>45208</v>
      </c>
      <c r="O8" s="3">
        <v>45209</v>
      </c>
      <c r="P8" s="3">
        <v>45210</v>
      </c>
      <c r="Q8" s="3">
        <v>45211</v>
      </c>
      <c r="R8" s="3">
        <v>45212</v>
      </c>
      <c r="S8" s="3">
        <v>45213</v>
      </c>
      <c r="T8" s="3">
        <v>45214</v>
      </c>
      <c r="U8" s="3">
        <v>45215</v>
      </c>
      <c r="V8" s="3">
        <v>45216</v>
      </c>
      <c r="W8" s="3">
        <v>45217</v>
      </c>
      <c r="X8" s="3">
        <v>45218</v>
      </c>
      <c r="Y8" s="3">
        <v>45219</v>
      </c>
      <c r="Z8" s="3">
        <v>45220</v>
      </c>
      <c r="AA8" s="3">
        <v>45221</v>
      </c>
      <c r="AB8" s="3">
        <v>45222</v>
      </c>
      <c r="AC8" s="3">
        <v>45223</v>
      </c>
      <c r="AD8" s="3">
        <v>45224</v>
      </c>
      <c r="AE8" s="3">
        <v>45225</v>
      </c>
      <c r="AF8" s="3">
        <v>45226</v>
      </c>
      <c r="AG8" s="3">
        <v>45227</v>
      </c>
      <c r="AH8" s="3">
        <v>45228</v>
      </c>
      <c r="AI8" s="3">
        <v>45229</v>
      </c>
      <c r="AJ8" s="67"/>
      <c r="AK8" s="67"/>
    </row>
    <row r="9" spans="1:37" x14ac:dyDescent="0.25">
      <c r="A9" s="26">
        <v>0.127</v>
      </c>
      <c r="B9" s="32" t="s">
        <v>2</v>
      </c>
      <c r="C9" s="31">
        <v>20230926006</v>
      </c>
      <c r="D9" s="28">
        <v>500</v>
      </c>
      <c r="E9" s="25">
        <v>19.93</v>
      </c>
      <c r="F9" s="24"/>
      <c r="G9" s="11">
        <f>B19*B39/1000</f>
        <v>32.9084</v>
      </c>
      <c r="H9" s="8">
        <f>B19*B46/1000</f>
        <v>51.616599999999998</v>
      </c>
      <c r="I9" s="8">
        <f>B19*B53/1000</f>
        <v>57.431919999999998</v>
      </c>
      <c r="J9" s="8">
        <f>B19*B60/1000</f>
        <v>42.228689999999993</v>
      </c>
      <c r="K9" s="8">
        <f>B19*B67/1000</f>
        <v>35.973839999999996</v>
      </c>
      <c r="L9" s="8"/>
      <c r="M9" s="8"/>
      <c r="N9" s="8"/>
      <c r="O9" s="8"/>
      <c r="P9" s="8"/>
      <c r="Q9" s="8"/>
      <c r="R9" s="8">
        <f>B19*B109/1000</f>
        <v>79.780330000000006</v>
      </c>
      <c r="S9" s="8">
        <f>B19*B116/1000</f>
        <v>48.382109999999997</v>
      </c>
      <c r="T9" s="8"/>
      <c r="U9" s="8">
        <f>B19*B123/1000</f>
        <v>80.456530000000001</v>
      </c>
      <c r="V9" s="8">
        <f>B19*B130/1000</f>
        <v>45.970329999999997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14">
        <f>SUM(F9:AI9)</f>
        <v>474.74874999999997</v>
      </c>
      <c r="AK9" s="30">
        <f>AJ9+E9-D9</f>
        <v>-5.3212500000000205</v>
      </c>
    </row>
    <row r="10" spans="1:37" x14ac:dyDescent="0.25">
      <c r="A10" s="26">
        <v>0.12</v>
      </c>
      <c r="B10" s="32" t="s">
        <v>3</v>
      </c>
      <c r="C10" s="15">
        <v>20230926005</v>
      </c>
      <c r="D10" s="29">
        <v>600</v>
      </c>
      <c r="E10" s="25">
        <v>10.06</v>
      </c>
      <c r="F10" s="2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>
        <f>B20*E137/1000</f>
        <v>32.5441</v>
      </c>
      <c r="X10" s="8">
        <f>B20*E144/1000</f>
        <v>86.344979999999993</v>
      </c>
      <c r="Y10" s="8">
        <f>A20*E151/1000</f>
        <v>78.695999999999998</v>
      </c>
      <c r="Z10" s="8">
        <f>B20*E158/1000</f>
        <v>43.630220000000001</v>
      </c>
      <c r="AA10" s="8"/>
      <c r="AB10" s="8">
        <f>B20*E165/1000</f>
        <v>78.005239999999986</v>
      </c>
      <c r="AC10" s="8">
        <f>B20*E172/1000</f>
        <v>87.019000000000005</v>
      </c>
      <c r="AD10" s="8">
        <f>B20*E179/1000</f>
        <v>74.454059999999998</v>
      </c>
      <c r="AE10" s="8"/>
      <c r="AF10" s="8"/>
      <c r="AG10" s="8"/>
      <c r="AH10" s="8"/>
      <c r="AI10" s="8"/>
      <c r="AJ10" s="14">
        <f t="shared" ref="AJ10:AJ15" si="0">SUM(F10:AI10)</f>
        <v>480.69360000000006</v>
      </c>
      <c r="AK10" s="30">
        <f t="shared" ref="AK10:AK15" si="1">AJ10+E10-D10</f>
        <v>-109.24639999999994</v>
      </c>
    </row>
    <row r="11" spans="1:37" x14ac:dyDescent="0.25">
      <c r="A11" s="26">
        <v>0.2</v>
      </c>
      <c r="B11" s="32" t="s">
        <v>4</v>
      </c>
      <c r="C11" s="15">
        <v>20230926007</v>
      </c>
      <c r="D11" s="23">
        <v>800</v>
      </c>
      <c r="E11" s="25">
        <v>50.66</v>
      </c>
      <c r="F11" s="25"/>
      <c r="G11" s="8">
        <f>B21*J39/1000</f>
        <v>61.735680000000002</v>
      </c>
      <c r="H11" s="8">
        <f>B21*J46/1000</f>
        <v>70.207560000000001</v>
      </c>
      <c r="I11" s="8">
        <f>B21*J53/1000</f>
        <v>112.8186</v>
      </c>
      <c r="J11" s="8">
        <f>B21*J60/1000</f>
        <v>97.86</v>
      </c>
      <c r="K11" s="8">
        <f>B21*J67/1000</f>
        <v>77.728800000000007</v>
      </c>
      <c r="L11" s="8">
        <f>B21*J74/1000</f>
        <v>30.224760000000003</v>
      </c>
      <c r="M11" s="8"/>
      <c r="N11" s="8"/>
      <c r="O11" s="8"/>
      <c r="P11" s="8"/>
      <c r="Q11" s="8">
        <f>B21*J102/1000</f>
        <v>33.552</v>
      </c>
      <c r="R11" s="8">
        <f>B21*J109/1000</f>
        <v>175.61676</v>
      </c>
      <c r="S11" s="8">
        <f>B21*J116/1000</f>
        <v>154.47900000000001</v>
      </c>
      <c r="T11" s="8"/>
      <c r="U11" s="8">
        <f>B21*J123/1000</f>
        <v>195.77592000000001</v>
      </c>
      <c r="V11" s="8">
        <f>B21*J130/1000</f>
        <v>67.523400000000009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14">
        <f t="shared" si="0"/>
        <v>1077.5224800000001</v>
      </c>
      <c r="AK11" s="10">
        <f t="shared" si="1"/>
        <v>328.18248000000017</v>
      </c>
    </row>
    <row r="12" spans="1:37" x14ac:dyDescent="0.25">
      <c r="A12" s="26">
        <v>0.2</v>
      </c>
      <c r="B12" s="33" t="s">
        <v>4</v>
      </c>
      <c r="C12" s="15">
        <v>20231020001</v>
      </c>
      <c r="D12" s="23">
        <v>280</v>
      </c>
      <c r="E12" s="25">
        <f>AK11</f>
        <v>328.18248000000017</v>
      </c>
      <c r="F12" s="2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14">
        <f t="shared" si="0"/>
        <v>0</v>
      </c>
      <c r="AK12" s="10">
        <f t="shared" si="1"/>
        <v>48.182480000000169</v>
      </c>
    </row>
    <row r="13" spans="1:37" x14ac:dyDescent="0.25">
      <c r="A13" s="26">
        <v>0.16</v>
      </c>
      <c r="B13" s="32" t="s">
        <v>5</v>
      </c>
      <c r="C13" s="15">
        <v>20230926004</v>
      </c>
      <c r="D13" s="29">
        <v>300</v>
      </c>
      <c r="E13" s="25">
        <v>240.57</v>
      </c>
      <c r="F13" s="2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14">
        <f t="shared" si="0"/>
        <v>0</v>
      </c>
      <c r="AK13" s="30">
        <f t="shared" si="1"/>
        <v>-59.430000000000007</v>
      </c>
    </row>
    <row r="14" spans="1:37" x14ac:dyDescent="0.25">
      <c r="A14" s="27">
        <v>0.08</v>
      </c>
      <c r="B14" s="32" t="s">
        <v>31</v>
      </c>
      <c r="C14" s="15">
        <v>20230926008</v>
      </c>
      <c r="D14" s="23">
        <v>1600</v>
      </c>
      <c r="E14" s="25">
        <v>349.11</v>
      </c>
      <c r="F14" s="25"/>
      <c r="G14" s="8">
        <f>B23*T39/1000</f>
        <v>115.34387999999998</v>
      </c>
      <c r="H14" s="8">
        <f>B23*T46/1000</f>
        <v>99.515609999999981</v>
      </c>
      <c r="I14" s="8">
        <f>B23*T53/1000</f>
        <v>102.19314</v>
      </c>
      <c r="J14" s="8">
        <f>B23*T60/1000</f>
        <v>95.179709999999986</v>
      </c>
      <c r="K14" s="8">
        <f>B23*T67/1000</f>
        <v>64.788179999999997</v>
      </c>
      <c r="L14" s="8">
        <f>B23*T74/1000</f>
        <v>43.908809999999995</v>
      </c>
      <c r="M14" s="8"/>
      <c r="N14" s="8">
        <f>B23*T81/1000</f>
        <v>101.08457999999999</v>
      </c>
      <c r="O14" s="8">
        <f>B23*T88/1000</f>
        <v>49.764509999999994</v>
      </c>
      <c r="P14" s="8">
        <f>B23*T95/1000</f>
        <v>38.759369999999997</v>
      </c>
      <c r="Q14" s="8">
        <f>B23*T102/1000</f>
        <v>108.41537999999998</v>
      </c>
      <c r="R14" s="8">
        <f>B23*T109/1000</f>
        <v>131.53869</v>
      </c>
      <c r="S14" s="8">
        <f>B23*T116/1000</f>
        <v>73.053209999999993</v>
      </c>
      <c r="T14" s="8"/>
      <c r="U14" s="8">
        <f>B23*T123/1000</f>
        <v>112.17465</v>
      </c>
      <c r="V14" s="8">
        <f>B23*T130/1000</f>
        <v>108.44667</v>
      </c>
      <c r="W14" s="8">
        <f>B23*T137/1000</f>
        <v>69.307349999999985</v>
      </c>
      <c r="X14" s="8">
        <f>B23*T144/1000</f>
        <v>1.4214599999999997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14">
        <f t="shared" si="0"/>
        <v>1314.8951999999999</v>
      </c>
      <c r="AK14" s="10">
        <f t="shared" si="1"/>
        <v>64.005200000000059</v>
      </c>
    </row>
    <row r="15" spans="1:37" x14ac:dyDescent="0.25">
      <c r="A15" s="27">
        <v>0.18</v>
      </c>
      <c r="B15" s="32" t="s">
        <v>75</v>
      </c>
      <c r="C15" s="15">
        <v>20231002022</v>
      </c>
      <c r="D15" s="23">
        <v>100</v>
      </c>
      <c r="E15" s="25">
        <v>0</v>
      </c>
      <c r="F15" s="25"/>
      <c r="G15" s="8">
        <f>B24*Y39/1000</f>
        <v>55.332159999999995</v>
      </c>
      <c r="H15" s="8">
        <f>B24*Y46/1000</f>
        <v>44.646079999999998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14">
        <f t="shared" si="0"/>
        <v>99.97824</v>
      </c>
      <c r="AK15" s="10">
        <f t="shared" si="1"/>
        <v>-2.1760000000000446E-2</v>
      </c>
    </row>
    <row r="18" spans="1:29" x14ac:dyDescent="0.25">
      <c r="A18" s="6" t="s">
        <v>9</v>
      </c>
      <c r="B18" s="6" t="s">
        <v>23</v>
      </c>
    </row>
    <row r="19" spans="1:29" x14ac:dyDescent="0.25">
      <c r="A19" s="18">
        <v>0.127</v>
      </c>
      <c r="B19" s="5">
        <v>0.11269999999999999</v>
      </c>
    </row>
    <row r="20" spans="1:29" x14ac:dyDescent="0.25">
      <c r="A20" s="18">
        <v>0.12</v>
      </c>
      <c r="B20" s="5">
        <v>0.10059999999999999</v>
      </c>
    </row>
    <row r="21" spans="1:29" x14ac:dyDescent="0.25">
      <c r="A21" s="18">
        <v>0.2</v>
      </c>
      <c r="B21" s="5">
        <v>0.27960000000000002</v>
      </c>
    </row>
    <row r="22" spans="1:29" x14ac:dyDescent="0.25">
      <c r="A22" s="18">
        <v>0.16</v>
      </c>
      <c r="B22" s="5">
        <v>0.1789</v>
      </c>
    </row>
    <row r="23" spans="1:29" x14ac:dyDescent="0.25">
      <c r="A23" s="18">
        <v>0.08</v>
      </c>
      <c r="B23" s="5">
        <v>4.4699999999999997E-2</v>
      </c>
    </row>
    <row r="24" spans="1:29" x14ac:dyDescent="0.25">
      <c r="A24" s="18">
        <v>0.18</v>
      </c>
      <c r="B24" s="5">
        <v>0.22639999999999999</v>
      </c>
    </row>
    <row r="25" spans="1:29" x14ac:dyDescent="0.25">
      <c r="A25" s="7"/>
      <c r="B25" s="7"/>
    </row>
    <row r="26" spans="1:29" x14ac:dyDescent="0.25">
      <c r="A26" s="7"/>
      <c r="B26" s="7"/>
    </row>
    <row r="27" spans="1:29" x14ac:dyDescent="0.25">
      <c r="A27" s="7"/>
      <c r="B27" s="7"/>
    </row>
    <row r="28" spans="1:29" x14ac:dyDescent="0.25">
      <c r="A28" s="73" t="s">
        <v>7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</row>
    <row r="29" spans="1:29" x14ac:dyDescent="0.25">
      <c r="A29" s="74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</row>
    <row r="30" spans="1:29" x14ac:dyDescent="0.25">
      <c r="A30" s="71" t="s">
        <v>8</v>
      </c>
      <c r="B30" s="71" t="s">
        <v>11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</row>
    <row r="31" spans="1:29" x14ac:dyDescent="0.25">
      <c r="A31" s="71"/>
      <c r="B31" s="72">
        <v>0.127</v>
      </c>
      <c r="C31" s="72"/>
      <c r="D31" s="72"/>
      <c r="E31" s="72">
        <v>0.12</v>
      </c>
      <c r="F31" s="72"/>
      <c r="G31" s="72"/>
      <c r="H31" s="72"/>
      <c r="I31" s="72"/>
      <c r="J31" s="72">
        <v>0.2</v>
      </c>
      <c r="K31" s="72"/>
      <c r="L31" s="72"/>
      <c r="M31" s="72"/>
      <c r="N31" s="72"/>
      <c r="O31" s="72">
        <v>0.16</v>
      </c>
      <c r="P31" s="72"/>
      <c r="Q31" s="72"/>
      <c r="R31" s="72"/>
      <c r="S31" s="72"/>
      <c r="T31" s="78">
        <v>0.08</v>
      </c>
      <c r="U31" s="78"/>
      <c r="V31" s="78"/>
      <c r="W31" s="78"/>
      <c r="X31" s="78"/>
      <c r="Y31" s="78">
        <v>0.18</v>
      </c>
      <c r="Z31" s="78"/>
      <c r="AA31" s="78"/>
      <c r="AB31" s="78"/>
      <c r="AC31" s="78"/>
    </row>
    <row r="32" spans="1:29" x14ac:dyDescent="0.25">
      <c r="A32" s="71"/>
      <c r="B32" s="71" t="s">
        <v>12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</row>
    <row r="33" spans="1:29" x14ac:dyDescent="0.25">
      <c r="A33" s="49">
        <v>45201</v>
      </c>
      <c r="B33" s="51" t="s">
        <v>84</v>
      </c>
      <c r="C33" s="51"/>
      <c r="D33" s="51"/>
      <c r="E33" s="51"/>
      <c r="F33" s="51"/>
      <c r="G33" s="51"/>
      <c r="H33" s="51"/>
      <c r="I33" s="51"/>
      <c r="J33" s="51" t="s">
        <v>83</v>
      </c>
      <c r="K33" s="51"/>
      <c r="L33" s="51"/>
      <c r="M33" s="51"/>
      <c r="N33" s="51"/>
      <c r="O33" s="51"/>
      <c r="P33" s="51"/>
      <c r="Q33" s="51"/>
      <c r="R33" s="51"/>
      <c r="S33" s="51"/>
      <c r="T33" s="51" t="s">
        <v>79</v>
      </c>
      <c r="U33" s="51"/>
      <c r="V33" s="51"/>
      <c r="W33" s="51"/>
      <c r="X33" s="51"/>
      <c r="Y33" s="51" t="s">
        <v>82</v>
      </c>
      <c r="Z33" s="51"/>
      <c r="AA33" s="51"/>
      <c r="AB33" s="51"/>
      <c r="AC33" s="51"/>
    </row>
    <row r="34" spans="1:29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spans="1:29" x14ac:dyDescent="0.25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spans="1:29" x14ac:dyDescent="0.25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spans="1:29" x14ac:dyDescent="0.2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spans="1:29" x14ac:dyDescent="0.25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spans="1:29" x14ac:dyDescent="0.25">
      <c r="A39" s="4" t="s">
        <v>10</v>
      </c>
      <c r="B39" s="61">
        <f>150000 + 142000</f>
        <v>292000</v>
      </c>
      <c r="C39" s="61"/>
      <c r="D39" s="61"/>
      <c r="E39" s="61"/>
      <c r="F39" s="61"/>
      <c r="G39" s="61"/>
      <c r="H39" s="61"/>
      <c r="I39" s="61"/>
      <c r="J39" s="61">
        <f>150000 + 70800</f>
        <v>220800</v>
      </c>
      <c r="K39" s="61"/>
      <c r="L39" s="61"/>
      <c r="M39" s="61"/>
      <c r="N39" s="61"/>
      <c r="O39" s="61"/>
      <c r="P39" s="61"/>
      <c r="Q39" s="61"/>
      <c r="R39" s="61"/>
      <c r="S39" s="61"/>
      <c r="T39" s="65">
        <f>176400 + 337000 + 361900 + 482200 + 305000 + 331700 + 425300 + 160900</f>
        <v>2580400</v>
      </c>
      <c r="U39" s="65"/>
      <c r="V39" s="65"/>
      <c r="W39" s="65"/>
      <c r="X39" s="65"/>
      <c r="Y39" s="65">
        <f>150000 + 94400</f>
        <v>244400</v>
      </c>
      <c r="Z39" s="65"/>
      <c r="AA39" s="65"/>
      <c r="AB39" s="65"/>
      <c r="AC39" s="65"/>
    </row>
    <row r="40" spans="1:29" x14ac:dyDescent="0.25">
      <c r="A40" s="49">
        <v>45202</v>
      </c>
      <c r="B40" s="51" t="s">
        <v>85</v>
      </c>
      <c r="C40" s="51"/>
      <c r="D40" s="51"/>
      <c r="E40" s="51"/>
      <c r="F40" s="51"/>
      <c r="G40" s="51"/>
      <c r="H40" s="51"/>
      <c r="I40" s="51"/>
      <c r="J40" s="51" t="s">
        <v>86</v>
      </c>
      <c r="K40" s="51"/>
      <c r="L40" s="51"/>
      <c r="M40" s="51"/>
      <c r="N40" s="51"/>
      <c r="O40" s="51"/>
      <c r="P40" s="51"/>
      <c r="Q40" s="51"/>
      <c r="R40" s="51"/>
      <c r="S40" s="51"/>
      <c r="T40" s="51" t="s">
        <v>87</v>
      </c>
      <c r="U40" s="51"/>
      <c r="V40" s="51"/>
      <c r="W40" s="51"/>
      <c r="X40" s="51"/>
      <c r="Y40" s="51" t="s">
        <v>88</v>
      </c>
      <c r="Z40" s="51"/>
      <c r="AA40" s="51"/>
      <c r="AB40" s="51"/>
      <c r="AC40" s="51"/>
    </row>
    <row r="41" spans="1:29" x14ac:dyDescent="0.25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spans="1:29" x14ac:dyDescent="0.25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spans="1:29" x14ac:dyDescent="0.25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 spans="1:29" x14ac:dyDescent="0.25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 spans="1:29" x14ac:dyDescent="0.2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spans="1:29" x14ac:dyDescent="0.25">
      <c r="A46" s="4" t="s">
        <v>10</v>
      </c>
      <c r="B46" s="61">
        <f>8000 + 150000 + 150000 + 150000</f>
        <v>458000</v>
      </c>
      <c r="C46" s="61"/>
      <c r="D46" s="61"/>
      <c r="E46" s="61"/>
      <c r="F46" s="61"/>
      <c r="G46" s="61"/>
      <c r="H46" s="61"/>
      <c r="I46" s="61"/>
      <c r="J46" s="61">
        <f>150000 + 101100</f>
        <v>251100</v>
      </c>
      <c r="K46" s="61"/>
      <c r="L46" s="61"/>
      <c r="M46" s="61"/>
      <c r="N46" s="61"/>
      <c r="O46" s="61"/>
      <c r="P46" s="61"/>
      <c r="Q46" s="61"/>
      <c r="R46" s="61"/>
      <c r="S46" s="61"/>
      <c r="T46" s="65">
        <f>167500 + 268300 + 295000 + 381700 + 290900 + 194500 + 313700 + 314700</f>
        <v>2226300</v>
      </c>
      <c r="U46" s="65"/>
      <c r="V46" s="65"/>
      <c r="W46" s="65"/>
      <c r="X46" s="65"/>
      <c r="Y46" s="65">
        <f>55600 + 141600</f>
        <v>197200</v>
      </c>
      <c r="Z46" s="65"/>
      <c r="AA46" s="65"/>
      <c r="AB46" s="65"/>
      <c r="AC46" s="65"/>
    </row>
    <row r="47" spans="1:29" x14ac:dyDescent="0.25">
      <c r="A47" s="49">
        <v>45203</v>
      </c>
      <c r="B47" s="51" t="s">
        <v>89</v>
      </c>
      <c r="C47" s="51"/>
      <c r="D47" s="51"/>
      <c r="E47" s="51"/>
      <c r="F47" s="51"/>
      <c r="G47" s="51"/>
      <c r="H47" s="51"/>
      <c r="I47" s="51"/>
      <c r="J47" s="51" t="s">
        <v>90</v>
      </c>
      <c r="K47" s="51"/>
      <c r="L47" s="51"/>
      <c r="M47" s="51"/>
      <c r="N47" s="51"/>
      <c r="O47" s="51"/>
      <c r="P47" s="51"/>
      <c r="Q47" s="51"/>
      <c r="R47" s="51"/>
      <c r="S47" s="51"/>
      <c r="T47" s="51" t="s">
        <v>91</v>
      </c>
      <c r="U47" s="51"/>
      <c r="V47" s="51"/>
      <c r="W47" s="51"/>
      <c r="X47" s="51"/>
      <c r="Y47" s="51"/>
      <c r="Z47" s="51"/>
      <c r="AA47" s="51"/>
      <c r="AB47" s="51"/>
      <c r="AC47" s="51"/>
    </row>
    <row r="48" spans="1:29" x14ac:dyDescent="0.25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 spans="1:29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 spans="1:29" x14ac:dyDescent="0.25">
      <c r="A50" s="50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 spans="1:29" x14ac:dyDescent="0.25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 spans="1:29" x14ac:dyDescent="0.25">
      <c r="A52" s="50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 spans="1:29" x14ac:dyDescent="0.25">
      <c r="A53" s="4" t="s">
        <v>10</v>
      </c>
      <c r="B53" s="61">
        <f>134300 + 150000 + 150000 + 75300</f>
        <v>509600</v>
      </c>
      <c r="C53" s="61"/>
      <c r="D53" s="61"/>
      <c r="E53" s="61"/>
      <c r="F53" s="61"/>
      <c r="G53" s="61"/>
      <c r="H53" s="61"/>
      <c r="I53" s="61"/>
      <c r="J53" s="61">
        <f>48900 + 150000 + 150000 + 54600</f>
        <v>403500</v>
      </c>
      <c r="K53" s="61"/>
      <c r="L53" s="61"/>
      <c r="M53" s="61"/>
      <c r="N53" s="61"/>
      <c r="O53" s="61"/>
      <c r="P53" s="61"/>
      <c r="Q53" s="61"/>
      <c r="R53" s="61"/>
      <c r="S53" s="61"/>
      <c r="T53" s="65">
        <f>285300 + 309100 + 282900 + 405500 + 206500 + 171800 + 257000 + 368100</f>
        <v>2286200</v>
      </c>
      <c r="U53" s="65"/>
      <c r="V53" s="65"/>
      <c r="W53" s="65"/>
      <c r="X53" s="65"/>
      <c r="Y53" s="65"/>
      <c r="Z53" s="65"/>
      <c r="AA53" s="65"/>
      <c r="AB53" s="65"/>
      <c r="AC53" s="65"/>
    </row>
    <row r="54" spans="1:29" x14ac:dyDescent="0.25">
      <c r="A54" s="49">
        <v>45204</v>
      </c>
      <c r="B54" s="51" t="s">
        <v>92</v>
      </c>
      <c r="C54" s="51"/>
      <c r="D54" s="51"/>
      <c r="E54" s="51"/>
      <c r="F54" s="51"/>
      <c r="G54" s="51"/>
      <c r="H54" s="51"/>
      <c r="I54" s="51"/>
      <c r="J54" s="51" t="s">
        <v>93</v>
      </c>
      <c r="K54" s="51"/>
      <c r="L54" s="51"/>
      <c r="M54" s="51"/>
      <c r="N54" s="51"/>
      <c r="O54" s="51"/>
      <c r="P54" s="51"/>
      <c r="Q54" s="51"/>
      <c r="R54" s="51"/>
      <c r="S54" s="51"/>
      <c r="T54" s="51" t="s">
        <v>94</v>
      </c>
      <c r="U54" s="51"/>
      <c r="V54" s="51"/>
      <c r="W54" s="51"/>
      <c r="X54" s="51"/>
      <c r="Y54" s="51"/>
      <c r="Z54" s="51"/>
      <c r="AA54" s="51"/>
      <c r="AB54" s="51"/>
      <c r="AC54" s="51"/>
    </row>
    <row r="55" spans="1:29" x14ac:dyDescent="0.25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</row>
    <row r="56" spans="1:29" x14ac:dyDescent="0.25">
      <c r="A56" s="50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 spans="1:29" x14ac:dyDescent="0.25">
      <c r="A57" s="50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</row>
    <row r="58" spans="1:29" x14ac:dyDescent="0.25">
      <c r="A58" s="50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 spans="1:29" x14ac:dyDescent="0.25">
      <c r="A59" s="50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</row>
    <row r="60" spans="1:29" x14ac:dyDescent="0.25">
      <c r="A60" s="4" t="s">
        <v>10</v>
      </c>
      <c r="B60" s="61">
        <f>74700 + 150000 + 150000</f>
        <v>374700</v>
      </c>
      <c r="C60" s="61"/>
      <c r="D60" s="61"/>
      <c r="E60" s="61"/>
      <c r="F60" s="61"/>
      <c r="G60" s="61"/>
      <c r="H60" s="61"/>
      <c r="I60" s="61"/>
      <c r="J60" s="61">
        <f>95400 + 150000 + 104600</f>
        <v>350000</v>
      </c>
      <c r="K60" s="61"/>
      <c r="L60" s="61"/>
      <c r="M60" s="61"/>
      <c r="N60" s="61"/>
      <c r="O60" s="61"/>
      <c r="P60" s="61"/>
      <c r="Q60" s="61"/>
      <c r="R60" s="61"/>
      <c r="S60" s="61"/>
      <c r="T60" s="65">
        <f>59200 + 235600 + 231900 + 527900 + 293200 + 334600 + 446900</f>
        <v>2129300</v>
      </c>
      <c r="U60" s="65"/>
      <c r="V60" s="65"/>
      <c r="W60" s="65"/>
      <c r="X60" s="65"/>
      <c r="Y60" s="65"/>
      <c r="Z60" s="65"/>
      <c r="AA60" s="65"/>
      <c r="AB60" s="65"/>
      <c r="AC60" s="65"/>
    </row>
    <row r="61" spans="1:29" x14ac:dyDescent="0.25">
      <c r="A61" s="49">
        <v>45205</v>
      </c>
      <c r="B61" s="51">
        <v>319200</v>
      </c>
      <c r="C61" s="51"/>
      <c r="D61" s="51"/>
      <c r="E61" s="51"/>
      <c r="F61" s="51"/>
      <c r="G61" s="51"/>
      <c r="H61" s="51"/>
      <c r="I61" s="51"/>
      <c r="J61" s="51">
        <v>278000</v>
      </c>
      <c r="K61" s="51"/>
      <c r="L61" s="51"/>
      <c r="M61" s="51"/>
      <c r="N61" s="51"/>
      <c r="O61" s="51"/>
      <c r="P61" s="51"/>
      <c r="Q61" s="51"/>
      <c r="R61" s="51"/>
      <c r="S61" s="51"/>
      <c r="T61" s="51" t="s">
        <v>95</v>
      </c>
      <c r="U61" s="51"/>
      <c r="V61" s="51"/>
      <c r="W61" s="51"/>
      <c r="X61" s="51"/>
      <c r="Y61" s="51"/>
      <c r="Z61" s="51"/>
      <c r="AA61" s="51"/>
      <c r="AB61" s="51"/>
      <c r="AC61" s="51"/>
    </row>
    <row r="62" spans="1:29" x14ac:dyDescent="0.25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 spans="1:29" x14ac:dyDescent="0.25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spans="1:29" x14ac:dyDescent="0.25">
      <c r="A64" s="50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 spans="1:29" x14ac:dyDescent="0.25">
      <c r="A65" s="50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 spans="1:29" x14ac:dyDescent="0.25">
      <c r="A66" s="5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spans="1:29" x14ac:dyDescent="0.25">
      <c r="A67" s="4" t="s">
        <v>10</v>
      </c>
      <c r="B67" s="61">
        <f>B61</f>
        <v>319200</v>
      </c>
      <c r="C67" s="61"/>
      <c r="D67" s="61"/>
      <c r="E67" s="61"/>
      <c r="F67" s="61"/>
      <c r="G67" s="61"/>
      <c r="H67" s="61"/>
      <c r="I67" s="61"/>
      <c r="J67" s="61">
        <f>J61</f>
        <v>278000</v>
      </c>
      <c r="K67" s="61"/>
      <c r="L67" s="61"/>
      <c r="M67" s="61"/>
      <c r="N67" s="61"/>
      <c r="O67" s="61"/>
      <c r="P67" s="61"/>
      <c r="Q67" s="61"/>
      <c r="R67" s="61"/>
      <c r="S67" s="61"/>
      <c r="T67" s="65">
        <f>368400 + 314100 + 389100 + 377800</f>
        <v>1449400</v>
      </c>
      <c r="U67" s="65"/>
      <c r="V67" s="65"/>
      <c r="W67" s="65"/>
      <c r="X67" s="65"/>
      <c r="Y67" s="65"/>
      <c r="Z67" s="65"/>
      <c r="AA67" s="65"/>
      <c r="AB67" s="65"/>
      <c r="AC67" s="65"/>
    </row>
    <row r="68" spans="1:29" x14ac:dyDescent="0.25">
      <c r="A68" s="49">
        <v>45206</v>
      </c>
      <c r="B68" s="51"/>
      <c r="C68" s="51"/>
      <c r="D68" s="51"/>
      <c r="E68" s="51"/>
      <c r="F68" s="51"/>
      <c r="G68" s="51"/>
      <c r="H68" s="51"/>
      <c r="I68" s="51"/>
      <c r="J68" s="51">
        <v>108100</v>
      </c>
      <c r="K68" s="51"/>
      <c r="L68" s="51"/>
      <c r="M68" s="51"/>
      <c r="N68" s="51"/>
      <c r="O68" s="51"/>
      <c r="P68" s="51"/>
      <c r="Q68" s="51"/>
      <c r="R68" s="51"/>
      <c r="S68" s="51"/>
      <c r="T68" s="51" t="s">
        <v>96</v>
      </c>
      <c r="U68" s="51"/>
      <c r="V68" s="51"/>
      <c r="W68" s="51"/>
      <c r="X68" s="51"/>
      <c r="Y68" s="51"/>
      <c r="Z68" s="51"/>
      <c r="AA68" s="51"/>
      <c r="AB68" s="51"/>
      <c r="AC68" s="51"/>
    </row>
    <row r="69" spans="1:29" x14ac:dyDescent="0.25">
      <c r="A69" s="50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 spans="1:29" x14ac:dyDescent="0.25">
      <c r="A70" s="50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 spans="1:29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spans="1:29" x14ac:dyDescent="0.25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</row>
    <row r="73" spans="1:29" x14ac:dyDescent="0.25">
      <c r="A73" s="50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x14ac:dyDescent="0.25">
      <c r="A74" s="4" t="s">
        <v>10</v>
      </c>
      <c r="B74" s="61"/>
      <c r="C74" s="61"/>
      <c r="D74" s="61"/>
      <c r="E74" s="61"/>
      <c r="F74" s="61"/>
      <c r="G74" s="61"/>
      <c r="H74" s="61"/>
      <c r="I74" s="61"/>
      <c r="J74" s="61">
        <f>J68</f>
        <v>108100</v>
      </c>
      <c r="K74" s="61"/>
      <c r="L74" s="61"/>
      <c r="M74" s="61"/>
      <c r="N74" s="61"/>
      <c r="O74" s="61"/>
      <c r="P74" s="61"/>
      <c r="Q74" s="61"/>
      <c r="R74" s="61"/>
      <c r="S74" s="61"/>
      <c r="T74" s="65">
        <f>248100 + 243900 + 244800 + 245500</f>
        <v>982300</v>
      </c>
      <c r="U74" s="65"/>
      <c r="V74" s="65"/>
      <c r="W74" s="65"/>
      <c r="X74" s="65"/>
      <c r="Y74" s="65"/>
      <c r="Z74" s="65"/>
      <c r="AA74" s="65"/>
      <c r="AB74" s="65"/>
      <c r="AC74" s="65"/>
    </row>
    <row r="75" spans="1:29" x14ac:dyDescent="0.25">
      <c r="A75" s="49">
        <v>45208</v>
      </c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 t="s">
        <v>97</v>
      </c>
      <c r="U75" s="51"/>
      <c r="V75" s="51"/>
      <c r="W75" s="51"/>
      <c r="X75" s="51"/>
      <c r="Y75" s="51"/>
      <c r="Z75" s="51"/>
      <c r="AA75" s="51"/>
      <c r="AB75" s="51"/>
      <c r="AC75" s="51"/>
    </row>
    <row r="76" spans="1:29" x14ac:dyDescent="0.25">
      <c r="A76" s="50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spans="1:29" x14ac:dyDescent="0.25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</row>
    <row r="78" spans="1:29" x14ac:dyDescent="0.25">
      <c r="A78" s="50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</row>
    <row r="79" spans="1:29" x14ac:dyDescent="0.25">
      <c r="A79" s="50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 spans="1:29" x14ac:dyDescent="0.25">
      <c r="A80" s="50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 spans="1:29" x14ac:dyDescent="0.25">
      <c r="A81" s="4" t="s">
        <v>10</v>
      </c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5">
        <f>372600 + 370500 + 364000 + 176500 + 172600 + 402700 + 402500</f>
        <v>2261400</v>
      </c>
      <c r="U81" s="65"/>
      <c r="V81" s="65"/>
      <c r="W81" s="65"/>
      <c r="X81" s="65"/>
      <c r="Y81" s="65"/>
      <c r="Z81" s="65"/>
      <c r="AA81" s="65"/>
      <c r="AB81" s="65"/>
      <c r="AC81" s="65"/>
    </row>
    <row r="82" spans="1:29" x14ac:dyDescent="0.25">
      <c r="A82" s="49">
        <v>45209</v>
      </c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 t="s">
        <v>98</v>
      </c>
      <c r="U82" s="51"/>
      <c r="V82" s="51"/>
      <c r="W82" s="51"/>
      <c r="X82" s="51"/>
      <c r="Y82" s="51"/>
      <c r="Z82" s="51"/>
      <c r="AA82" s="51"/>
      <c r="AB82" s="51"/>
      <c r="AC82" s="51"/>
    </row>
    <row r="83" spans="1:29" x14ac:dyDescent="0.25">
      <c r="A83" s="50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 spans="1:29" x14ac:dyDescent="0.25">
      <c r="A84" s="50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 spans="1:29" x14ac:dyDescent="0.25">
      <c r="A85" s="50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spans="1:29" x14ac:dyDescent="0.25">
      <c r="A86" s="50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 spans="1:29" x14ac:dyDescent="0.25">
      <c r="A87" s="50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  <row r="88" spans="1:29" x14ac:dyDescent="0.25">
      <c r="A88" s="4" t="s">
        <v>10</v>
      </c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5">
        <f t="shared" ref="T88" si="2">436600 + 329400 + 347300</f>
        <v>1113300</v>
      </c>
      <c r="U88" s="65"/>
      <c r="V88" s="65"/>
      <c r="W88" s="65"/>
      <c r="X88" s="65"/>
      <c r="Y88" s="65"/>
      <c r="Z88" s="65"/>
      <c r="AA88" s="65"/>
      <c r="AB88" s="65"/>
      <c r="AC88" s="65"/>
    </row>
    <row r="89" spans="1:29" x14ac:dyDescent="0.25">
      <c r="A89" s="49">
        <v>45210</v>
      </c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 t="s">
        <v>99</v>
      </c>
      <c r="U89" s="51"/>
      <c r="V89" s="51"/>
      <c r="W89" s="51"/>
      <c r="X89" s="51"/>
      <c r="Y89" s="51"/>
      <c r="Z89" s="51"/>
      <c r="AA89" s="51"/>
      <c r="AB89" s="51"/>
      <c r="AC89" s="51"/>
    </row>
    <row r="90" spans="1:29" x14ac:dyDescent="0.25">
      <c r="A90" s="5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 spans="1:29" x14ac:dyDescent="0.25">
      <c r="A91" s="50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</row>
    <row r="92" spans="1:29" x14ac:dyDescent="0.25">
      <c r="A92" s="50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</row>
    <row r="93" spans="1:29" x14ac:dyDescent="0.25">
      <c r="A93" s="50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</row>
    <row r="94" spans="1:29" x14ac:dyDescent="0.25">
      <c r="A94" s="50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 spans="1:29" x14ac:dyDescent="0.25">
      <c r="A95" s="4" t="s">
        <v>10</v>
      </c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5">
        <f>388700 + 120200 + 358200</f>
        <v>867100</v>
      </c>
      <c r="U95" s="65"/>
      <c r="V95" s="65"/>
      <c r="W95" s="65"/>
      <c r="X95" s="65"/>
      <c r="Y95" s="65"/>
      <c r="Z95" s="65"/>
      <c r="AA95" s="65"/>
      <c r="AB95" s="65"/>
      <c r="AC95" s="65"/>
    </row>
    <row r="96" spans="1:29" x14ac:dyDescent="0.25">
      <c r="A96" s="49">
        <v>45211</v>
      </c>
      <c r="B96" s="51"/>
      <c r="C96" s="51"/>
      <c r="D96" s="51"/>
      <c r="E96" s="51"/>
      <c r="F96" s="51"/>
      <c r="G96" s="51"/>
      <c r="H96" s="51"/>
      <c r="I96" s="51"/>
      <c r="J96" s="51">
        <v>120000</v>
      </c>
      <c r="K96" s="51"/>
      <c r="L96" s="51"/>
      <c r="M96" s="51"/>
      <c r="N96" s="51"/>
      <c r="O96" s="51"/>
      <c r="P96" s="51"/>
      <c r="Q96" s="51"/>
      <c r="R96" s="51"/>
      <c r="S96" s="51"/>
      <c r="T96" s="51" t="s">
        <v>100</v>
      </c>
      <c r="U96" s="51"/>
      <c r="V96" s="51"/>
      <c r="W96" s="51"/>
      <c r="X96" s="51"/>
      <c r="Y96" s="51"/>
      <c r="Z96" s="51"/>
      <c r="AA96" s="51"/>
      <c r="AB96" s="51"/>
      <c r="AC96" s="51"/>
    </row>
    <row r="97" spans="1:29" x14ac:dyDescent="0.25">
      <c r="A97" s="50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 spans="1:29" x14ac:dyDescent="0.25">
      <c r="A98" s="50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 spans="1:29" x14ac:dyDescent="0.25">
      <c r="A99" s="50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 spans="1:29" x14ac:dyDescent="0.25">
      <c r="A100" s="50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 spans="1:29" x14ac:dyDescent="0.25">
      <c r="A101" s="50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 spans="1:29" x14ac:dyDescent="0.25">
      <c r="A102" s="4" t="s">
        <v>10</v>
      </c>
      <c r="B102" s="61"/>
      <c r="C102" s="61"/>
      <c r="D102" s="61"/>
      <c r="E102" s="61"/>
      <c r="F102" s="61"/>
      <c r="G102" s="61"/>
      <c r="H102" s="61"/>
      <c r="I102" s="61"/>
      <c r="J102" s="61">
        <f>J96</f>
        <v>120000</v>
      </c>
      <c r="K102" s="61"/>
      <c r="L102" s="61"/>
      <c r="M102" s="61"/>
      <c r="N102" s="61"/>
      <c r="O102" s="61"/>
      <c r="P102" s="61"/>
      <c r="Q102" s="61"/>
      <c r="R102" s="61"/>
      <c r="S102" s="61"/>
      <c r="T102" s="65">
        <f>470000 + 212800 + 147100 + 305000 + 321500 + 255500 + 360200 + 353300</f>
        <v>2425400</v>
      </c>
      <c r="U102" s="65"/>
      <c r="V102" s="65"/>
      <c r="W102" s="65"/>
      <c r="X102" s="65"/>
      <c r="Y102" s="65"/>
      <c r="Z102" s="65"/>
      <c r="AA102" s="65"/>
      <c r="AB102" s="65"/>
      <c r="AC102" s="65"/>
    </row>
    <row r="103" spans="1:29" x14ac:dyDescent="0.25">
      <c r="A103" s="49">
        <v>45212</v>
      </c>
      <c r="B103" s="51" t="s">
        <v>101</v>
      </c>
      <c r="C103" s="51"/>
      <c r="D103" s="51"/>
      <c r="E103" s="51"/>
      <c r="F103" s="51"/>
      <c r="G103" s="51"/>
      <c r="H103" s="51"/>
      <c r="I103" s="51"/>
      <c r="J103" s="51" t="s">
        <v>102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 t="s">
        <v>103</v>
      </c>
      <c r="U103" s="51"/>
      <c r="V103" s="51"/>
      <c r="W103" s="51"/>
      <c r="X103" s="51"/>
      <c r="Y103" s="51"/>
      <c r="Z103" s="51"/>
      <c r="AA103" s="51"/>
      <c r="AB103" s="51"/>
      <c r="AC103" s="51"/>
    </row>
    <row r="104" spans="1:29" x14ac:dyDescent="0.25">
      <c r="A104" s="50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 spans="1:29" x14ac:dyDescent="0.25">
      <c r="A105" s="50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 spans="1:29" x14ac:dyDescent="0.25">
      <c r="A106" s="50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</row>
    <row r="107" spans="1:29" x14ac:dyDescent="0.25">
      <c r="A107" s="50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</row>
    <row r="108" spans="1:29" x14ac:dyDescent="0.25">
      <c r="A108" s="50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</row>
    <row r="109" spans="1:29" x14ac:dyDescent="0.25">
      <c r="A109" s="4" t="s">
        <v>10</v>
      </c>
      <c r="B109" s="61">
        <f>348400 + 359500</f>
        <v>707900</v>
      </c>
      <c r="C109" s="61"/>
      <c r="D109" s="61"/>
      <c r="E109" s="61"/>
      <c r="F109" s="61"/>
      <c r="G109" s="61"/>
      <c r="H109" s="61"/>
      <c r="I109" s="61"/>
      <c r="J109" s="61">
        <f>293500 + 334600</f>
        <v>628100</v>
      </c>
      <c r="K109" s="61"/>
      <c r="L109" s="61"/>
      <c r="M109" s="61"/>
      <c r="N109" s="61"/>
      <c r="O109" s="61"/>
      <c r="P109" s="61"/>
      <c r="Q109" s="61"/>
      <c r="R109" s="61"/>
      <c r="S109" s="61"/>
      <c r="T109" s="65">
        <f>364500 + 344500 + 418700 + 341500 + 391000 + 401200 + 274000 + 407300</f>
        <v>2942700</v>
      </c>
      <c r="U109" s="65"/>
      <c r="V109" s="65"/>
      <c r="W109" s="65"/>
      <c r="X109" s="65"/>
      <c r="Y109" s="65"/>
      <c r="Z109" s="65"/>
      <c r="AA109" s="65"/>
      <c r="AB109" s="65"/>
      <c r="AC109" s="65"/>
    </row>
    <row r="110" spans="1:29" x14ac:dyDescent="0.25">
      <c r="A110" s="49">
        <v>45213</v>
      </c>
      <c r="B110" s="51" t="s">
        <v>104</v>
      </c>
      <c r="C110" s="51"/>
      <c r="D110" s="51"/>
      <c r="E110" s="51"/>
      <c r="F110" s="51"/>
      <c r="G110" s="51"/>
      <c r="H110" s="51"/>
      <c r="I110" s="51"/>
      <c r="J110" s="51" t="s">
        <v>105</v>
      </c>
      <c r="K110" s="51"/>
      <c r="L110" s="51"/>
      <c r="M110" s="51"/>
      <c r="N110" s="51"/>
      <c r="O110" s="51"/>
      <c r="P110" s="51"/>
      <c r="Q110" s="51"/>
      <c r="R110" s="51"/>
      <c r="S110" s="51"/>
      <c r="T110" s="51" t="s">
        <v>106</v>
      </c>
      <c r="U110" s="51"/>
      <c r="V110" s="51"/>
      <c r="W110" s="51"/>
      <c r="X110" s="51"/>
      <c r="Y110" s="51"/>
      <c r="Z110" s="51"/>
      <c r="AA110" s="51"/>
      <c r="AB110" s="51"/>
      <c r="AC110" s="51"/>
    </row>
    <row r="111" spans="1:29" x14ac:dyDescent="0.25">
      <c r="A111" s="5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</row>
    <row r="112" spans="1:29" x14ac:dyDescent="0.25">
      <c r="A112" s="50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</row>
    <row r="113" spans="1:29" x14ac:dyDescent="0.25">
      <c r="A113" s="50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</row>
    <row r="114" spans="1:29" x14ac:dyDescent="0.25">
      <c r="A114" s="50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</row>
    <row r="115" spans="1:29" x14ac:dyDescent="0.25">
      <c r="A115" s="50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</row>
    <row r="116" spans="1:29" x14ac:dyDescent="0.25">
      <c r="A116" s="4" t="s">
        <v>10</v>
      </c>
      <c r="B116" s="61">
        <f>196400 + 232900</f>
        <v>429300</v>
      </c>
      <c r="C116" s="61"/>
      <c r="D116" s="61"/>
      <c r="E116" s="61"/>
      <c r="F116" s="61"/>
      <c r="G116" s="61"/>
      <c r="H116" s="61"/>
      <c r="I116" s="61"/>
      <c r="J116" s="61">
        <f t="shared" ref="J116" si="3">286900 + 265600</f>
        <v>552500</v>
      </c>
      <c r="K116" s="61"/>
      <c r="L116" s="61"/>
      <c r="M116" s="61"/>
      <c r="N116" s="61"/>
      <c r="O116" s="61"/>
      <c r="P116" s="61"/>
      <c r="Q116" s="61"/>
      <c r="R116" s="61"/>
      <c r="S116" s="61"/>
      <c r="T116" s="65">
        <f>267100 + 241200 + 340000 + 267400 + 258600 + 260000</f>
        <v>1634300</v>
      </c>
      <c r="U116" s="65"/>
      <c r="V116" s="65"/>
      <c r="W116" s="65"/>
      <c r="X116" s="65"/>
      <c r="Y116" s="65"/>
      <c r="Z116" s="65"/>
      <c r="AA116" s="65"/>
      <c r="AB116" s="65"/>
      <c r="AC116" s="65"/>
    </row>
    <row r="117" spans="1:29" x14ac:dyDescent="0.25">
      <c r="A117" s="49">
        <v>45215</v>
      </c>
      <c r="B117" s="51" t="s">
        <v>107</v>
      </c>
      <c r="C117" s="51"/>
      <c r="D117" s="51"/>
      <c r="E117" s="51"/>
      <c r="F117" s="51"/>
      <c r="G117" s="51"/>
      <c r="H117" s="51"/>
      <c r="I117" s="51"/>
      <c r="J117" s="51" t="s">
        <v>108</v>
      </c>
      <c r="K117" s="51"/>
      <c r="L117" s="51"/>
      <c r="M117" s="51"/>
      <c r="N117" s="51"/>
      <c r="O117" s="51"/>
      <c r="P117" s="51"/>
      <c r="Q117" s="51"/>
      <c r="R117" s="51"/>
      <c r="S117" s="51"/>
      <c r="T117" s="51" t="s">
        <v>109</v>
      </c>
      <c r="U117" s="51"/>
      <c r="V117" s="51"/>
      <c r="W117" s="51"/>
      <c r="X117" s="51"/>
      <c r="Y117" s="51"/>
      <c r="Z117" s="51"/>
      <c r="AA117" s="51"/>
      <c r="AB117" s="51"/>
      <c r="AC117" s="51"/>
    </row>
    <row r="118" spans="1:29" x14ac:dyDescent="0.25">
      <c r="A118" s="50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</row>
    <row r="119" spans="1:29" x14ac:dyDescent="0.25">
      <c r="A119" s="50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</row>
    <row r="120" spans="1:29" x14ac:dyDescent="0.25">
      <c r="A120" s="50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</row>
    <row r="121" spans="1:29" x14ac:dyDescent="0.25">
      <c r="A121" s="50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</row>
    <row r="122" spans="1:29" x14ac:dyDescent="0.25">
      <c r="A122" s="50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</row>
    <row r="123" spans="1:29" x14ac:dyDescent="0.25">
      <c r="A123" s="4" t="s">
        <v>10</v>
      </c>
      <c r="B123" s="61">
        <f>263900 + 450000</f>
        <v>713900</v>
      </c>
      <c r="C123" s="61"/>
      <c r="D123" s="61"/>
      <c r="E123" s="61"/>
      <c r="F123" s="61"/>
      <c r="G123" s="61"/>
      <c r="H123" s="61"/>
      <c r="I123" s="61"/>
      <c r="J123" s="61">
        <f>258600 + 441600</f>
        <v>700200</v>
      </c>
      <c r="K123" s="61"/>
      <c r="L123" s="61"/>
      <c r="M123" s="61"/>
      <c r="N123" s="61"/>
      <c r="O123" s="61"/>
      <c r="P123" s="61"/>
      <c r="Q123" s="61"/>
      <c r="R123" s="61"/>
      <c r="S123" s="61"/>
      <c r="T123" s="65">
        <f>430100 + 441700 + 363300 + 425300 + 413900 + 435200</f>
        <v>2509500</v>
      </c>
      <c r="U123" s="65"/>
      <c r="V123" s="65"/>
      <c r="W123" s="65"/>
      <c r="X123" s="65"/>
      <c r="Y123" s="65"/>
      <c r="Z123" s="65"/>
      <c r="AA123" s="65"/>
      <c r="AB123" s="65"/>
      <c r="AC123" s="65"/>
    </row>
    <row r="124" spans="1:29" x14ac:dyDescent="0.25">
      <c r="A124" s="49">
        <v>45216</v>
      </c>
      <c r="B124" s="51" t="s">
        <v>110</v>
      </c>
      <c r="C124" s="51"/>
      <c r="D124" s="51"/>
      <c r="E124" s="51"/>
      <c r="F124" s="51"/>
      <c r="G124" s="51"/>
      <c r="H124" s="51"/>
      <c r="I124" s="51"/>
      <c r="J124" s="51">
        <v>241500</v>
      </c>
      <c r="K124" s="51"/>
      <c r="L124" s="51"/>
      <c r="M124" s="51"/>
      <c r="N124" s="51"/>
      <c r="O124" s="51"/>
      <c r="P124" s="51"/>
      <c r="Q124" s="51"/>
      <c r="R124" s="51"/>
      <c r="S124" s="51"/>
      <c r="T124" s="51" t="s">
        <v>111</v>
      </c>
      <c r="U124" s="51"/>
      <c r="V124" s="51"/>
      <c r="W124" s="51"/>
      <c r="X124" s="51"/>
      <c r="Y124" s="51"/>
      <c r="Z124" s="51"/>
      <c r="AA124" s="51"/>
      <c r="AB124" s="51"/>
      <c r="AC124" s="51"/>
    </row>
    <row r="125" spans="1:29" x14ac:dyDescent="0.25">
      <c r="A125" s="50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</row>
    <row r="126" spans="1:29" x14ac:dyDescent="0.25">
      <c r="A126" s="50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</row>
    <row r="127" spans="1:29" x14ac:dyDescent="0.25">
      <c r="A127" s="50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</row>
    <row r="128" spans="1:29" x14ac:dyDescent="0.25">
      <c r="A128" s="50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</row>
    <row r="129" spans="1:29" x14ac:dyDescent="0.25">
      <c r="A129" s="50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</row>
    <row r="130" spans="1:29" x14ac:dyDescent="0.25">
      <c r="A130" s="4" t="s">
        <v>10</v>
      </c>
      <c r="B130" s="61">
        <f t="shared" ref="B130" si="4">131600 + 276300</f>
        <v>407900</v>
      </c>
      <c r="C130" s="61"/>
      <c r="D130" s="61"/>
      <c r="E130" s="61"/>
      <c r="F130" s="61"/>
      <c r="G130" s="61"/>
      <c r="H130" s="61"/>
      <c r="I130" s="61"/>
      <c r="J130" s="61">
        <f>J124</f>
        <v>241500</v>
      </c>
      <c r="K130" s="61"/>
      <c r="L130" s="61"/>
      <c r="M130" s="61"/>
      <c r="N130" s="61"/>
      <c r="O130" s="61"/>
      <c r="P130" s="61"/>
      <c r="Q130" s="61"/>
      <c r="R130" s="61"/>
      <c r="S130" s="61"/>
      <c r="T130" s="65">
        <f>393900 + 407500 + 408100 + 427900 + 404900 + 383800</f>
        <v>2426100</v>
      </c>
      <c r="U130" s="65"/>
      <c r="V130" s="65"/>
      <c r="W130" s="65"/>
      <c r="X130" s="65"/>
      <c r="Y130" s="65"/>
      <c r="Z130" s="65"/>
      <c r="AA130" s="65"/>
      <c r="AB130" s="65"/>
      <c r="AC130" s="65"/>
    </row>
    <row r="131" spans="1:29" x14ac:dyDescent="0.25">
      <c r="A131" s="49">
        <v>45217</v>
      </c>
      <c r="B131" s="51"/>
      <c r="C131" s="51"/>
      <c r="D131" s="51"/>
      <c r="E131" s="51">
        <v>323500</v>
      </c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 t="s">
        <v>112</v>
      </c>
      <c r="U131" s="51"/>
      <c r="V131" s="51"/>
      <c r="W131" s="51"/>
      <c r="X131" s="51"/>
      <c r="Y131" s="51"/>
      <c r="Z131" s="51"/>
      <c r="AA131" s="51"/>
      <c r="AB131" s="51"/>
      <c r="AC131" s="51"/>
    </row>
    <row r="132" spans="1:29" x14ac:dyDescent="0.25">
      <c r="A132" s="50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</row>
    <row r="133" spans="1:29" x14ac:dyDescent="0.25">
      <c r="A133" s="50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</row>
    <row r="134" spans="1:29" x14ac:dyDescent="0.25">
      <c r="A134" s="50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</row>
    <row r="135" spans="1:29" x14ac:dyDescent="0.25">
      <c r="A135" s="50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</row>
    <row r="136" spans="1:29" x14ac:dyDescent="0.25">
      <c r="A136" s="50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</row>
    <row r="137" spans="1:29" x14ac:dyDescent="0.25">
      <c r="A137" s="4" t="s">
        <v>10</v>
      </c>
      <c r="B137" s="61"/>
      <c r="C137" s="61"/>
      <c r="D137" s="61"/>
      <c r="E137" s="61">
        <f>E131</f>
        <v>323500</v>
      </c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5">
        <f>305200 + 374000 + 439700 + 431600</f>
        <v>1550500</v>
      </c>
      <c r="U137" s="65"/>
      <c r="V137" s="65"/>
      <c r="W137" s="65"/>
      <c r="X137" s="65"/>
      <c r="Y137" s="65"/>
      <c r="Z137" s="65"/>
      <c r="AA137" s="65"/>
      <c r="AB137" s="65"/>
      <c r="AC137" s="65"/>
    </row>
    <row r="138" spans="1:29" x14ac:dyDescent="0.25">
      <c r="A138" s="49">
        <v>45218</v>
      </c>
      <c r="B138" s="51"/>
      <c r="C138" s="51"/>
      <c r="D138" s="51"/>
      <c r="E138" s="51" t="s">
        <v>113</v>
      </c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>
        <v>31800</v>
      </c>
      <c r="U138" s="51"/>
      <c r="V138" s="51"/>
      <c r="W138" s="51"/>
      <c r="X138" s="51"/>
      <c r="Y138" s="51"/>
      <c r="Z138" s="51"/>
      <c r="AA138" s="51"/>
      <c r="AB138" s="51"/>
      <c r="AC138" s="51"/>
    </row>
    <row r="139" spans="1:29" x14ac:dyDescent="0.25">
      <c r="A139" s="50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</row>
    <row r="140" spans="1:29" x14ac:dyDescent="0.25">
      <c r="A140" s="50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</row>
    <row r="141" spans="1:29" x14ac:dyDescent="0.25">
      <c r="A141" s="50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</row>
    <row r="142" spans="1:29" x14ac:dyDescent="0.25">
      <c r="A142" s="50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</row>
    <row r="143" spans="1:29" x14ac:dyDescent="0.25">
      <c r="A143" s="50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</row>
    <row r="144" spans="1:29" x14ac:dyDescent="0.25">
      <c r="A144" s="4" t="s">
        <v>10</v>
      </c>
      <c r="B144" s="61"/>
      <c r="C144" s="61"/>
      <c r="D144" s="61"/>
      <c r="E144" s="61">
        <f>390300 + 468000</f>
        <v>858300</v>
      </c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5">
        <f>T138</f>
        <v>31800</v>
      </c>
      <c r="U144" s="65"/>
      <c r="V144" s="65"/>
      <c r="W144" s="65"/>
      <c r="X144" s="65"/>
      <c r="Y144" s="65"/>
      <c r="Z144" s="65"/>
      <c r="AA144" s="65"/>
      <c r="AB144" s="65"/>
      <c r="AC144" s="65"/>
    </row>
    <row r="145" spans="1:29" x14ac:dyDescent="0.25">
      <c r="A145" s="49">
        <v>45219</v>
      </c>
      <c r="B145" s="51"/>
      <c r="C145" s="51"/>
      <c r="D145" s="51"/>
      <c r="E145" s="51" t="s">
        <v>114</v>
      </c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</row>
    <row r="146" spans="1:29" x14ac:dyDescent="0.25">
      <c r="A146" s="50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</row>
    <row r="147" spans="1:29" x14ac:dyDescent="0.25">
      <c r="A147" s="50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</row>
    <row r="148" spans="1:29" x14ac:dyDescent="0.25">
      <c r="A148" s="50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</row>
    <row r="149" spans="1:29" x14ac:dyDescent="0.25">
      <c r="A149" s="50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</row>
    <row r="150" spans="1:29" x14ac:dyDescent="0.25">
      <c r="A150" s="50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</row>
    <row r="151" spans="1:29" x14ac:dyDescent="0.25">
      <c r="A151" s="4" t="s">
        <v>10</v>
      </c>
      <c r="B151" s="61"/>
      <c r="C151" s="61"/>
      <c r="D151" s="61"/>
      <c r="E151" s="61">
        <f>290900 + 364900</f>
        <v>655800</v>
      </c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</row>
    <row r="152" spans="1:29" x14ac:dyDescent="0.25">
      <c r="A152" s="49">
        <v>45220</v>
      </c>
      <c r="B152" s="51"/>
      <c r="C152" s="51"/>
      <c r="D152" s="51"/>
      <c r="E152" s="51" t="s">
        <v>115</v>
      </c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</row>
    <row r="153" spans="1:29" x14ac:dyDescent="0.25">
      <c r="A153" s="50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</row>
    <row r="154" spans="1:29" x14ac:dyDescent="0.25">
      <c r="A154" s="50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</row>
    <row r="155" spans="1:29" x14ac:dyDescent="0.25">
      <c r="A155" s="50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</row>
    <row r="156" spans="1:29" x14ac:dyDescent="0.25">
      <c r="A156" s="50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</row>
    <row r="157" spans="1:29" x14ac:dyDescent="0.25">
      <c r="A157" s="50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</row>
    <row r="158" spans="1:29" x14ac:dyDescent="0.25">
      <c r="A158" s="4" t="s">
        <v>10</v>
      </c>
      <c r="B158" s="61"/>
      <c r="C158" s="61"/>
      <c r="D158" s="61"/>
      <c r="E158" s="61">
        <f>192100 + 241600</f>
        <v>433700</v>
      </c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</row>
    <row r="159" spans="1:29" x14ac:dyDescent="0.25">
      <c r="A159" s="49">
        <v>45222</v>
      </c>
      <c r="B159" s="51"/>
      <c r="C159" s="51"/>
      <c r="D159" s="51"/>
      <c r="E159" s="51" t="s">
        <v>116</v>
      </c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</row>
    <row r="160" spans="1:29" x14ac:dyDescent="0.25">
      <c r="A160" s="50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</row>
    <row r="161" spans="1:29" x14ac:dyDescent="0.25">
      <c r="A161" s="50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</row>
    <row r="162" spans="1:29" x14ac:dyDescent="0.25">
      <c r="A162" s="50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</row>
    <row r="163" spans="1:29" x14ac:dyDescent="0.25">
      <c r="A163" s="50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</row>
    <row r="164" spans="1:29" x14ac:dyDescent="0.25">
      <c r="A164" s="50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</row>
    <row r="165" spans="1:29" x14ac:dyDescent="0.25">
      <c r="A165" s="4" t="s">
        <v>10</v>
      </c>
      <c r="B165" s="61"/>
      <c r="C165" s="61"/>
      <c r="D165" s="61"/>
      <c r="E165" s="61">
        <f>347000 + 428400</f>
        <v>775400</v>
      </c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</row>
    <row r="166" spans="1:29" x14ac:dyDescent="0.25">
      <c r="A166" s="49">
        <v>45223</v>
      </c>
      <c r="B166" s="51"/>
      <c r="C166" s="51"/>
      <c r="D166" s="51"/>
      <c r="E166" s="51" t="s">
        <v>117</v>
      </c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</row>
    <row r="167" spans="1:29" x14ac:dyDescent="0.25">
      <c r="A167" s="50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</row>
    <row r="168" spans="1:29" x14ac:dyDescent="0.25">
      <c r="A168" s="50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</row>
    <row r="169" spans="1:29" x14ac:dyDescent="0.25">
      <c r="A169" s="50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</row>
    <row r="170" spans="1:29" x14ac:dyDescent="0.25">
      <c r="A170" s="50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</row>
    <row r="171" spans="1:29" x14ac:dyDescent="0.25">
      <c r="A171" s="50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</row>
    <row r="172" spans="1:29" x14ac:dyDescent="0.25">
      <c r="A172" s="4" t="s">
        <v>10</v>
      </c>
      <c r="B172" s="61"/>
      <c r="C172" s="61"/>
      <c r="D172" s="61"/>
      <c r="E172" s="61">
        <f>395000 + 470000</f>
        <v>865000</v>
      </c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</row>
    <row r="173" spans="1:29" x14ac:dyDescent="0.25">
      <c r="A173" s="49">
        <v>45224</v>
      </c>
      <c r="B173" s="51"/>
      <c r="C173" s="51"/>
      <c r="D173" s="51"/>
      <c r="E173" s="51" t="s">
        <v>118</v>
      </c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</row>
    <row r="174" spans="1:29" x14ac:dyDescent="0.25">
      <c r="A174" s="50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</row>
    <row r="175" spans="1:29" x14ac:dyDescent="0.25">
      <c r="A175" s="50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</row>
    <row r="176" spans="1:29" x14ac:dyDescent="0.25">
      <c r="A176" s="50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</row>
    <row r="177" spans="1:29" x14ac:dyDescent="0.25">
      <c r="A177" s="50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</row>
    <row r="178" spans="1:29" x14ac:dyDescent="0.25">
      <c r="A178" s="50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</row>
    <row r="179" spans="1:29" x14ac:dyDescent="0.25">
      <c r="A179" s="4" t="s">
        <v>10</v>
      </c>
      <c r="B179" s="61"/>
      <c r="C179" s="61"/>
      <c r="D179" s="61"/>
      <c r="E179" s="61">
        <f>343100 + 397000</f>
        <v>740100</v>
      </c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</row>
  </sheetData>
  <mergeCells count="292">
    <mergeCell ref="A166:A171"/>
    <mergeCell ref="B166:D171"/>
    <mergeCell ref="E166:I171"/>
    <mergeCell ref="J166:N171"/>
    <mergeCell ref="O166:S171"/>
    <mergeCell ref="T166:X171"/>
    <mergeCell ref="Y166:AC171"/>
    <mergeCell ref="B172:D172"/>
    <mergeCell ref="E172:I172"/>
    <mergeCell ref="J172:N172"/>
    <mergeCell ref="O172:S172"/>
    <mergeCell ref="T172:X172"/>
    <mergeCell ref="Y172:AC172"/>
    <mergeCell ref="A152:A157"/>
    <mergeCell ref="B152:D157"/>
    <mergeCell ref="E152:I157"/>
    <mergeCell ref="J152:N157"/>
    <mergeCell ref="O152:S157"/>
    <mergeCell ref="T152:X157"/>
    <mergeCell ref="Y152:AC157"/>
    <mergeCell ref="B158:D158"/>
    <mergeCell ref="E158:I158"/>
    <mergeCell ref="J158:N158"/>
    <mergeCell ref="O158:S158"/>
    <mergeCell ref="T158:X158"/>
    <mergeCell ref="Y158:AC158"/>
    <mergeCell ref="A145:A150"/>
    <mergeCell ref="B145:D150"/>
    <mergeCell ref="E145:I150"/>
    <mergeCell ref="J145:N150"/>
    <mergeCell ref="O145:S150"/>
    <mergeCell ref="T145:X150"/>
    <mergeCell ref="Y145:AC150"/>
    <mergeCell ref="B151:D151"/>
    <mergeCell ref="E151:I151"/>
    <mergeCell ref="J151:N151"/>
    <mergeCell ref="O151:S151"/>
    <mergeCell ref="T151:X151"/>
    <mergeCell ref="Y151:AC151"/>
    <mergeCell ref="A124:A129"/>
    <mergeCell ref="B124:D129"/>
    <mergeCell ref="E124:I129"/>
    <mergeCell ref="J124:N129"/>
    <mergeCell ref="O124:S129"/>
    <mergeCell ref="T124:X129"/>
    <mergeCell ref="Y124:AC129"/>
    <mergeCell ref="B130:D130"/>
    <mergeCell ref="E130:I130"/>
    <mergeCell ref="J130:N130"/>
    <mergeCell ref="O130:S130"/>
    <mergeCell ref="T130:X130"/>
    <mergeCell ref="Y130:AC130"/>
    <mergeCell ref="T110:X115"/>
    <mergeCell ref="Y110:AC115"/>
    <mergeCell ref="B116:D116"/>
    <mergeCell ref="E116:I116"/>
    <mergeCell ref="J116:N116"/>
    <mergeCell ref="O116:S116"/>
    <mergeCell ref="T116:X116"/>
    <mergeCell ref="Y116:AC116"/>
    <mergeCell ref="A110:A115"/>
    <mergeCell ref="B110:D115"/>
    <mergeCell ref="E110:I115"/>
    <mergeCell ref="J110:N115"/>
    <mergeCell ref="O110:S115"/>
    <mergeCell ref="T103:X108"/>
    <mergeCell ref="Y103:AC108"/>
    <mergeCell ref="B109:D109"/>
    <mergeCell ref="E109:I109"/>
    <mergeCell ref="J109:N109"/>
    <mergeCell ref="O109:S109"/>
    <mergeCell ref="T109:X109"/>
    <mergeCell ref="Y109:AC109"/>
    <mergeCell ref="A103:A108"/>
    <mergeCell ref="B103:D108"/>
    <mergeCell ref="E103:I108"/>
    <mergeCell ref="J103:N108"/>
    <mergeCell ref="O103:S108"/>
    <mergeCell ref="T96:X101"/>
    <mergeCell ref="Y96:AC101"/>
    <mergeCell ref="B102:D102"/>
    <mergeCell ref="E102:I102"/>
    <mergeCell ref="J102:N102"/>
    <mergeCell ref="O102:S102"/>
    <mergeCell ref="T102:X102"/>
    <mergeCell ref="Y102:AC102"/>
    <mergeCell ref="A96:A101"/>
    <mergeCell ref="B96:D101"/>
    <mergeCell ref="E96:I101"/>
    <mergeCell ref="J96:N101"/>
    <mergeCell ref="O96:S101"/>
    <mergeCell ref="T89:X94"/>
    <mergeCell ref="Y89:AC94"/>
    <mergeCell ref="B95:D95"/>
    <mergeCell ref="E95:I95"/>
    <mergeCell ref="J95:N95"/>
    <mergeCell ref="O95:S95"/>
    <mergeCell ref="T95:X95"/>
    <mergeCell ref="Y95:AC95"/>
    <mergeCell ref="A89:A94"/>
    <mergeCell ref="B89:D94"/>
    <mergeCell ref="E89:I94"/>
    <mergeCell ref="J89:N94"/>
    <mergeCell ref="O89:S94"/>
    <mergeCell ref="T82:X87"/>
    <mergeCell ref="Y82:AC87"/>
    <mergeCell ref="B88:D88"/>
    <mergeCell ref="E88:I88"/>
    <mergeCell ref="J88:N88"/>
    <mergeCell ref="O88:S88"/>
    <mergeCell ref="T88:X88"/>
    <mergeCell ref="Y88:AC88"/>
    <mergeCell ref="A82:A87"/>
    <mergeCell ref="B82:D87"/>
    <mergeCell ref="E82:I87"/>
    <mergeCell ref="J82:N87"/>
    <mergeCell ref="O82:S87"/>
    <mergeCell ref="T75:X80"/>
    <mergeCell ref="Y75:AC80"/>
    <mergeCell ref="B81:D81"/>
    <mergeCell ref="E81:I81"/>
    <mergeCell ref="J81:N81"/>
    <mergeCell ref="O81:S81"/>
    <mergeCell ref="T81:X81"/>
    <mergeCell ref="Y81:AC81"/>
    <mergeCell ref="A75:A80"/>
    <mergeCell ref="B75:D80"/>
    <mergeCell ref="E75:I80"/>
    <mergeCell ref="J75:N80"/>
    <mergeCell ref="O75:S80"/>
    <mergeCell ref="T68:X73"/>
    <mergeCell ref="Y68:AC73"/>
    <mergeCell ref="B74:D74"/>
    <mergeCell ref="E74:I74"/>
    <mergeCell ref="J74:N74"/>
    <mergeCell ref="O74:S74"/>
    <mergeCell ref="T74:X74"/>
    <mergeCell ref="Y74:AC74"/>
    <mergeCell ref="A68:A73"/>
    <mergeCell ref="B68:D73"/>
    <mergeCell ref="E68:I73"/>
    <mergeCell ref="J68:N73"/>
    <mergeCell ref="O68:S73"/>
    <mergeCell ref="T61:X66"/>
    <mergeCell ref="Y61:AC66"/>
    <mergeCell ref="B67:D67"/>
    <mergeCell ref="E67:I67"/>
    <mergeCell ref="J67:N67"/>
    <mergeCell ref="O67:S67"/>
    <mergeCell ref="T67:X67"/>
    <mergeCell ref="Y67:AC67"/>
    <mergeCell ref="A61:A66"/>
    <mergeCell ref="B61:D66"/>
    <mergeCell ref="E61:I66"/>
    <mergeCell ref="J61:N66"/>
    <mergeCell ref="O61:S66"/>
    <mergeCell ref="T47:X52"/>
    <mergeCell ref="Y47:AC52"/>
    <mergeCell ref="B53:D53"/>
    <mergeCell ref="E53:I53"/>
    <mergeCell ref="J53:N53"/>
    <mergeCell ref="O53:S53"/>
    <mergeCell ref="T53:X53"/>
    <mergeCell ref="Y53:AC53"/>
    <mergeCell ref="A47:A52"/>
    <mergeCell ref="B47:D52"/>
    <mergeCell ref="E47:I52"/>
    <mergeCell ref="J47:N52"/>
    <mergeCell ref="O47:S52"/>
    <mergeCell ref="A1:AJ6"/>
    <mergeCell ref="A7:A8"/>
    <mergeCell ref="B7:B8"/>
    <mergeCell ref="C7:C8"/>
    <mergeCell ref="D7:D8"/>
    <mergeCell ref="E7:E8"/>
    <mergeCell ref="F7:AI7"/>
    <mergeCell ref="AJ7:AJ8"/>
    <mergeCell ref="AK7:AK8"/>
    <mergeCell ref="A28:X29"/>
    <mergeCell ref="A30:A32"/>
    <mergeCell ref="B30:AC30"/>
    <mergeCell ref="B31:D31"/>
    <mergeCell ref="E31:I31"/>
    <mergeCell ref="J31:N31"/>
    <mergeCell ref="O31:S31"/>
    <mergeCell ref="T31:X31"/>
    <mergeCell ref="Y31:AC31"/>
    <mergeCell ref="Y39:AC39"/>
    <mergeCell ref="B32:AC32"/>
    <mergeCell ref="A33:A38"/>
    <mergeCell ref="B33:D38"/>
    <mergeCell ref="E33:I38"/>
    <mergeCell ref="J33:N38"/>
    <mergeCell ref="O33:S38"/>
    <mergeCell ref="T33:X38"/>
    <mergeCell ref="Y33:AC38"/>
    <mergeCell ref="B39:D39"/>
    <mergeCell ref="E39:I39"/>
    <mergeCell ref="J39:N39"/>
    <mergeCell ref="O39:S39"/>
    <mergeCell ref="T39:X39"/>
    <mergeCell ref="A40:A45"/>
    <mergeCell ref="B40:D45"/>
    <mergeCell ref="E40:I45"/>
    <mergeCell ref="J40:N45"/>
    <mergeCell ref="O40:S45"/>
    <mergeCell ref="T40:X45"/>
    <mergeCell ref="Y40:AC45"/>
    <mergeCell ref="B46:D46"/>
    <mergeCell ref="E46:I46"/>
    <mergeCell ref="J46:N46"/>
    <mergeCell ref="O46:S46"/>
    <mergeCell ref="T46:X46"/>
    <mergeCell ref="Y46:AC46"/>
    <mergeCell ref="A54:A59"/>
    <mergeCell ref="B54:D59"/>
    <mergeCell ref="E54:I59"/>
    <mergeCell ref="J54:N59"/>
    <mergeCell ref="O54:S59"/>
    <mergeCell ref="T54:X59"/>
    <mergeCell ref="Y54:AC59"/>
    <mergeCell ref="B60:D60"/>
    <mergeCell ref="E60:I60"/>
    <mergeCell ref="J60:N60"/>
    <mergeCell ref="O60:S60"/>
    <mergeCell ref="T60:X60"/>
    <mergeCell ref="Y60:AC60"/>
    <mergeCell ref="A117:A122"/>
    <mergeCell ref="B117:D122"/>
    <mergeCell ref="E117:I122"/>
    <mergeCell ref="J117:N122"/>
    <mergeCell ref="O117:S122"/>
    <mergeCell ref="T117:X122"/>
    <mergeCell ref="Y117:AC122"/>
    <mergeCell ref="B123:D123"/>
    <mergeCell ref="E123:I123"/>
    <mergeCell ref="J123:N123"/>
    <mergeCell ref="O123:S123"/>
    <mergeCell ref="T123:X123"/>
    <mergeCell ref="Y123:AC123"/>
    <mergeCell ref="A131:A136"/>
    <mergeCell ref="B131:D136"/>
    <mergeCell ref="E131:I136"/>
    <mergeCell ref="J131:N136"/>
    <mergeCell ref="O131:S136"/>
    <mergeCell ref="T131:X136"/>
    <mergeCell ref="Y131:AC136"/>
    <mergeCell ref="B137:D137"/>
    <mergeCell ref="E137:I137"/>
    <mergeCell ref="J137:N137"/>
    <mergeCell ref="O137:S137"/>
    <mergeCell ref="T137:X137"/>
    <mergeCell ref="Y137:AC137"/>
    <mergeCell ref="A138:A143"/>
    <mergeCell ref="B138:D143"/>
    <mergeCell ref="E138:I143"/>
    <mergeCell ref="J138:N143"/>
    <mergeCell ref="O138:S143"/>
    <mergeCell ref="T138:X143"/>
    <mergeCell ref="Y138:AC143"/>
    <mergeCell ref="B144:D144"/>
    <mergeCell ref="E144:I144"/>
    <mergeCell ref="J144:N144"/>
    <mergeCell ref="O144:S144"/>
    <mergeCell ref="T144:X144"/>
    <mergeCell ref="Y144:AC144"/>
    <mergeCell ref="A159:A164"/>
    <mergeCell ref="B159:D164"/>
    <mergeCell ref="E159:I164"/>
    <mergeCell ref="J159:N164"/>
    <mergeCell ref="O159:S164"/>
    <mergeCell ref="T159:X164"/>
    <mergeCell ref="Y159:AC164"/>
    <mergeCell ref="B165:D165"/>
    <mergeCell ref="E165:I165"/>
    <mergeCell ref="J165:N165"/>
    <mergeCell ref="O165:S165"/>
    <mergeCell ref="T165:X165"/>
    <mergeCell ref="Y165:AC165"/>
    <mergeCell ref="A173:A178"/>
    <mergeCell ref="B173:D178"/>
    <mergeCell ref="E173:I178"/>
    <mergeCell ref="J173:N178"/>
    <mergeCell ref="O173:S178"/>
    <mergeCell ref="T173:X178"/>
    <mergeCell ref="Y173:AC178"/>
    <mergeCell ref="B179:D179"/>
    <mergeCell ref="E179:I179"/>
    <mergeCell ref="J179:N179"/>
    <mergeCell ref="O179:S179"/>
    <mergeCell ref="T179:X179"/>
    <mergeCell ref="Y179:AC179"/>
  </mergeCells>
  <pageMargins left="0.7" right="0.7" top="0.75" bottom="0.75" header="0.3" footer="0.3"/>
  <pageSetup paperSize="9" orientation="portrait" horizontalDpi="0" verticalDpi="0" r:id="rId1"/>
  <ignoredErrors>
    <ignoredError sqref="AJ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51"/>
  <sheetViews>
    <sheetView zoomScale="85" zoomScaleNormal="85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H21" sqref="H21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9.42578125" customWidth="1"/>
    <col min="10" max="10" width="9.140625" customWidth="1"/>
    <col min="35" max="35" width="9" customWidth="1"/>
    <col min="36" max="36" width="16.85546875" customWidth="1"/>
    <col min="37" max="37" width="12" customWidth="1"/>
  </cols>
  <sheetData>
    <row r="1" spans="1:38" ht="15" customHeight="1" x14ac:dyDescent="0.25">
      <c r="A1" s="76" t="s">
        <v>29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</row>
    <row r="2" spans="1:38" ht="1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</row>
    <row r="3" spans="1:38" ht="15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</row>
    <row r="4" spans="1:38" ht="1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2"/>
    </row>
    <row r="5" spans="1:38" ht="15" customHeight="1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2"/>
    </row>
    <row r="6" spans="1:38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2"/>
    </row>
    <row r="7" spans="1:38" ht="15" customHeight="1" x14ac:dyDescent="0.25">
      <c r="A7" s="66" t="s">
        <v>6</v>
      </c>
      <c r="B7" s="66" t="s">
        <v>48</v>
      </c>
      <c r="C7" s="66" t="s">
        <v>47</v>
      </c>
      <c r="D7" s="66" t="s">
        <v>30</v>
      </c>
      <c r="E7" s="79" t="s">
        <v>73</v>
      </c>
      <c r="F7" s="80" t="s">
        <v>0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2"/>
      <c r="AJ7" s="66" t="s">
        <v>1</v>
      </c>
      <c r="AK7" s="66" t="s">
        <v>32</v>
      </c>
    </row>
    <row r="8" spans="1:38" x14ac:dyDescent="0.25">
      <c r="A8" s="67"/>
      <c r="B8" s="67"/>
      <c r="C8" s="67"/>
      <c r="D8" s="67"/>
      <c r="E8" s="79"/>
      <c r="F8" s="3">
        <v>45231</v>
      </c>
      <c r="G8" s="3">
        <v>45232</v>
      </c>
      <c r="H8" s="3">
        <v>45233</v>
      </c>
      <c r="I8" s="3">
        <v>45234</v>
      </c>
      <c r="J8" s="3">
        <v>45235</v>
      </c>
      <c r="K8" s="3">
        <v>45236</v>
      </c>
      <c r="L8" s="3">
        <v>45237</v>
      </c>
      <c r="M8" s="3">
        <v>45238</v>
      </c>
      <c r="N8" s="3">
        <v>45239</v>
      </c>
      <c r="O8" s="3">
        <v>45240</v>
      </c>
      <c r="P8" s="3">
        <v>45241</v>
      </c>
      <c r="Q8" s="3">
        <v>45242</v>
      </c>
      <c r="R8" s="3">
        <v>45243</v>
      </c>
      <c r="S8" s="3">
        <v>45244</v>
      </c>
      <c r="T8" s="3">
        <v>45245</v>
      </c>
      <c r="U8" s="3">
        <v>45246</v>
      </c>
      <c r="V8" s="3">
        <v>45247</v>
      </c>
      <c r="W8" s="3">
        <v>45248</v>
      </c>
      <c r="X8" s="3">
        <v>45249</v>
      </c>
      <c r="Y8" s="3">
        <v>45250</v>
      </c>
      <c r="Z8" s="3">
        <v>45251</v>
      </c>
      <c r="AA8" s="3">
        <v>45252</v>
      </c>
      <c r="AB8" s="3">
        <v>45253</v>
      </c>
      <c r="AC8" s="3">
        <v>45254</v>
      </c>
      <c r="AD8" s="3">
        <v>45255</v>
      </c>
      <c r="AE8" s="3">
        <v>45256</v>
      </c>
      <c r="AF8" s="3">
        <v>45257</v>
      </c>
      <c r="AG8" s="3">
        <v>45258</v>
      </c>
      <c r="AH8" s="3">
        <v>45259</v>
      </c>
      <c r="AI8" s="3">
        <v>45260</v>
      </c>
      <c r="AJ8" s="67"/>
      <c r="AK8" s="67"/>
    </row>
    <row r="9" spans="1:38" x14ac:dyDescent="0.25">
      <c r="A9" s="26">
        <v>0.127</v>
      </c>
      <c r="B9" s="34" t="s">
        <v>2</v>
      </c>
      <c r="C9" s="35">
        <v>20231101009</v>
      </c>
      <c r="D9" s="28">
        <v>500</v>
      </c>
      <c r="E9" s="25">
        <f>'10'!AK9</f>
        <v>-5.3212500000000205</v>
      </c>
      <c r="F9" s="24"/>
      <c r="G9" s="11"/>
      <c r="H9" s="8"/>
      <c r="I9" s="8"/>
      <c r="J9" s="8"/>
      <c r="K9" s="8"/>
      <c r="L9" s="8"/>
      <c r="M9" s="8"/>
      <c r="N9" s="8">
        <f>B21*B46/1000</f>
        <v>3.2006799999999997</v>
      </c>
      <c r="O9" s="8"/>
      <c r="P9" s="8"/>
      <c r="Q9" s="8"/>
      <c r="R9" s="8">
        <f>B21*B60/1000</f>
        <v>46.500019999999999</v>
      </c>
      <c r="S9" s="8">
        <f>B21*B67/1000</f>
        <v>13.298599999999999</v>
      </c>
      <c r="T9" s="8"/>
      <c r="U9" s="8"/>
      <c r="V9" s="8">
        <f>B21*B88/1000</f>
        <v>14.741160000000001</v>
      </c>
      <c r="W9" s="8"/>
      <c r="X9" s="8"/>
      <c r="Y9" s="8">
        <f>B21*B95/1000</f>
        <v>31.105199999999996</v>
      </c>
      <c r="Z9" s="8">
        <f>B21*B102/1000</f>
        <v>23.092230000000001</v>
      </c>
      <c r="AA9" s="8">
        <f>B21*B109/1000</f>
        <v>22.720320000000001</v>
      </c>
      <c r="AB9" s="8">
        <f>B21*B116/1000</f>
        <v>9.7936299999999985</v>
      </c>
      <c r="AC9" s="8">
        <f>B21*B123/1000</f>
        <v>10.46983</v>
      </c>
      <c r="AD9" s="8"/>
      <c r="AE9" s="8"/>
      <c r="AF9" s="8">
        <f>B21*B130/1000</f>
        <v>30.50789</v>
      </c>
      <c r="AG9" s="8">
        <f>B21*B137/1000</f>
        <v>26.597199999999997</v>
      </c>
      <c r="AH9" s="8">
        <f>B21*B144/1000</f>
        <v>44.324909999999996</v>
      </c>
      <c r="AI9" s="8">
        <f>B21*B151/1000</f>
        <v>48.460999999999999</v>
      </c>
      <c r="AJ9" s="14">
        <f>SUM(F9:AI9)</f>
        <v>324.81267000000003</v>
      </c>
      <c r="AK9" s="30">
        <f>AJ9+E9-D9</f>
        <v>-180.50857999999999</v>
      </c>
    </row>
    <row r="10" spans="1:38" x14ac:dyDescent="0.25">
      <c r="A10" s="26">
        <v>0.12</v>
      </c>
      <c r="B10" s="34" t="s">
        <v>3</v>
      </c>
      <c r="C10" s="15">
        <v>20231101008</v>
      </c>
      <c r="D10" s="29">
        <f>280 + 120</f>
        <v>400</v>
      </c>
      <c r="E10" s="25">
        <f>'10'!AK10</f>
        <v>-109.24639999999994</v>
      </c>
      <c r="F10" s="25"/>
      <c r="G10" s="8"/>
      <c r="H10" s="8"/>
      <c r="I10" s="8"/>
      <c r="J10" s="8"/>
      <c r="K10" s="8"/>
      <c r="L10" s="8"/>
      <c r="M10" s="8"/>
      <c r="N10" s="8">
        <f>B22*E46/1000</f>
        <v>30.18</v>
      </c>
      <c r="O10" s="8">
        <f>B22*E53/1000</f>
        <v>45.27</v>
      </c>
      <c r="P10" s="8"/>
      <c r="Q10" s="8"/>
      <c r="R10" s="8">
        <f>B22*E60/1000</f>
        <v>63.056079999999994</v>
      </c>
      <c r="S10" s="8">
        <f>B22*E67/1000</f>
        <v>82.974879999999985</v>
      </c>
      <c r="T10" s="8">
        <f>B22*E74/1000</f>
        <v>40.592100000000002</v>
      </c>
      <c r="U10" s="8">
        <f>B22*E81/1000</f>
        <v>48.962019999999995</v>
      </c>
      <c r="V10" s="8">
        <f>B22*E88/1000</f>
        <v>25.552399999999999</v>
      </c>
      <c r="W10" s="8"/>
      <c r="X10" s="8"/>
      <c r="Y10" s="8">
        <f>B22*E95/1000</f>
        <v>31.689</v>
      </c>
      <c r="Z10" s="8">
        <f>B22*E102/1000</f>
        <v>36.487619999999993</v>
      </c>
      <c r="AA10" s="8">
        <f>B22*E109/1000</f>
        <v>43.227820000000001</v>
      </c>
      <c r="AB10" s="8">
        <f>B22*E116/1000</f>
        <v>10.874859999999998</v>
      </c>
      <c r="AC10" s="8"/>
      <c r="AD10" s="8"/>
      <c r="AE10" s="8"/>
      <c r="AF10" s="8"/>
      <c r="AG10" s="8"/>
      <c r="AH10" s="8"/>
      <c r="AI10" s="8"/>
      <c r="AJ10" s="14">
        <f t="shared" ref="AJ10:AJ15" si="0">SUM(F10:AI10)</f>
        <v>458.86678000000001</v>
      </c>
      <c r="AK10" s="30">
        <f t="shared" ref="AK10:AK15" si="1">AJ10+E10-D10</f>
        <v>-50.379619999999932</v>
      </c>
    </row>
    <row r="11" spans="1:38" x14ac:dyDescent="0.25">
      <c r="A11" s="26">
        <v>0.2</v>
      </c>
      <c r="B11" s="34" t="s">
        <v>4</v>
      </c>
      <c r="C11" s="15">
        <v>20231020001</v>
      </c>
      <c r="D11" s="23">
        <v>1200</v>
      </c>
      <c r="E11" s="25">
        <f>'10'!AK12</f>
        <v>48.182480000000169</v>
      </c>
      <c r="F11" s="25"/>
      <c r="G11" s="8"/>
      <c r="H11" s="8"/>
      <c r="I11" s="8"/>
      <c r="J11" s="8"/>
      <c r="K11" s="8"/>
      <c r="L11" s="8"/>
      <c r="M11" s="8">
        <f>B23*J39/1000</f>
        <v>42.974520000000005</v>
      </c>
      <c r="N11" s="8">
        <f>B23*J46/1000</f>
        <v>41.94</v>
      </c>
      <c r="O11" s="8">
        <f>B23*J53/1000</f>
        <v>41.94</v>
      </c>
      <c r="P11" s="8"/>
      <c r="Q11" s="8"/>
      <c r="R11" s="8">
        <f>B23*J60/1000</f>
        <v>150.14520000000002</v>
      </c>
      <c r="S11" s="8">
        <f>B23*J67/1000</f>
        <v>40.569960000000002</v>
      </c>
      <c r="T11" s="8"/>
      <c r="U11" s="8">
        <f>B23*J81/1000</f>
        <v>96.350160000000002</v>
      </c>
      <c r="V11" s="8">
        <f>B23*J88/1000</f>
        <v>52.201320000000003</v>
      </c>
      <c r="W11" s="8"/>
      <c r="X11" s="8"/>
      <c r="Y11" s="8">
        <f>B23*J95/1000</f>
        <v>82.258320000000012</v>
      </c>
      <c r="Z11" s="8">
        <f>B23*J102/1000</f>
        <v>115.08336</v>
      </c>
      <c r="AA11" s="8">
        <f>B23*J109/1000</f>
        <v>71.689440000000005</v>
      </c>
      <c r="AB11" s="8">
        <f>B23*J116/1000</f>
        <v>85.166160000000005</v>
      </c>
      <c r="AC11" s="8">
        <f>B23*J123/1000</f>
        <v>54.326280000000004</v>
      </c>
      <c r="AD11" s="8"/>
      <c r="AE11" s="8"/>
      <c r="AF11" s="8">
        <f>B23*J130/1000</f>
        <v>91.373279999999994</v>
      </c>
      <c r="AG11" s="8">
        <f>B23*J137/1000</f>
        <v>81.643200000000007</v>
      </c>
      <c r="AH11" s="8">
        <f>B23*J144/1000</f>
        <v>110.72160000000001</v>
      </c>
      <c r="AI11" s="8">
        <f>B23*J151/1000</f>
        <v>108.345</v>
      </c>
      <c r="AJ11" s="14">
        <f t="shared" si="0"/>
        <v>1266.7278000000001</v>
      </c>
      <c r="AK11" s="10">
        <f t="shared" si="1"/>
        <v>114.91028000000028</v>
      </c>
    </row>
    <row r="12" spans="1:38" x14ac:dyDescent="0.25">
      <c r="A12" s="36">
        <v>0.16</v>
      </c>
      <c r="B12" s="37" t="s">
        <v>5</v>
      </c>
      <c r="C12" s="38">
        <v>20230926004</v>
      </c>
      <c r="D12" s="39">
        <v>300</v>
      </c>
      <c r="E12" s="25">
        <f>'10'!AK13</f>
        <v>-59.430000000000007</v>
      </c>
      <c r="F12" s="2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14">
        <f t="shared" si="0"/>
        <v>0</v>
      </c>
      <c r="AK12" s="30">
        <f t="shared" si="1"/>
        <v>-359.43</v>
      </c>
    </row>
    <row r="13" spans="1:38" x14ac:dyDescent="0.25">
      <c r="A13" s="27">
        <v>0.08</v>
      </c>
      <c r="B13" s="34" t="s">
        <v>31</v>
      </c>
      <c r="C13" s="15">
        <v>20230926005</v>
      </c>
      <c r="D13" s="29">
        <f>200 + 1800</f>
        <v>2000</v>
      </c>
      <c r="E13" s="25">
        <f>'10'!AK14</f>
        <v>64.005200000000059</v>
      </c>
      <c r="F13" s="25"/>
      <c r="G13" s="8"/>
      <c r="H13" s="8"/>
      <c r="I13" s="8"/>
      <c r="J13" s="8"/>
      <c r="K13" s="8"/>
      <c r="L13" s="8"/>
      <c r="M13" s="8">
        <f>B25*T39/1000</f>
        <v>12.203099999999999</v>
      </c>
      <c r="N13" s="8">
        <f>B25*T46/1000</f>
        <v>71.05064999999999</v>
      </c>
      <c r="O13" s="8">
        <f>B25*T53/1000</f>
        <v>72.597269999999995</v>
      </c>
      <c r="P13" s="8"/>
      <c r="Q13" s="8"/>
      <c r="R13" s="8">
        <f>B25*T60/1000</f>
        <v>107.42304</v>
      </c>
      <c r="S13" s="8">
        <f>B25*T67/1000</f>
        <v>113.12228999999999</v>
      </c>
      <c r="T13" s="8">
        <f>B25*T74/1000</f>
        <v>58.074239999999996</v>
      </c>
      <c r="U13" s="8">
        <f>B25*T81/1000</f>
        <v>59.459939999999996</v>
      </c>
      <c r="V13" s="8">
        <f>B25*T88/1000</f>
        <v>31.124609999999997</v>
      </c>
      <c r="W13" s="8"/>
      <c r="X13" s="8"/>
      <c r="Y13" s="8">
        <f>B25*T95/1000</f>
        <v>52.066559999999996</v>
      </c>
      <c r="Z13" s="8">
        <f>B25*T102/1000</f>
        <v>51.93692999999999</v>
      </c>
      <c r="AA13" s="8">
        <f>B25*T109/1000</f>
        <v>47.525039999999997</v>
      </c>
      <c r="AB13" s="8">
        <f>B25*T116/1000</f>
        <v>56.170019999999994</v>
      </c>
      <c r="AC13" s="8">
        <f>B25*T123/1000</f>
        <v>30.302129999999998</v>
      </c>
      <c r="AD13" s="8"/>
      <c r="AE13" s="8"/>
      <c r="AF13" s="8">
        <f>B25*T130/1000</f>
        <v>44.051850000000002</v>
      </c>
      <c r="AG13" s="8">
        <f>B25*T137/1000</f>
        <v>50.229390000000002</v>
      </c>
      <c r="AH13" s="8">
        <f>B25*T144/1000</f>
        <v>35.885159999999999</v>
      </c>
      <c r="AI13" s="8">
        <f>B25*T151/1000</f>
        <v>35.491799999999998</v>
      </c>
      <c r="AJ13" s="14">
        <f t="shared" si="0"/>
        <v>928.71401999999989</v>
      </c>
      <c r="AK13" s="30">
        <f t="shared" si="1"/>
        <v>-1007.28078</v>
      </c>
    </row>
    <row r="14" spans="1:38" x14ac:dyDescent="0.25">
      <c r="A14" s="26">
        <v>0.16</v>
      </c>
      <c r="B14" s="42" t="s">
        <v>142</v>
      </c>
      <c r="C14" s="15">
        <v>20231123016</v>
      </c>
      <c r="D14" s="29">
        <v>50</v>
      </c>
      <c r="E14" s="5">
        <v>0</v>
      </c>
      <c r="F14" s="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8">
        <f>B24*O130/1000</f>
        <v>28.623999999999999</v>
      </c>
      <c r="AG14" s="15"/>
      <c r="AH14" s="15"/>
      <c r="AI14" s="15"/>
      <c r="AJ14" s="14">
        <f t="shared" si="0"/>
        <v>28.623999999999999</v>
      </c>
      <c r="AK14" s="30">
        <f t="shared" si="1"/>
        <v>-21.376000000000001</v>
      </c>
      <c r="AL14" s="44"/>
    </row>
    <row r="15" spans="1:38" s="1" customFormat="1" x14ac:dyDescent="0.25">
      <c r="A15" s="27">
        <v>0.08</v>
      </c>
      <c r="B15" s="42" t="s">
        <v>143</v>
      </c>
      <c r="C15" s="15">
        <v>20231123017</v>
      </c>
      <c r="D15" s="29">
        <v>60</v>
      </c>
      <c r="E15" s="29">
        <v>0</v>
      </c>
      <c r="F15" s="29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6">
        <f>B25*W130/1000</f>
        <v>8.2650299999999994</v>
      </c>
      <c r="AG15" s="45"/>
      <c r="AH15" s="46">
        <f>B25*W144/1000</f>
        <v>16.784849999999999</v>
      </c>
      <c r="AI15" s="46">
        <f>B25*W151/1000</f>
        <v>16.360199999999999</v>
      </c>
      <c r="AJ15" s="14">
        <f t="shared" si="0"/>
        <v>41.410079999999994</v>
      </c>
      <c r="AK15" s="30">
        <f t="shared" si="1"/>
        <v>-18.589920000000006</v>
      </c>
      <c r="AL15" s="44"/>
    </row>
    <row r="17" spans="1:29" x14ac:dyDescent="0.25">
      <c r="A17" s="91" t="s">
        <v>119</v>
      </c>
      <c r="B17" s="91"/>
      <c r="C17" s="41">
        <f>SUM(F9:AI13)</f>
        <v>2979.1212699999996</v>
      </c>
      <c r="D17" s="40" t="s">
        <v>120</v>
      </c>
    </row>
    <row r="20" spans="1:29" x14ac:dyDescent="0.25">
      <c r="A20" s="6" t="s">
        <v>9</v>
      </c>
      <c r="B20" s="6" t="s">
        <v>23</v>
      </c>
    </row>
    <row r="21" spans="1:29" x14ac:dyDescent="0.25">
      <c r="A21" s="18">
        <v>0.127</v>
      </c>
      <c r="B21" s="5">
        <v>0.11269999999999999</v>
      </c>
    </row>
    <row r="22" spans="1:29" x14ac:dyDescent="0.25">
      <c r="A22" s="18">
        <v>0.12</v>
      </c>
      <c r="B22" s="5">
        <v>0.10059999999999999</v>
      </c>
    </row>
    <row r="23" spans="1:29" x14ac:dyDescent="0.25">
      <c r="A23" s="18">
        <v>0.2</v>
      </c>
      <c r="B23" s="5">
        <v>0.27960000000000002</v>
      </c>
    </row>
    <row r="24" spans="1:29" x14ac:dyDescent="0.25">
      <c r="A24" s="18">
        <v>0.16</v>
      </c>
      <c r="B24" s="5">
        <v>0.1789</v>
      </c>
    </row>
    <row r="25" spans="1:29" x14ac:dyDescent="0.25">
      <c r="A25" s="18">
        <v>0.08</v>
      </c>
      <c r="B25" s="5">
        <v>4.4699999999999997E-2</v>
      </c>
    </row>
    <row r="26" spans="1:29" x14ac:dyDescent="0.25">
      <c r="A26" s="18">
        <v>0.18</v>
      </c>
      <c r="B26" s="5">
        <v>0.22639999999999999</v>
      </c>
    </row>
    <row r="27" spans="1:29" x14ac:dyDescent="0.25">
      <c r="A27" s="7"/>
      <c r="B27" s="7"/>
    </row>
    <row r="28" spans="1:29" x14ac:dyDescent="0.25">
      <c r="A28" s="73" t="s">
        <v>7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</row>
    <row r="29" spans="1:29" x14ac:dyDescent="0.25">
      <c r="A29" s="74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</row>
    <row r="30" spans="1:29" x14ac:dyDescent="0.25">
      <c r="A30" s="71" t="s">
        <v>8</v>
      </c>
      <c r="B30" s="71" t="s">
        <v>11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</row>
    <row r="31" spans="1:29" x14ac:dyDescent="0.25">
      <c r="A31" s="71"/>
      <c r="B31" s="72">
        <v>0.127</v>
      </c>
      <c r="C31" s="72"/>
      <c r="D31" s="72"/>
      <c r="E31" s="72">
        <v>0.12</v>
      </c>
      <c r="F31" s="72"/>
      <c r="G31" s="72"/>
      <c r="H31" s="72"/>
      <c r="I31" s="72"/>
      <c r="J31" s="72">
        <v>0.2</v>
      </c>
      <c r="K31" s="72"/>
      <c r="L31" s="72"/>
      <c r="M31" s="72"/>
      <c r="N31" s="72"/>
      <c r="O31" s="72">
        <v>0.16</v>
      </c>
      <c r="P31" s="72"/>
      <c r="Q31" s="72"/>
      <c r="R31" s="72"/>
      <c r="S31" s="72"/>
      <c r="T31" s="78">
        <v>0.08</v>
      </c>
      <c r="U31" s="78"/>
      <c r="V31" s="78"/>
      <c r="W31" s="78"/>
      <c r="X31" s="78"/>
      <c r="Y31" s="78">
        <v>0.18</v>
      </c>
      <c r="Z31" s="78"/>
      <c r="AA31" s="78"/>
      <c r="AB31" s="78"/>
      <c r="AC31" s="78"/>
    </row>
    <row r="32" spans="1:29" x14ac:dyDescent="0.25">
      <c r="A32" s="71"/>
      <c r="B32" s="71" t="s">
        <v>12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</row>
    <row r="33" spans="1:29" x14ac:dyDescent="0.25">
      <c r="A33" s="49">
        <v>45207</v>
      </c>
      <c r="B33" s="51"/>
      <c r="C33" s="51"/>
      <c r="D33" s="51"/>
      <c r="E33" s="51"/>
      <c r="F33" s="51"/>
      <c r="G33" s="51"/>
      <c r="H33" s="51"/>
      <c r="I33" s="51"/>
      <c r="J33" s="51">
        <v>153700</v>
      </c>
      <c r="K33" s="51"/>
      <c r="L33" s="51"/>
      <c r="M33" s="51"/>
      <c r="N33" s="51"/>
      <c r="O33" s="51"/>
      <c r="P33" s="51"/>
      <c r="Q33" s="51"/>
      <c r="R33" s="51"/>
      <c r="S33" s="51"/>
      <c r="T33" s="51" t="s">
        <v>121</v>
      </c>
      <c r="U33" s="51"/>
      <c r="V33" s="51"/>
      <c r="W33" s="51"/>
      <c r="X33" s="51"/>
      <c r="Y33" s="51"/>
      <c r="Z33" s="51"/>
      <c r="AA33" s="51"/>
      <c r="AB33" s="51"/>
      <c r="AC33" s="51"/>
    </row>
    <row r="34" spans="1:29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spans="1:29" x14ac:dyDescent="0.25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spans="1:29" x14ac:dyDescent="0.25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spans="1:29" x14ac:dyDescent="0.2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spans="1:29" x14ac:dyDescent="0.25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spans="1:29" x14ac:dyDescent="0.25">
      <c r="A39" s="4" t="s">
        <v>10</v>
      </c>
      <c r="B39" s="62"/>
      <c r="C39" s="63"/>
      <c r="D39" s="64"/>
      <c r="E39" s="62"/>
      <c r="F39" s="63"/>
      <c r="G39" s="63"/>
      <c r="H39" s="63"/>
      <c r="I39" s="64"/>
      <c r="J39" s="62">
        <f>153700</f>
        <v>153700</v>
      </c>
      <c r="K39" s="63"/>
      <c r="L39" s="63"/>
      <c r="M39" s="63"/>
      <c r="N39" s="64"/>
      <c r="O39" s="62"/>
      <c r="P39" s="63"/>
      <c r="Q39" s="63"/>
      <c r="R39" s="63"/>
      <c r="S39" s="64"/>
      <c r="T39" s="88">
        <f>178100 + 94900</f>
        <v>273000</v>
      </c>
      <c r="U39" s="89"/>
      <c r="V39" s="89"/>
      <c r="W39" s="89"/>
      <c r="X39" s="90"/>
      <c r="Y39" s="88"/>
      <c r="Z39" s="89"/>
      <c r="AA39" s="89"/>
      <c r="AB39" s="89"/>
      <c r="AC39" s="90"/>
    </row>
    <row r="40" spans="1:29" x14ac:dyDescent="0.25">
      <c r="A40" s="49">
        <v>45208</v>
      </c>
      <c r="B40" s="51">
        <v>28400</v>
      </c>
      <c r="C40" s="51"/>
      <c r="D40" s="51"/>
      <c r="E40" s="51">
        <v>300000</v>
      </c>
      <c r="F40" s="51"/>
      <c r="G40" s="51"/>
      <c r="H40" s="51"/>
      <c r="I40" s="51"/>
      <c r="J40" s="51">
        <v>150000</v>
      </c>
      <c r="K40" s="51"/>
      <c r="L40" s="51"/>
      <c r="M40" s="51"/>
      <c r="N40" s="51"/>
      <c r="O40" s="51"/>
      <c r="P40" s="51"/>
      <c r="Q40" s="51"/>
      <c r="R40" s="51"/>
      <c r="S40" s="51"/>
      <c r="T40" s="51" t="s">
        <v>122</v>
      </c>
      <c r="U40" s="51"/>
      <c r="V40" s="51"/>
      <c r="W40" s="51"/>
      <c r="X40" s="51"/>
      <c r="Y40" s="51"/>
      <c r="Z40" s="51"/>
      <c r="AA40" s="51"/>
      <c r="AB40" s="51"/>
      <c r="AC40" s="51"/>
    </row>
    <row r="41" spans="1:29" x14ac:dyDescent="0.25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</row>
    <row r="42" spans="1:29" x14ac:dyDescent="0.25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</row>
    <row r="43" spans="1:29" x14ac:dyDescent="0.25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</row>
    <row r="44" spans="1:29" x14ac:dyDescent="0.25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</row>
    <row r="45" spans="1:29" x14ac:dyDescent="0.2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</row>
    <row r="46" spans="1:29" x14ac:dyDescent="0.25">
      <c r="A46" s="4" t="s">
        <v>10</v>
      </c>
      <c r="B46" s="62">
        <f>28400</f>
        <v>28400</v>
      </c>
      <c r="C46" s="63"/>
      <c r="D46" s="64"/>
      <c r="E46" s="62">
        <f>300000</f>
        <v>300000</v>
      </c>
      <c r="F46" s="63"/>
      <c r="G46" s="63"/>
      <c r="H46" s="63"/>
      <c r="I46" s="64"/>
      <c r="J46" s="62">
        <f t="shared" ref="J46" si="2">150000</f>
        <v>150000</v>
      </c>
      <c r="K46" s="63"/>
      <c r="L46" s="63"/>
      <c r="M46" s="63"/>
      <c r="N46" s="64"/>
      <c r="O46" s="62"/>
      <c r="P46" s="63"/>
      <c r="Q46" s="63"/>
      <c r="R46" s="63"/>
      <c r="S46" s="64"/>
      <c r="T46" s="88">
        <f>308850 + 232050 + 253850 + 308850 + 232050 + 253850</f>
        <v>1589500</v>
      </c>
      <c r="U46" s="89"/>
      <c r="V46" s="89"/>
      <c r="W46" s="89"/>
      <c r="X46" s="90"/>
      <c r="Y46" s="88"/>
      <c r="Z46" s="89"/>
      <c r="AA46" s="89"/>
      <c r="AB46" s="89"/>
      <c r="AC46" s="90"/>
    </row>
    <row r="47" spans="1:29" x14ac:dyDescent="0.25">
      <c r="A47" s="49">
        <v>45209</v>
      </c>
      <c r="B47" s="51"/>
      <c r="C47" s="51"/>
      <c r="D47" s="51"/>
      <c r="E47" s="51" t="s">
        <v>123</v>
      </c>
      <c r="F47" s="51"/>
      <c r="G47" s="51"/>
      <c r="H47" s="51"/>
      <c r="I47" s="51"/>
      <c r="J47" s="51">
        <v>150000</v>
      </c>
      <c r="K47" s="51"/>
      <c r="L47" s="51"/>
      <c r="M47" s="51"/>
      <c r="N47" s="51"/>
      <c r="O47" s="51"/>
      <c r="P47" s="51"/>
      <c r="Q47" s="51"/>
      <c r="R47" s="51"/>
      <c r="S47" s="51"/>
      <c r="T47" s="51" t="s">
        <v>124</v>
      </c>
      <c r="U47" s="51"/>
      <c r="V47" s="51"/>
      <c r="W47" s="51"/>
      <c r="X47" s="51"/>
      <c r="Y47" s="51"/>
      <c r="Z47" s="51"/>
      <c r="AA47" s="51"/>
      <c r="AB47" s="51"/>
      <c r="AC47" s="51"/>
    </row>
    <row r="48" spans="1:29" x14ac:dyDescent="0.25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 spans="1:29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 spans="1:29" x14ac:dyDescent="0.25">
      <c r="A50" s="50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 spans="1:29" x14ac:dyDescent="0.25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 spans="1:29" x14ac:dyDescent="0.25">
      <c r="A52" s="50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 spans="1:29" x14ac:dyDescent="0.25">
      <c r="A53" s="4" t="s">
        <v>10</v>
      </c>
      <c r="B53" s="62"/>
      <c r="C53" s="63"/>
      <c r="D53" s="64"/>
      <c r="E53" s="62">
        <f>225000 + 225000</f>
        <v>450000</v>
      </c>
      <c r="F53" s="63"/>
      <c r="G53" s="63"/>
      <c r="H53" s="63"/>
      <c r="I53" s="64"/>
      <c r="J53" s="62">
        <f>150000</f>
        <v>150000</v>
      </c>
      <c r="K53" s="63"/>
      <c r="L53" s="63"/>
      <c r="M53" s="63"/>
      <c r="N53" s="64"/>
      <c r="O53" s="62"/>
      <c r="P53" s="63"/>
      <c r="Q53" s="63"/>
      <c r="R53" s="63"/>
      <c r="S53" s="64"/>
      <c r="T53" s="88">
        <f>271400 + 267000 + 260000 + 328600 + 229400 + 267700</f>
        <v>1624100</v>
      </c>
      <c r="U53" s="89"/>
      <c r="V53" s="89"/>
      <c r="W53" s="89"/>
      <c r="X53" s="90"/>
      <c r="Y53" s="88"/>
      <c r="Z53" s="89"/>
      <c r="AA53" s="89"/>
      <c r="AB53" s="89"/>
      <c r="AC53" s="90"/>
    </row>
    <row r="54" spans="1:29" x14ac:dyDescent="0.25">
      <c r="A54" s="49">
        <v>45212</v>
      </c>
      <c r="B54" s="51" t="s">
        <v>125</v>
      </c>
      <c r="C54" s="51"/>
      <c r="D54" s="51"/>
      <c r="E54" s="51" t="s">
        <v>126</v>
      </c>
      <c r="F54" s="51"/>
      <c r="G54" s="51"/>
      <c r="H54" s="51"/>
      <c r="I54" s="51"/>
      <c r="J54" s="51" t="s">
        <v>127</v>
      </c>
      <c r="K54" s="51"/>
      <c r="L54" s="51"/>
      <c r="M54" s="51"/>
      <c r="N54" s="51"/>
      <c r="O54" s="51"/>
      <c r="P54" s="51"/>
      <c r="Q54" s="51"/>
      <c r="R54" s="51"/>
      <c r="S54" s="51"/>
      <c r="T54" s="51" t="s">
        <v>128</v>
      </c>
      <c r="U54" s="51"/>
      <c r="V54" s="51"/>
      <c r="W54" s="51"/>
      <c r="X54" s="51"/>
      <c r="Y54" s="51"/>
      <c r="Z54" s="51"/>
      <c r="AA54" s="51"/>
      <c r="AB54" s="51"/>
      <c r="AC54" s="51"/>
    </row>
    <row r="55" spans="1:29" x14ac:dyDescent="0.25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</row>
    <row r="56" spans="1:29" x14ac:dyDescent="0.25">
      <c r="A56" s="50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 spans="1:29" x14ac:dyDescent="0.25">
      <c r="A57" s="50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</row>
    <row r="58" spans="1:29" x14ac:dyDescent="0.25">
      <c r="A58" s="50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 spans="1:29" x14ac:dyDescent="0.25">
      <c r="A59" s="50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</row>
    <row r="60" spans="1:29" x14ac:dyDescent="0.25">
      <c r="A60" s="4" t="s">
        <v>10</v>
      </c>
      <c r="B60" s="62">
        <f>219900 + 192700</f>
        <v>412600</v>
      </c>
      <c r="C60" s="63"/>
      <c r="D60" s="64"/>
      <c r="E60" s="62">
        <f t="shared" ref="E60" si="3">233100 + 393700</f>
        <v>626800</v>
      </c>
      <c r="F60" s="63"/>
      <c r="G60" s="63"/>
      <c r="H60" s="63"/>
      <c r="I60" s="64"/>
      <c r="J60" s="62">
        <f>320100 + 216900</f>
        <v>537000</v>
      </c>
      <c r="K60" s="63"/>
      <c r="L60" s="63"/>
      <c r="M60" s="63"/>
      <c r="N60" s="64"/>
      <c r="O60" s="62"/>
      <c r="P60" s="63"/>
      <c r="Q60" s="63"/>
      <c r="R60" s="63"/>
      <c r="S60" s="64"/>
      <c r="T60" s="88">
        <f>433200 + 418300 + 430200 + 390000 + 384000 + 347500</f>
        <v>2403200</v>
      </c>
      <c r="U60" s="89"/>
      <c r="V60" s="89"/>
      <c r="W60" s="89"/>
      <c r="X60" s="90"/>
      <c r="Y60" s="88"/>
      <c r="Z60" s="89"/>
      <c r="AA60" s="89"/>
      <c r="AB60" s="89"/>
      <c r="AC60" s="90"/>
    </row>
    <row r="61" spans="1:29" x14ac:dyDescent="0.25">
      <c r="A61" s="49">
        <v>45213</v>
      </c>
      <c r="B61" s="51" t="s">
        <v>129</v>
      </c>
      <c r="C61" s="51"/>
      <c r="D61" s="51"/>
      <c r="E61" s="51" t="s">
        <v>130</v>
      </c>
      <c r="F61" s="51"/>
      <c r="G61" s="51"/>
      <c r="H61" s="51"/>
      <c r="I61" s="51"/>
      <c r="J61" s="51">
        <v>145100</v>
      </c>
      <c r="K61" s="51"/>
      <c r="L61" s="51"/>
      <c r="M61" s="51"/>
      <c r="N61" s="51"/>
      <c r="O61" s="51"/>
      <c r="P61" s="51"/>
      <c r="Q61" s="51"/>
      <c r="R61" s="51"/>
      <c r="S61" s="51"/>
      <c r="T61" s="51" t="s">
        <v>131</v>
      </c>
      <c r="U61" s="51"/>
      <c r="V61" s="51"/>
      <c r="W61" s="51"/>
      <c r="X61" s="51"/>
      <c r="Y61" s="51"/>
      <c r="Z61" s="51"/>
      <c r="AA61" s="51"/>
      <c r="AB61" s="51"/>
      <c r="AC61" s="51"/>
    </row>
    <row r="62" spans="1:29" x14ac:dyDescent="0.25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 spans="1:29" x14ac:dyDescent="0.25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spans="1:29" x14ac:dyDescent="0.25">
      <c r="A64" s="50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 spans="1:29" x14ac:dyDescent="0.25">
      <c r="A65" s="50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 spans="1:29" x14ac:dyDescent="0.25">
      <c r="A66" s="5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spans="1:29" x14ac:dyDescent="0.25">
      <c r="A67" s="4" t="s">
        <v>10</v>
      </c>
      <c r="B67" s="62">
        <f>33000 + 85000</f>
        <v>118000</v>
      </c>
      <c r="C67" s="63"/>
      <c r="D67" s="64"/>
      <c r="E67" s="62">
        <f>374000 + 450800</f>
        <v>824800</v>
      </c>
      <c r="F67" s="63"/>
      <c r="G67" s="63"/>
      <c r="H67" s="63"/>
      <c r="I67" s="64"/>
      <c r="J67" s="62">
        <f>145100</f>
        <v>145100</v>
      </c>
      <c r="K67" s="63"/>
      <c r="L67" s="63"/>
      <c r="M67" s="63"/>
      <c r="N67" s="64"/>
      <c r="O67" s="62"/>
      <c r="P67" s="63"/>
      <c r="Q67" s="63"/>
      <c r="R67" s="63"/>
      <c r="S67" s="64"/>
      <c r="T67" s="88">
        <f>406900 + 404000 + 396000 + 447800 + 433700 + 442300</f>
        <v>2530700</v>
      </c>
      <c r="U67" s="89"/>
      <c r="V67" s="89"/>
      <c r="W67" s="89"/>
      <c r="X67" s="90"/>
      <c r="Y67" s="88"/>
      <c r="Z67" s="89"/>
      <c r="AA67" s="89"/>
      <c r="AB67" s="89"/>
      <c r="AC67" s="90"/>
    </row>
    <row r="68" spans="1:29" x14ac:dyDescent="0.25">
      <c r="A68" s="49">
        <v>45214</v>
      </c>
      <c r="B68" s="51"/>
      <c r="C68" s="51"/>
      <c r="D68" s="51"/>
      <c r="E68" s="51">
        <v>403500</v>
      </c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 t="s">
        <v>132</v>
      </c>
      <c r="U68" s="51"/>
      <c r="V68" s="51"/>
      <c r="W68" s="51"/>
      <c r="X68" s="51"/>
      <c r="Y68" s="51"/>
      <c r="Z68" s="51"/>
      <c r="AA68" s="51"/>
      <c r="AB68" s="51"/>
      <c r="AC68" s="51"/>
    </row>
    <row r="69" spans="1:29" x14ac:dyDescent="0.25">
      <c r="A69" s="50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 spans="1:29" x14ac:dyDescent="0.25">
      <c r="A70" s="50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 spans="1:29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spans="1:29" x14ac:dyDescent="0.25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</row>
    <row r="73" spans="1:29" x14ac:dyDescent="0.25">
      <c r="A73" s="50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x14ac:dyDescent="0.25">
      <c r="A74" s="4" t="s">
        <v>10</v>
      </c>
      <c r="B74" s="62"/>
      <c r="C74" s="63"/>
      <c r="D74" s="64"/>
      <c r="E74" s="62">
        <f>403500</f>
        <v>403500</v>
      </c>
      <c r="F74" s="63"/>
      <c r="G74" s="63"/>
      <c r="H74" s="63"/>
      <c r="I74" s="64"/>
      <c r="J74" s="62"/>
      <c r="K74" s="63"/>
      <c r="L74" s="63"/>
      <c r="M74" s="63"/>
      <c r="N74" s="64"/>
      <c r="O74" s="62"/>
      <c r="P74" s="63"/>
      <c r="Q74" s="63"/>
      <c r="R74" s="63"/>
      <c r="S74" s="64"/>
      <c r="T74" s="88">
        <f>458200 + 444900 + 396100</f>
        <v>1299200</v>
      </c>
      <c r="U74" s="89"/>
      <c r="V74" s="89"/>
      <c r="W74" s="89"/>
      <c r="X74" s="90"/>
      <c r="Y74" s="88"/>
      <c r="Z74" s="89"/>
      <c r="AA74" s="89"/>
      <c r="AB74" s="89"/>
      <c r="AC74" s="90"/>
    </row>
    <row r="75" spans="1:29" x14ac:dyDescent="0.25">
      <c r="A75" s="49">
        <v>45215</v>
      </c>
      <c r="B75" s="51"/>
      <c r="C75" s="51"/>
      <c r="D75" s="51"/>
      <c r="E75" s="51">
        <v>486700</v>
      </c>
      <c r="F75" s="51"/>
      <c r="G75" s="51"/>
      <c r="H75" s="51"/>
      <c r="I75" s="51"/>
      <c r="J75" s="51">
        <v>344600</v>
      </c>
      <c r="K75" s="51"/>
      <c r="L75" s="51"/>
      <c r="M75" s="51"/>
      <c r="N75" s="51"/>
      <c r="O75" s="51"/>
      <c r="P75" s="51"/>
      <c r="Q75" s="51"/>
      <c r="R75" s="51"/>
      <c r="S75" s="51"/>
      <c r="T75" s="51" t="s">
        <v>133</v>
      </c>
      <c r="U75" s="51"/>
      <c r="V75" s="51"/>
      <c r="W75" s="51"/>
      <c r="X75" s="51"/>
      <c r="Y75" s="51"/>
      <c r="Z75" s="51"/>
      <c r="AA75" s="51"/>
      <c r="AB75" s="51"/>
      <c r="AC75" s="51"/>
    </row>
    <row r="76" spans="1:29" x14ac:dyDescent="0.25">
      <c r="A76" s="50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spans="1:29" x14ac:dyDescent="0.25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</row>
    <row r="78" spans="1:29" x14ac:dyDescent="0.25">
      <c r="A78" s="50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</row>
    <row r="79" spans="1:29" x14ac:dyDescent="0.25">
      <c r="A79" s="50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 spans="1:29" x14ac:dyDescent="0.25">
      <c r="A80" s="50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 spans="1:29" x14ac:dyDescent="0.25">
      <c r="A81" s="4" t="s">
        <v>10</v>
      </c>
      <c r="B81" s="62"/>
      <c r="C81" s="63"/>
      <c r="D81" s="64"/>
      <c r="E81" s="62">
        <f>486700</f>
        <v>486700</v>
      </c>
      <c r="F81" s="63"/>
      <c r="G81" s="63"/>
      <c r="H81" s="63"/>
      <c r="I81" s="64"/>
      <c r="J81" s="62">
        <f>344600</f>
        <v>344600</v>
      </c>
      <c r="K81" s="63"/>
      <c r="L81" s="63"/>
      <c r="M81" s="63"/>
      <c r="N81" s="64"/>
      <c r="O81" s="62"/>
      <c r="P81" s="63"/>
      <c r="Q81" s="63"/>
      <c r="R81" s="63"/>
      <c r="S81" s="64"/>
      <c r="T81" s="88">
        <f>344600 + 524100 + 461500</f>
        <v>1330200</v>
      </c>
      <c r="U81" s="89"/>
      <c r="V81" s="89"/>
      <c r="W81" s="89"/>
      <c r="X81" s="90"/>
      <c r="Y81" s="88"/>
      <c r="Z81" s="89"/>
      <c r="AA81" s="89"/>
      <c r="AB81" s="89"/>
      <c r="AC81" s="90"/>
    </row>
    <row r="82" spans="1:29" x14ac:dyDescent="0.25">
      <c r="A82" s="49">
        <v>45216</v>
      </c>
      <c r="B82" s="51">
        <v>130800</v>
      </c>
      <c r="C82" s="51"/>
      <c r="D82" s="51"/>
      <c r="E82" s="51">
        <v>254000</v>
      </c>
      <c r="F82" s="51"/>
      <c r="G82" s="51"/>
      <c r="H82" s="51"/>
      <c r="I82" s="51"/>
      <c r="J82" s="51">
        <v>186700</v>
      </c>
      <c r="K82" s="51"/>
      <c r="L82" s="51"/>
      <c r="M82" s="51"/>
      <c r="N82" s="51"/>
      <c r="O82" s="51"/>
      <c r="P82" s="51"/>
      <c r="Q82" s="51"/>
      <c r="R82" s="51"/>
      <c r="S82" s="51"/>
      <c r="T82" s="51" t="s">
        <v>134</v>
      </c>
      <c r="U82" s="51"/>
      <c r="V82" s="51"/>
      <c r="W82" s="51"/>
      <c r="X82" s="51"/>
      <c r="Y82" s="51"/>
      <c r="Z82" s="51"/>
      <c r="AA82" s="51"/>
      <c r="AB82" s="51"/>
      <c r="AC82" s="51"/>
    </row>
    <row r="83" spans="1:29" x14ac:dyDescent="0.25">
      <c r="A83" s="50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 spans="1:29" x14ac:dyDescent="0.25">
      <c r="A84" s="50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 spans="1:29" x14ac:dyDescent="0.25">
      <c r="A85" s="50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spans="1:29" x14ac:dyDescent="0.25">
      <c r="A86" s="50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 spans="1:29" x14ac:dyDescent="0.25">
      <c r="A87" s="50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  <row r="88" spans="1:29" x14ac:dyDescent="0.25">
      <c r="A88" s="4" t="s">
        <v>10</v>
      </c>
      <c r="B88" s="62">
        <f>130800</f>
        <v>130800</v>
      </c>
      <c r="C88" s="63"/>
      <c r="D88" s="64"/>
      <c r="E88" s="62">
        <f>254000</f>
        <v>254000</v>
      </c>
      <c r="F88" s="63"/>
      <c r="G88" s="63"/>
      <c r="H88" s="63"/>
      <c r="I88" s="64"/>
      <c r="J88" s="62">
        <f>186700</f>
        <v>186700</v>
      </c>
      <c r="K88" s="63"/>
      <c r="L88" s="63"/>
      <c r="M88" s="63"/>
      <c r="N88" s="64"/>
      <c r="O88" s="62"/>
      <c r="P88" s="63"/>
      <c r="Q88" s="63"/>
      <c r="R88" s="63"/>
      <c r="S88" s="64"/>
      <c r="T88" s="88">
        <f>248300 + 235100 + 212900</f>
        <v>696300</v>
      </c>
      <c r="U88" s="89"/>
      <c r="V88" s="89"/>
      <c r="W88" s="89"/>
      <c r="X88" s="90"/>
      <c r="Y88" s="88"/>
      <c r="Z88" s="89"/>
      <c r="AA88" s="89"/>
      <c r="AB88" s="89"/>
      <c r="AC88" s="90"/>
    </row>
    <row r="89" spans="1:29" x14ac:dyDescent="0.25">
      <c r="A89" s="49">
        <v>45219</v>
      </c>
      <c r="B89" s="51">
        <v>276000</v>
      </c>
      <c r="C89" s="51"/>
      <c r="D89" s="51"/>
      <c r="E89" s="51">
        <v>315000</v>
      </c>
      <c r="F89" s="51"/>
      <c r="G89" s="51"/>
      <c r="H89" s="51"/>
      <c r="I89" s="51"/>
      <c r="J89" s="51">
        <v>294200</v>
      </c>
      <c r="K89" s="51"/>
      <c r="L89" s="51"/>
      <c r="M89" s="51"/>
      <c r="N89" s="51"/>
      <c r="O89" s="51"/>
      <c r="P89" s="51"/>
      <c r="Q89" s="51"/>
      <c r="R89" s="51"/>
      <c r="S89" s="51"/>
      <c r="T89" s="51" t="s">
        <v>135</v>
      </c>
      <c r="U89" s="51"/>
      <c r="V89" s="51"/>
      <c r="W89" s="51"/>
      <c r="X89" s="51"/>
      <c r="Y89" s="51"/>
      <c r="Z89" s="51"/>
      <c r="AA89" s="51"/>
      <c r="AB89" s="51"/>
      <c r="AC89" s="51"/>
    </row>
    <row r="90" spans="1:29" x14ac:dyDescent="0.25">
      <c r="A90" s="5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 spans="1:29" x14ac:dyDescent="0.25">
      <c r="A91" s="50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</row>
    <row r="92" spans="1:29" x14ac:dyDescent="0.25">
      <c r="A92" s="50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</row>
    <row r="93" spans="1:29" x14ac:dyDescent="0.25">
      <c r="A93" s="50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</row>
    <row r="94" spans="1:29" x14ac:dyDescent="0.25">
      <c r="A94" s="50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 spans="1:29" x14ac:dyDescent="0.25">
      <c r="A95" s="4" t="s">
        <v>10</v>
      </c>
      <c r="B95" s="62">
        <f>B89</f>
        <v>276000</v>
      </c>
      <c r="C95" s="63"/>
      <c r="D95" s="64"/>
      <c r="E95" s="62">
        <f>E89</f>
        <v>315000</v>
      </c>
      <c r="F95" s="63"/>
      <c r="G95" s="63"/>
      <c r="H95" s="63"/>
      <c r="I95" s="64"/>
      <c r="J95" s="62">
        <f>J89</f>
        <v>294200</v>
      </c>
      <c r="K95" s="63"/>
      <c r="L95" s="63"/>
      <c r="M95" s="63"/>
      <c r="N95" s="64"/>
      <c r="O95" s="62"/>
      <c r="P95" s="63"/>
      <c r="Q95" s="63"/>
      <c r="R95" s="63"/>
      <c r="S95" s="64"/>
      <c r="T95" s="88">
        <f>384900 + 440800 + 339100</f>
        <v>1164800</v>
      </c>
      <c r="U95" s="89"/>
      <c r="V95" s="89"/>
      <c r="W95" s="89"/>
      <c r="X95" s="90"/>
      <c r="Y95" s="88"/>
      <c r="Z95" s="89"/>
      <c r="AA95" s="89"/>
      <c r="AB95" s="89"/>
      <c r="AC95" s="90"/>
    </row>
    <row r="96" spans="1:29" x14ac:dyDescent="0.25">
      <c r="A96" s="49">
        <v>45220</v>
      </c>
      <c r="B96" s="51">
        <v>204900</v>
      </c>
      <c r="C96" s="51"/>
      <c r="D96" s="51"/>
      <c r="E96" s="51">
        <v>362700</v>
      </c>
      <c r="F96" s="51"/>
      <c r="G96" s="51"/>
      <c r="H96" s="51"/>
      <c r="I96" s="51"/>
      <c r="J96" s="51">
        <v>411600</v>
      </c>
      <c r="K96" s="51"/>
      <c r="L96" s="51"/>
      <c r="M96" s="51"/>
      <c r="N96" s="51"/>
      <c r="O96" s="51"/>
      <c r="P96" s="51"/>
      <c r="Q96" s="51"/>
      <c r="R96" s="51"/>
      <c r="S96" s="51"/>
      <c r="T96" s="51" t="s">
        <v>136</v>
      </c>
      <c r="U96" s="51"/>
      <c r="V96" s="51"/>
      <c r="W96" s="51"/>
      <c r="X96" s="51"/>
      <c r="Y96" s="51"/>
      <c r="Z96" s="51"/>
      <c r="AA96" s="51"/>
      <c r="AB96" s="51"/>
      <c r="AC96" s="51"/>
    </row>
    <row r="97" spans="1:29" x14ac:dyDescent="0.25">
      <c r="A97" s="50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 spans="1:29" x14ac:dyDescent="0.25">
      <c r="A98" s="50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 spans="1:29" x14ac:dyDescent="0.25">
      <c r="A99" s="50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 spans="1:29" x14ac:dyDescent="0.25">
      <c r="A100" s="50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 spans="1:29" x14ac:dyDescent="0.25">
      <c r="A101" s="50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 spans="1:29" x14ac:dyDescent="0.25">
      <c r="A102" s="4" t="s">
        <v>10</v>
      </c>
      <c r="B102" s="62">
        <f>B96</f>
        <v>204900</v>
      </c>
      <c r="C102" s="63"/>
      <c r="D102" s="64"/>
      <c r="E102" s="62">
        <f>E96</f>
        <v>362700</v>
      </c>
      <c r="F102" s="63"/>
      <c r="G102" s="63"/>
      <c r="H102" s="63"/>
      <c r="I102" s="64"/>
      <c r="J102" s="62">
        <f>J96</f>
        <v>411600</v>
      </c>
      <c r="K102" s="63"/>
      <c r="L102" s="63"/>
      <c r="M102" s="63"/>
      <c r="N102" s="64"/>
      <c r="O102" s="62"/>
      <c r="P102" s="63"/>
      <c r="Q102" s="63"/>
      <c r="R102" s="63"/>
      <c r="S102" s="64"/>
      <c r="T102" s="88">
        <f>388800 + 414400 + 358700</f>
        <v>1161900</v>
      </c>
      <c r="U102" s="89"/>
      <c r="V102" s="89"/>
      <c r="W102" s="89"/>
      <c r="X102" s="90"/>
      <c r="Y102" s="88"/>
      <c r="Z102" s="89"/>
      <c r="AA102" s="89"/>
      <c r="AB102" s="89"/>
      <c r="AC102" s="90"/>
    </row>
    <row r="103" spans="1:29" x14ac:dyDescent="0.25">
      <c r="A103" s="49">
        <v>45221</v>
      </c>
      <c r="B103" s="51">
        <v>201600</v>
      </c>
      <c r="C103" s="51"/>
      <c r="D103" s="51"/>
      <c r="E103" s="51">
        <v>429700</v>
      </c>
      <c r="F103" s="51"/>
      <c r="G103" s="51"/>
      <c r="H103" s="51"/>
      <c r="I103" s="51"/>
      <c r="J103" s="51">
        <v>256400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 t="s">
        <v>137</v>
      </c>
      <c r="U103" s="51"/>
      <c r="V103" s="51"/>
      <c r="W103" s="51"/>
      <c r="X103" s="51"/>
      <c r="Y103" s="51"/>
      <c r="Z103" s="51"/>
      <c r="AA103" s="51"/>
      <c r="AB103" s="51"/>
      <c r="AC103" s="51"/>
    </row>
    <row r="104" spans="1:29" x14ac:dyDescent="0.25">
      <c r="A104" s="50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 spans="1:29" x14ac:dyDescent="0.25">
      <c r="A105" s="50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 spans="1:29" x14ac:dyDescent="0.25">
      <c r="A106" s="50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</row>
    <row r="107" spans="1:29" x14ac:dyDescent="0.25">
      <c r="A107" s="50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</row>
    <row r="108" spans="1:29" x14ac:dyDescent="0.25">
      <c r="A108" s="50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</row>
    <row r="109" spans="1:29" x14ac:dyDescent="0.25">
      <c r="A109" s="4" t="s">
        <v>10</v>
      </c>
      <c r="B109" s="62">
        <f>B103</f>
        <v>201600</v>
      </c>
      <c r="C109" s="63"/>
      <c r="D109" s="64"/>
      <c r="E109" s="62">
        <f>E103</f>
        <v>429700</v>
      </c>
      <c r="F109" s="63"/>
      <c r="G109" s="63"/>
      <c r="H109" s="63"/>
      <c r="I109" s="64"/>
      <c r="J109" s="62">
        <f>J103</f>
        <v>256400</v>
      </c>
      <c r="K109" s="63"/>
      <c r="L109" s="63"/>
      <c r="M109" s="63"/>
      <c r="N109" s="64"/>
      <c r="O109" s="62"/>
      <c r="P109" s="63"/>
      <c r="Q109" s="63"/>
      <c r="R109" s="63"/>
      <c r="S109" s="64"/>
      <c r="T109" s="88">
        <f>403600 + 386600 + 273000</f>
        <v>1063200</v>
      </c>
      <c r="U109" s="89"/>
      <c r="V109" s="89"/>
      <c r="W109" s="89"/>
      <c r="X109" s="90"/>
      <c r="Y109" s="88"/>
      <c r="Z109" s="89"/>
      <c r="AA109" s="89"/>
      <c r="AB109" s="89"/>
      <c r="AC109" s="90"/>
    </row>
    <row r="110" spans="1:29" ht="15" customHeight="1" x14ac:dyDescent="0.25">
      <c r="A110" s="84">
        <v>45222</v>
      </c>
      <c r="B110" s="52">
        <v>86900</v>
      </c>
      <c r="C110" s="53"/>
      <c r="D110" s="54"/>
      <c r="E110" s="52">
        <v>108100</v>
      </c>
      <c r="F110" s="53"/>
      <c r="G110" s="53"/>
      <c r="H110" s="53"/>
      <c r="I110" s="54"/>
      <c r="J110" s="52">
        <v>304600</v>
      </c>
      <c r="K110" s="53"/>
      <c r="L110" s="53"/>
      <c r="M110" s="53"/>
      <c r="N110" s="54"/>
      <c r="O110" s="52"/>
      <c r="P110" s="53"/>
      <c r="Q110" s="53"/>
      <c r="R110" s="53"/>
      <c r="S110" s="54"/>
      <c r="T110" s="52" t="s">
        <v>138</v>
      </c>
      <c r="U110" s="53"/>
      <c r="V110" s="53"/>
      <c r="W110" s="53"/>
      <c r="X110" s="54"/>
      <c r="Y110" s="52"/>
      <c r="Z110" s="53"/>
      <c r="AA110" s="53"/>
      <c r="AB110" s="53"/>
      <c r="AC110" s="54"/>
    </row>
    <row r="111" spans="1:29" x14ac:dyDescent="0.25">
      <c r="A111" s="85"/>
      <c r="B111" s="55"/>
      <c r="C111" s="87"/>
      <c r="D111" s="57"/>
      <c r="E111" s="55"/>
      <c r="F111" s="87"/>
      <c r="G111" s="87"/>
      <c r="H111" s="87"/>
      <c r="I111" s="57"/>
      <c r="J111" s="55"/>
      <c r="K111" s="87"/>
      <c r="L111" s="87"/>
      <c r="M111" s="87"/>
      <c r="N111" s="57"/>
      <c r="O111" s="55"/>
      <c r="P111" s="87"/>
      <c r="Q111" s="87"/>
      <c r="R111" s="87"/>
      <c r="S111" s="57"/>
      <c r="T111" s="55"/>
      <c r="U111" s="87"/>
      <c r="V111" s="87"/>
      <c r="W111" s="87"/>
      <c r="X111" s="57"/>
      <c r="Y111" s="55"/>
      <c r="Z111" s="87"/>
      <c r="AA111" s="87"/>
      <c r="AB111" s="87"/>
      <c r="AC111" s="57"/>
    </row>
    <row r="112" spans="1:29" x14ac:dyDescent="0.25">
      <c r="A112" s="85"/>
      <c r="B112" s="55"/>
      <c r="C112" s="87"/>
      <c r="D112" s="57"/>
      <c r="E112" s="55"/>
      <c r="F112" s="87"/>
      <c r="G112" s="87"/>
      <c r="H112" s="87"/>
      <c r="I112" s="57"/>
      <c r="J112" s="55"/>
      <c r="K112" s="87"/>
      <c r="L112" s="87"/>
      <c r="M112" s="87"/>
      <c r="N112" s="57"/>
      <c r="O112" s="55"/>
      <c r="P112" s="87"/>
      <c r="Q112" s="87"/>
      <c r="R112" s="87"/>
      <c r="S112" s="57"/>
      <c r="T112" s="55"/>
      <c r="U112" s="87"/>
      <c r="V112" s="87"/>
      <c r="W112" s="87"/>
      <c r="X112" s="57"/>
      <c r="Y112" s="55"/>
      <c r="Z112" s="87"/>
      <c r="AA112" s="87"/>
      <c r="AB112" s="87"/>
      <c r="AC112" s="57"/>
    </row>
    <row r="113" spans="1:29" x14ac:dyDescent="0.25">
      <c r="A113" s="85"/>
      <c r="B113" s="55"/>
      <c r="C113" s="87"/>
      <c r="D113" s="57"/>
      <c r="E113" s="55"/>
      <c r="F113" s="87"/>
      <c r="G113" s="87"/>
      <c r="H113" s="87"/>
      <c r="I113" s="57"/>
      <c r="J113" s="55"/>
      <c r="K113" s="87"/>
      <c r="L113" s="87"/>
      <c r="M113" s="87"/>
      <c r="N113" s="57"/>
      <c r="O113" s="55"/>
      <c r="P113" s="87"/>
      <c r="Q113" s="87"/>
      <c r="R113" s="87"/>
      <c r="S113" s="57"/>
      <c r="T113" s="55"/>
      <c r="U113" s="87"/>
      <c r="V113" s="87"/>
      <c r="W113" s="87"/>
      <c r="X113" s="57"/>
      <c r="Y113" s="55"/>
      <c r="Z113" s="87"/>
      <c r="AA113" s="87"/>
      <c r="AB113" s="87"/>
      <c r="AC113" s="57"/>
    </row>
    <row r="114" spans="1:29" x14ac:dyDescent="0.25">
      <c r="A114" s="85"/>
      <c r="B114" s="55"/>
      <c r="C114" s="87"/>
      <c r="D114" s="57"/>
      <c r="E114" s="55"/>
      <c r="F114" s="87"/>
      <c r="G114" s="87"/>
      <c r="H114" s="87"/>
      <c r="I114" s="57"/>
      <c r="J114" s="55"/>
      <c r="K114" s="87"/>
      <c r="L114" s="87"/>
      <c r="M114" s="87"/>
      <c r="N114" s="57"/>
      <c r="O114" s="55"/>
      <c r="P114" s="87"/>
      <c r="Q114" s="87"/>
      <c r="R114" s="87"/>
      <c r="S114" s="57"/>
      <c r="T114" s="55"/>
      <c r="U114" s="87"/>
      <c r="V114" s="87"/>
      <c r="W114" s="87"/>
      <c r="X114" s="57"/>
      <c r="Y114" s="55"/>
      <c r="Z114" s="87"/>
      <c r="AA114" s="87"/>
      <c r="AB114" s="87"/>
      <c r="AC114" s="57"/>
    </row>
    <row r="115" spans="1:29" x14ac:dyDescent="0.25">
      <c r="A115" s="86"/>
      <c r="B115" s="58"/>
      <c r="C115" s="59"/>
      <c r="D115" s="60"/>
      <c r="E115" s="58"/>
      <c r="F115" s="59"/>
      <c r="G115" s="59"/>
      <c r="H115" s="59"/>
      <c r="I115" s="60"/>
      <c r="J115" s="58"/>
      <c r="K115" s="59"/>
      <c r="L115" s="59"/>
      <c r="M115" s="59"/>
      <c r="N115" s="60"/>
      <c r="O115" s="58"/>
      <c r="P115" s="59"/>
      <c r="Q115" s="59"/>
      <c r="R115" s="59"/>
      <c r="S115" s="60"/>
      <c r="T115" s="58"/>
      <c r="U115" s="59"/>
      <c r="V115" s="59"/>
      <c r="W115" s="59"/>
      <c r="X115" s="60"/>
      <c r="Y115" s="58"/>
      <c r="Z115" s="59"/>
      <c r="AA115" s="59"/>
      <c r="AB115" s="59"/>
      <c r="AC115" s="60"/>
    </row>
    <row r="116" spans="1:29" x14ac:dyDescent="0.25">
      <c r="A116" s="4" t="s">
        <v>10</v>
      </c>
      <c r="B116" s="62">
        <f>B110</f>
        <v>86900</v>
      </c>
      <c r="C116" s="63"/>
      <c r="D116" s="64"/>
      <c r="E116" s="62">
        <f>E110</f>
        <v>108100</v>
      </c>
      <c r="F116" s="63"/>
      <c r="G116" s="63"/>
      <c r="H116" s="63"/>
      <c r="I116" s="64"/>
      <c r="J116" s="62">
        <f>J110</f>
        <v>304600</v>
      </c>
      <c r="K116" s="63"/>
      <c r="L116" s="63"/>
      <c r="M116" s="63"/>
      <c r="N116" s="64"/>
      <c r="O116" s="62"/>
      <c r="P116" s="63"/>
      <c r="Q116" s="63"/>
      <c r="R116" s="63"/>
      <c r="S116" s="64"/>
      <c r="T116" s="88">
        <f>446500 + 380700 + 429400</f>
        <v>1256600</v>
      </c>
      <c r="U116" s="89"/>
      <c r="V116" s="89"/>
      <c r="W116" s="89"/>
      <c r="X116" s="90"/>
      <c r="Y116" s="88"/>
      <c r="Z116" s="89"/>
      <c r="AA116" s="89"/>
      <c r="AB116" s="89"/>
      <c r="AC116" s="90"/>
    </row>
    <row r="117" spans="1:29" ht="15" customHeight="1" x14ac:dyDescent="0.25">
      <c r="A117" s="84">
        <v>45223</v>
      </c>
      <c r="B117" s="52">
        <v>92900</v>
      </c>
      <c r="C117" s="53"/>
      <c r="D117" s="54"/>
      <c r="E117" s="52"/>
      <c r="F117" s="53"/>
      <c r="G117" s="53"/>
      <c r="H117" s="53"/>
      <c r="I117" s="54"/>
      <c r="J117" s="52">
        <v>194300</v>
      </c>
      <c r="K117" s="53"/>
      <c r="L117" s="53"/>
      <c r="M117" s="53"/>
      <c r="N117" s="54"/>
      <c r="O117" s="52"/>
      <c r="P117" s="53"/>
      <c r="Q117" s="53"/>
      <c r="R117" s="53"/>
      <c r="S117" s="54"/>
      <c r="T117" s="52" t="s">
        <v>139</v>
      </c>
      <c r="U117" s="53"/>
      <c r="V117" s="53"/>
      <c r="W117" s="53"/>
      <c r="X117" s="54"/>
      <c r="Y117" s="52"/>
      <c r="Z117" s="53"/>
      <c r="AA117" s="53"/>
      <c r="AB117" s="53"/>
      <c r="AC117" s="54"/>
    </row>
    <row r="118" spans="1:29" x14ac:dyDescent="0.25">
      <c r="A118" s="85"/>
      <c r="B118" s="55"/>
      <c r="C118" s="87"/>
      <c r="D118" s="57"/>
      <c r="E118" s="55"/>
      <c r="F118" s="87"/>
      <c r="G118" s="87"/>
      <c r="H118" s="87"/>
      <c r="I118" s="57"/>
      <c r="J118" s="55"/>
      <c r="K118" s="87"/>
      <c r="L118" s="87"/>
      <c r="M118" s="87"/>
      <c r="N118" s="57"/>
      <c r="O118" s="55"/>
      <c r="P118" s="87"/>
      <c r="Q118" s="87"/>
      <c r="R118" s="87"/>
      <c r="S118" s="57"/>
      <c r="T118" s="55"/>
      <c r="U118" s="87"/>
      <c r="V118" s="87"/>
      <c r="W118" s="87"/>
      <c r="X118" s="57"/>
      <c r="Y118" s="55"/>
      <c r="Z118" s="87"/>
      <c r="AA118" s="87"/>
      <c r="AB118" s="87"/>
      <c r="AC118" s="57"/>
    </row>
    <row r="119" spans="1:29" x14ac:dyDescent="0.25">
      <c r="A119" s="85"/>
      <c r="B119" s="55"/>
      <c r="C119" s="87"/>
      <c r="D119" s="57"/>
      <c r="E119" s="55"/>
      <c r="F119" s="87"/>
      <c r="G119" s="87"/>
      <c r="H119" s="87"/>
      <c r="I119" s="57"/>
      <c r="J119" s="55"/>
      <c r="K119" s="87"/>
      <c r="L119" s="87"/>
      <c r="M119" s="87"/>
      <c r="N119" s="57"/>
      <c r="O119" s="55"/>
      <c r="P119" s="87"/>
      <c r="Q119" s="87"/>
      <c r="R119" s="87"/>
      <c r="S119" s="57"/>
      <c r="T119" s="55"/>
      <c r="U119" s="87"/>
      <c r="V119" s="87"/>
      <c r="W119" s="87"/>
      <c r="X119" s="57"/>
      <c r="Y119" s="55"/>
      <c r="Z119" s="87"/>
      <c r="AA119" s="87"/>
      <c r="AB119" s="87"/>
      <c r="AC119" s="57"/>
    </row>
    <row r="120" spans="1:29" x14ac:dyDescent="0.25">
      <c r="A120" s="85"/>
      <c r="B120" s="55"/>
      <c r="C120" s="87"/>
      <c r="D120" s="57"/>
      <c r="E120" s="55"/>
      <c r="F120" s="87"/>
      <c r="G120" s="87"/>
      <c r="H120" s="87"/>
      <c r="I120" s="57"/>
      <c r="J120" s="55"/>
      <c r="K120" s="87"/>
      <c r="L120" s="87"/>
      <c r="M120" s="87"/>
      <c r="N120" s="57"/>
      <c r="O120" s="55"/>
      <c r="P120" s="87"/>
      <c r="Q120" s="87"/>
      <c r="R120" s="87"/>
      <c r="S120" s="57"/>
      <c r="T120" s="55"/>
      <c r="U120" s="87"/>
      <c r="V120" s="87"/>
      <c r="W120" s="87"/>
      <c r="X120" s="57"/>
      <c r="Y120" s="55"/>
      <c r="Z120" s="87"/>
      <c r="AA120" s="87"/>
      <c r="AB120" s="87"/>
      <c r="AC120" s="57"/>
    </row>
    <row r="121" spans="1:29" x14ac:dyDescent="0.25">
      <c r="A121" s="85"/>
      <c r="B121" s="55"/>
      <c r="C121" s="87"/>
      <c r="D121" s="57"/>
      <c r="E121" s="55"/>
      <c r="F121" s="87"/>
      <c r="G121" s="87"/>
      <c r="H121" s="87"/>
      <c r="I121" s="57"/>
      <c r="J121" s="55"/>
      <c r="K121" s="87"/>
      <c r="L121" s="87"/>
      <c r="M121" s="87"/>
      <c r="N121" s="57"/>
      <c r="O121" s="55"/>
      <c r="P121" s="87"/>
      <c r="Q121" s="87"/>
      <c r="R121" s="87"/>
      <c r="S121" s="57"/>
      <c r="T121" s="55"/>
      <c r="U121" s="87"/>
      <c r="V121" s="87"/>
      <c r="W121" s="87"/>
      <c r="X121" s="57"/>
      <c r="Y121" s="55"/>
      <c r="Z121" s="87"/>
      <c r="AA121" s="87"/>
      <c r="AB121" s="87"/>
      <c r="AC121" s="57"/>
    </row>
    <row r="122" spans="1:29" x14ac:dyDescent="0.25">
      <c r="A122" s="86"/>
      <c r="B122" s="58"/>
      <c r="C122" s="59"/>
      <c r="D122" s="60"/>
      <c r="E122" s="58"/>
      <c r="F122" s="59"/>
      <c r="G122" s="59"/>
      <c r="H122" s="59"/>
      <c r="I122" s="60"/>
      <c r="J122" s="58"/>
      <c r="K122" s="59"/>
      <c r="L122" s="59"/>
      <c r="M122" s="59"/>
      <c r="N122" s="60"/>
      <c r="O122" s="58"/>
      <c r="P122" s="59"/>
      <c r="Q122" s="59"/>
      <c r="R122" s="59"/>
      <c r="S122" s="60"/>
      <c r="T122" s="58"/>
      <c r="U122" s="59"/>
      <c r="V122" s="59"/>
      <c r="W122" s="59"/>
      <c r="X122" s="60"/>
      <c r="Y122" s="58"/>
      <c r="Z122" s="59"/>
      <c r="AA122" s="59"/>
      <c r="AB122" s="59"/>
      <c r="AC122" s="60"/>
    </row>
    <row r="123" spans="1:29" x14ac:dyDescent="0.25">
      <c r="A123" s="4" t="s">
        <v>10</v>
      </c>
      <c r="B123" s="62">
        <f>B117</f>
        <v>92900</v>
      </c>
      <c r="C123" s="63"/>
      <c r="D123" s="64"/>
      <c r="E123" s="62"/>
      <c r="F123" s="63"/>
      <c r="G123" s="63"/>
      <c r="H123" s="63"/>
      <c r="I123" s="64"/>
      <c r="J123" s="62">
        <f>J117</f>
        <v>194300</v>
      </c>
      <c r="K123" s="63"/>
      <c r="L123" s="63"/>
      <c r="M123" s="63"/>
      <c r="N123" s="64"/>
      <c r="O123" s="62"/>
      <c r="P123" s="63"/>
      <c r="Q123" s="63"/>
      <c r="R123" s="63"/>
      <c r="S123" s="64"/>
      <c r="T123" s="88">
        <f>190400 + 264300 + 223200</f>
        <v>677900</v>
      </c>
      <c r="U123" s="89"/>
      <c r="V123" s="89"/>
      <c r="W123" s="89"/>
      <c r="X123" s="90"/>
      <c r="Y123" s="88"/>
      <c r="Z123" s="89"/>
      <c r="AA123" s="89"/>
      <c r="AB123" s="89"/>
      <c r="AC123" s="90"/>
    </row>
    <row r="124" spans="1:29" ht="15" customHeight="1" x14ac:dyDescent="0.25">
      <c r="A124" s="84">
        <v>45226</v>
      </c>
      <c r="B124" s="52">
        <v>270700</v>
      </c>
      <c r="C124" s="53"/>
      <c r="D124" s="54"/>
      <c r="E124" s="52"/>
      <c r="F124" s="53"/>
      <c r="G124" s="53"/>
      <c r="H124" s="53"/>
      <c r="I124" s="54"/>
      <c r="J124" s="52">
        <v>326800</v>
      </c>
      <c r="K124" s="53"/>
      <c r="L124" s="53"/>
      <c r="M124" s="53"/>
      <c r="N124" s="54"/>
      <c r="O124" s="52">
        <v>160000</v>
      </c>
      <c r="P124" s="53"/>
      <c r="Q124" s="53"/>
      <c r="R124" s="53"/>
      <c r="S124" s="54"/>
      <c r="T124" s="52" t="s">
        <v>140</v>
      </c>
      <c r="U124" s="53"/>
      <c r="V124" s="53"/>
      <c r="W124" s="53"/>
      <c r="X124" s="54"/>
      <c r="Y124" s="52"/>
      <c r="Z124" s="53"/>
      <c r="AA124" s="53"/>
      <c r="AB124" s="53"/>
      <c r="AC124" s="54"/>
    </row>
    <row r="125" spans="1:29" x14ac:dyDescent="0.25">
      <c r="A125" s="85"/>
      <c r="B125" s="55"/>
      <c r="C125" s="87"/>
      <c r="D125" s="57"/>
      <c r="E125" s="55"/>
      <c r="F125" s="87"/>
      <c r="G125" s="87"/>
      <c r="H125" s="87"/>
      <c r="I125" s="57"/>
      <c r="J125" s="55"/>
      <c r="K125" s="87"/>
      <c r="L125" s="87"/>
      <c r="M125" s="87"/>
      <c r="N125" s="57"/>
      <c r="O125" s="55"/>
      <c r="P125" s="87"/>
      <c r="Q125" s="87"/>
      <c r="R125" s="87"/>
      <c r="S125" s="57"/>
      <c r="T125" s="55"/>
      <c r="U125" s="87"/>
      <c r="V125" s="87"/>
      <c r="W125" s="87"/>
      <c r="X125" s="57"/>
      <c r="Y125" s="55"/>
      <c r="Z125" s="87"/>
      <c r="AA125" s="87"/>
      <c r="AB125" s="87"/>
      <c r="AC125" s="57"/>
    </row>
    <row r="126" spans="1:29" x14ac:dyDescent="0.25">
      <c r="A126" s="85"/>
      <c r="B126" s="55"/>
      <c r="C126" s="87"/>
      <c r="D126" s="57"/>
      <c r="E126" s="55"/>
      <c r="F126" s="87"/>
      <c r="G126" s="87"/>
      <c r="H126" s="87"/>
      <c r="I126" s="57"/>
      <c r="J126" s="55"/>
      <c r="K126" s="87"/>
      <c r="L126" s="87"/>
      <c r="M126" s="87"/>
      <c r="N126" s="57"/>
      <c r="O126" s="55"/>
      <c r="P126" s="87"/>
      <c r="Q126" s="87"/>
      <c r="R126" s="87"/>
      <c r="S126" s="57"/>
      <c r="T126" s="55"/>
      <c r="U126" s="87"/>
      <c r="V126" s="87"/>
      <c r="W126" s="87"/>
      <c r="X126" s="57"/>
      <c r="Y126" s="55"/>
      <c r="Z126" s="87"/>
      <c r="AA126" s="87"/>
      <c r="AB126" s="87"/>
      <c r="AC126" s="57"/>
    </row>
    <row r="127" spans="1:29" x14ac:dyDescent="0.25">
      <c r="A127" s="85"/>
      <c r="B127" s="55"/>
      <c r="C127" s="87"/>
      <c r="D127" s="57"/>
      <c r="E127" s="55"/>
      <c r="F127" s="87"/>
      <c r="G127" s="87"/>
      <c r="H127" s="87"/>
      <c r="I127" s="57"/>
      <c r="J127" s="55"/>
      <c r="K127" s="87"/>
      <c r="L127" s="87"/>
      <c r="M127" s="87"/>
      <c r="N127" s="57"/>
      <c r="O127" s="55"/>
      <c r="P127" s="87"/>
      <c r="Q127" s="87"/>
      <c r="R127" s="87"/>
      <c r="S127" s="57"/>
      <c r="T127" s="55">
        <v>184900</v>
      </c>
      <c r="U127" s="87"/>
      <c r="V127" s="87"/>
      <c r="W127" s="87"/>
      <c r="X127" s="57"/>
      <c r="Y127" s="55"/>
      <c r="Z127" s="87"/>
      <c r="AA127" s="87"/>
      <c r="AB127" s="87"/>
      <c r="AC127" s="57"/>
    </row>
    <row r="128" spans="1:29" x14ac:dyDescent="0.25">
      <c r="A128" s="85"/>
      <c r="B128" s="55"/>
      <c r="C128" s="87"/>
      <c r="D128" s="57"/>
      <c r="E128" s="55"/>
      <c r="F128" s="87"/>
      <c r="G128" s="87"/>
      <c r="H128" s="87"/>
      <c r="I128" s="57"/>
      <c r="J128" s="55"/>
      <c r="K128" s="87"/>
      <c r="L128" s="87"/>
      <c r="M128" s="87"/>
      <c r="N128" s="57"/>
      <c r="O128" s="55"/>
      <c r="P128" s="87"/>
      <c r="Q128" s="87"/>
      <c r="R128" s="87"/>
      <c r="S128" s="57"/>
      <c r="T128" s="55"/>
      <c r="U128" s="87"/>
      <c r="V128" s="87"/>
      <c r="W128" s="87"/>
      <c r="X128" s="57"/>
      <c r="Y128" s="55"/>
      <c r="Z128" s="87"/>
      <c r="AA128" s="87"/>
      <c r="AB128" s="87"/>
      <c r="AC128" s="57"/>
    </row>
    <row r="129" spans="1:29" x14ac:dyDescent="0.25">
      <c r="A129" s="86"/>
      <c r="B129" s="58"/>
      <c r="C129" s="59"/>
      <c r="D129" s="60"/>
      <c r="E129" s="58"/>
      <c r="F129" s="59"/>
      <c r="G129" s="59"/>
      <c r="H129" s="59"/>
      <c r="I129" s="60"/>
      <c r="J129" s="58"/>
      <c r="K129" s="59"/>
      <c r="L129" s="59"/>
      <c r="M129" s="59"/>
      <c r="N129" s="60"/>
      <c r="O129" s="58"/>
      <c r="P129" s="59"/>
      <c r="Q129" s="59"/>
      <c r="R129" s="59"/>
      <c r="S129" s="60"/>
      <c r="T129" s="58"/>
      <c r="U129" s="59"/>
      <c r="V129" s="59"/>
      <c r="W129" s="59"/>
      <c r="X129" s="60"/>
      <c r="Y129" s="58"/>
      <c r="Z129" s="59"/>
      <c r="AA129" s="59"/>
      <c r="AB129" s="59"/>
      <c r="AC129" s="60"/>
    </row>
    <row r="130" spans="1:29" x14ac:dyDescent="0.25">
      <c r="A130" s="4" t="s">
        <v>10</v>
      </c>
      <c r="B130" s="62">
        <f>B124</f>
        <v>270700</v>
      </c>
      <c r="C130" s="63"/>
      <c r="D130" s="64"/>
      <c r="E130" s="62"/>
      <c r="F130" s="63"/>
      <c r="G130" s="63"/>
      <c r="H130" s="63"/>
      <c r="I130" s="64"/>
      <c r="J130" s="62">
        <f>J124</f>
        <v>326800</v>
      </c>
      <c r="K130" s="63"/>
      <c r="L130" s="63"/>
      <c r="M130" s="63"/>
      <c r="N130" s="64"/>
      <c r="O130" s="62">
        <f>O124</f>
        <v>160000</v>
      </c>
      <c r="P130" s="63"/>
      <c r="Q130" s="63"/>
      <c r="R130" s="63"/>
      <c r="S130" s="64"/>
      <c r="T130" s="88">
        <f>183500 + 383600 + 418400</f>
        <v>985500</v>
      </c>
      <c r="U130" s="89"/>
      <c r="V130" s="43"/>
      <c r="W130" s="89">
        <f>T127</f>
        <v>184900</v>
      </c>
      <c r="X130" s="90"/>
      <c r="Y130" s="88"/>
      <c r="Z130" s="89"/>
      <c r="AA130" s="89"/>
      <c r="AB130" s="89"/>
      <c r="AC130" s="90"/>
    </row>
    <row r="131" spans="1:29" ht="15" customHeight="1" x14ac:dyDescent="0.25">
      <c r="A131" s="84">
        <v>45227</v>
      </c>
      <c r="B131" s="52">
        <v>236000</v>
      </c>
      <c r="C131" s="53"/>
      <c r="D131" s="54"/>
      <c r="E131" s="52"/>
      <c r="F131" s="53"/>
      <c r="G131" s="53"/>
      <c r="H131" s="53"/>
      <c r="I131" s="54"/>
      <c r="J131" s="52">
        <v>292000</v>
      </c>
      <c r="K131" s="53"/>
      <c r="L131" s="53"/>
      <c r="M131" s="53"/>
      <c r="N131" s="54"/>
      <c r="O131" s="52"/>
      <c r="P131" s="53"/>
      <c r="Q131" s="53"/>
      <c r="R131" s="53"/>
      <c r="S131" s="54"/>
      <c r="T131" s="52" t="s">
        <v>141</v>
      </c>
      <c r="U131" s="53"/>
      <c r="V131" s="53"/>
      <c r="W131" s="53"/>
      <c r="X131" s="54"/>
      <c r="Y131" s="52"/>
      <c r="Z131" s="53"/>
      <c r="AA131" s="53"/>
      <c r="AB131" s="53"/>
      <c r="AC131" s="54"/>
    </row>
    <row r="132" spans="1:29" x14ac:dyDescent="0.25">
      <c r="A132" s="85"/>
      <c r="B132" s="55"/>
      <c r="C132" s="87"/>
      <c r="D132" s="57"/>
      <c r="E132" s="55"/>
      <c r="F132" s="87"/>
      <c r="G132" s="87"/>
      <c r="H132" s="87"/>
      <c r="I132" s="57"/>
      <c r="J132" s="55"/>
      <c r="K132" s="87"/>
      <c r="L132" s="87"/>
      <c r="M132" s="87"/>
      <c r="N132" s="57"/>
      <c r="O132" s="55"/>
      <c r="P132" s="87"/>
      <c r="Q132" s="87"/>
      <c r="R132" s="87"/>
      <c r="S132" s="57"/>
      <c r="T132" s="55"/>
      <c r="U132" s="87"/>
      <c r="V132" s="87"/>
      <c r="W132" s="87"/>
      <c r="X132" s="57"/>
      <c r="Y132" s="55"/>
      <c r="Z132" s="87"/>
      <c r="AA132" s="87"/>
      <c r="AB132" s="87"/>
      <c r="AC132" s="57"/>
    </row>
    <row r="133" spans="1:29" x14ac:dyDescent="0.25">
      <c r="A133" s="85"/>
      <c r="B133" s="55"/>
      <c r="C133" s="87"/>
      <c r="D133" s="57"/>
      <c r="E133" s="55"/>
      <c r="F133" s="87"/>
      <c r="G133" s="87"/>
      <c r="H133" s="87"/>
      <c r="I133" s="57"/>
      <c r="J133" s="55"/>
      <c r="K133" s="87"/>
      <c r="L133" s="87"/>
      <c r="M133" s="87"/>
      <c r="N133" s="57"/>
      <c r="O133" s="55"/>
      <c r="P133" s="87"/>
      <c r="Q133" s="87"/>
      <c r="R133" s="87"/>
      <c r="S133" s="57"/>
      <c r="T133" s="55"/>
      <c r="U133" s="87"/>
      <c r="V133" s="87"/>
      <c r="W133" s="87"/>
      <c r="X133" s="57"/>
      <c r="Y133" s="55"/>
      <c r="Z133" s="87"/>
      <c r="AA133" s="87"/>
      <c r="AB133" s="87"/>
      <c r="AC133" s="57"/>
    </row>
    <row r="134" spans="1:29" x14ac:dyDescent="0.25">
      <c r="A134" s="85"/>
      <c r="B134" s="55"/>
      <c r="C134" s="87"/>
      <c r="D134" s="57"/>
      <c r="E134" s="55"/>
      <c r="F134" s="87"/>
      <c r="G134" s="87"/>
      <c r="H134" s="87"/>
      <c r="I134" s="57"/>
      <c r="J134" s="55"/>
      <c r="K134" s="87"/>
      <c r="L134" s="87"/>
      <c r="M134" s="87"/>
      <c r="N134" s="57"/>
      <c r="O134" s="55"/>
      <c r="P134" s="87"/>
      <c r="Q134" s="87"/>
      <c r="R134" s="87"/>
      <c r="S134" s="57"/>
      <c r="T134" s="55"/>
      <c r="U134" s="87"/>
      <c r="V134" s="87"/>
      <c r="W134" s="87"/>
      <c r="X134" s="57"/>
      <c r="Y134" s="55"/>
      <c r="Z134" s="87"/>
      <c r="AA134" s="87"/>
      <c r="AB134" s="87"/>
      <c r="AC134" s="57"/>
    </row>
    <row r="135" spans="1:29" x14ac:dyDescent="0.25">
      <c r="A135" s="85"/>
      <c r="B135" s="55"/>
      <c r="C135" s="87"/>
      <c r="D135" s="57"/>
      <c r="E135" s="55"/>
      <c r="F135" s="87"/>
      <c r="G135" s="87"/>
      <c r="H135" s="87"/>
      <c r="I135" s="57"/>
      <c r="J135" s="55"/>
      <c r="K135" s="87"/>
      <c r="L135" s="87"/>
      <c r="M135" s="87"/>
      <c r="N135" s="57"/>
      <c r="O135" s="55"/>
      <c r="P135" s="87"/>
      <c r="Q135" s="87"/>
      <c r="R135" s="87"/>
      <c r="S135" s="57"/>
      <c r="T135" s="55"/>
      <c r="U135" s="87"/>
      <c r="V135" s="87"/>
      <c r="W135" s="87"/>
      <c r="X135" s="57"/>
      <c r="Y135" s="55"/>
      <c r="Z135" s="87"/>
      <c r="AA135" s="87"/>
      <c r="AB135" s="87"/>
      <c r="AC135" s="57"/>
    </row>
    <row r="136" spans="1:29" x14ac:dyDescent="0.25">
      <c r="A136" s="86"/>
      <c r="B136" s="58"/>
      <c r="C136" s="59"/>
      <c r="D136" s="60"/>
      <c r="E136" s="58"/>
      <c r="F136" s="59"/>
      <c r="G136" s="59"/>
      <c r="H136" s="59"/>
      <c r="I136" s="60"/>
      <c r="J136" s="58"/>
      <c r="K136" s="59"/>
      <c r="L136" s="59"/>
      <c r="M136" s="59"/>
      <c r="N136" s="60"/>
      <c r="O136" s="58"/>
      <c r="P136" s="59"/>
      <c r="Q136" s="59"/>
      <c r="R136" s="59"/>
      <c r="S136" s="60"/>
      <c r="T136" s="58"/>
      <c r="U136" s="59"/>
      <c r="V136" s="59"/>
      <c r="W136" s="59"/>
      <c r="X136" s="60"/>
      <c r="Y136" s="58"/>
      <c r="Z136" s="59"/>
      <c r="AA136" s="59"/>
      <c r="AB136" s="59"/>
      <c r="AC136" s="60"/>
    </row>
    <row r="137" spans="1:29" x14ac:dyDescent="0.25">
      <c r="A137" s="4" t="s">
        <v>10</v>
      </c>
      <c r="B137" s="62">
        <f>B131</f>
        <v>236000</v>
      </c>
      <c r="C137" s="63"/>
      <c r="D137" s="64"/>
      <c r="E137" s="62"/>
      <c r="F137" s="63"/>
      <c r="G137" s="63"/>
      <c r="H137" s="63"/>
      <c r="I137" s="64"/>
      <c r="J137" s="62">
        <f>J131</f>
        <v>292000</v>
      </c>
      <c r="K137" s="63"/>
      <c r="L137" s="63"/>
      <c r="M137" s="63"/>
      <c r="N137" s="64"/>
      <c r="O137" s="62"/>
      <c r="P137" s="63"/>
      <c r="Q137" s="63"/>
      <c r="R137" s="63"/>
      <c r="S137" s="64"/>
      <c r="T137" s="88">
        <f>367800 + 364700 + 391200</f>
        <v>1123700</v>
      </c>
      <c r="U137" s="89"/>
      <c r="V137" s="89"/>
      <c r="W137" s="89"/>
      <c r="X137" s="90"/>
      <c r="Y137" s="88"/>
      <c r="Z137" s="89"/>
      <c r="AA137" s="89"/>
      <c r="AB137" s="89"/>
      <c r="AC137" s="90"/>
    </row>
    <row r="138" spans="1:29" ht="15" customHeight="1" x14ac:dyDescent="0.25">
      <c r="A138" s="84">
        <v>45228</v>
      </c>
      <c r="B138" s="52">
        <v>393300</v>
      </c>
      <c r="C138" s="53"/>
      <c r="D138" s="54"/>
      <c r="E138" s="52"/>
      <c r="F138" s="53"/>
      <c r="G138" s="53"/>
      <c r="H138" s="53"/>
      <c r="I138" s="54"/>
      <c r="J138" s="52">
        <v>396000</v>
      </c>
      <c r="K138" s="53"/>
      <c r="L138" s="53"/>
      <c r="M138" s="53"/>
      <c r="N138" s="54"/>
      <c r="O138" s="52"/>
      <c r="P138" s="53"/>
      <c r="Q138" s="53"/>
      <c r="R138" s="53"/>
      <c r="S138" s="54"/>
      <c r="T138" s="52" t="s">
        <v>145</v>
      </c>
      <c r="U138" s="53"/>
      <c r="V138" s="53"/>
      <c r="W138" s="53"/>
      <c r="X138" s="54"/>
      <c r="Y138" s="52"/>
      <c r="Z138" s="53"/>
      <c r="AA138" s="53"/>
      <c r="AB138" s="53"/>
      <c r="AC138" s="54"/>
    </row>
    <row r="139" spans="1:29" x14ac:dyDescent="0.25">
      <c r="A139" s="85"/>
      <c r="B139" s="55"/>
      <c r="C139" s="87"/>
      <c r="D139" s="57"/>
      <c r="E139" s="55"/>
      <c r="F139" s="87"/>
      <c r="G139" s="87"/>
      <c r="H139" s="87"/>
      <c r="I139" s="57"/>
      <c r="J139" s="55"/>
      <c r="K139" s="87"/>
      <c r="L139" s="87"/>
      <c r="M139" s="87"/>
      <c r="N139" s="57"/>
      <c r="O139" s="55"/>
      <c r="P139" s="87"/>
      <c r="Q139" s="87"/>
      <c r="R139" s="87"/>
      <c r="S139" s="57"/>
      <c r="T139" s="55"/>
      <c r="U139" s="87"/>
      <c r="V139" s="87"/>
      <c r="W139" s="87"/>
      <c r="X139" s="57"/>
      <c r="Y139" s="55"/>
      <c r="Z139" s="87"/>
      <c r="AA139" s="87"/>
      <c r="AB139" s="87"/>
      <c r="AC139" s="57"/>
    </row>
    <row r="140" spans="1:29" x14ac:dyDescent="0.25">
      <c r="A140" s="85"/>
      <c r="B140" s="55"/>
      <c r="C140" s="87"/>
      <c r="D140" s="57"/>
      <c r="E140" s="55"/>
      <c r="F140" s="87"/>
      <c r="G140" s="87"/>
      <c r="H140" s="87"/>
      <c r="I140" s="57"/>
      <c r="J140" s="55"/>
      <c r="K140" s="87"/>
      <c r="L140" s="87"/>
      <c r="M140" s="87"/>
      <c r="N140" s="57"/>
      <c r="O140" s="55"/>
      <c r="P140" s="87"/>
      <c r="Q140" s="87"/>
      <c r="R140" s="87"/>
      <c r="S140" s="57"/>
      <c r="T140" s="55"/>
      <c r="U140" s="87"/>
      <c r="V140" s="87"/>
      <c r="W140" s="87"/>
      <c r="X140" s="57"/>
      <c r="Y140" s="55"/>
      <c r="Z140" s="87"/>
      <c r="AA140" s="87"/>
      <c r="AB140" s="87"/>
      <c r="AC140" s="57"/>
    </row>
    <row r="141" spans="1:29" x14ac:dyDescent="0.25">
      <c r="A141" s="85"/>
      <c r="B141" s="55"/>
      <c r="C141" s="87"/>
      <c r="D141" s="57"/>
      <c r="E141" s="55"/>
      <c r="F141" s="87"/>
      <c r="G141" s="87"/>
      <c r="H141" s="87"/>
      <c r="I141" s="57"/>
      <c r="J141" s="55"/>
      <c r="K141" s="87"/>
      <c r="L141" s="87"/>
      <c r="M141" s="87"/>
      <c r="N141" s="57"/>
      <c r="O141" s="55"/>
      <c r="P141" s="87"/>
      <c r="Q141" s="87"/>
      <c r="R141" s="87"/>
      <c r="S141" s="57"/>
      <c r="T141" s="55">
        <v>375500</v>
      </c>
      <c r="U141" s="87"/>
      <c r="V141" s="87"/>
      <c r="W141" s="87"/>
      <c r="X141" s="57"/>
      <c r="Y141" s="55"/>
      <c r="Z141" s="87"/>
      <c r="AA141" s="87"/>
      <c r="AB141" s="87"/>
      <c r="AC141" s="57"/>
    </row>
    <row r="142" spans="1:29" x14ac:dyDescent="0.25">
      <c r="A142" s="85"/>
      <c r="B142" s="55"/>
      <c r="C142" s="87"/>
      <c r="D142" s="57"/>
      <c r="E142" s="55"/>
      <c r="F142" s="87"/>
      <c r="G142" s="87"/>
      <c r="H142" s="87"/>
      <c r="I142" s="57"/>
      <c r="J142" s="55"/>
      <c r="K142" s="87"/>
      <c r="L142" s="87"/>
      <c r="M142" s="87"/>
      <c r="N142" s="57"/>
      <c r="O142" s="55"/>
      <c r="P142" s="87"/>
      <c r="Q142" s="87"/>
      <c r="R142" s="87"/>
      <c r="S142" s="57"/>
      <c r="T142" s="55"/>
      <c r="U142" s="87"/>
      <c r="V142" s="87"/>
      <c r="W142" s="87"/>
      <c r="X142" s="57"/>
      <c r="Y142" s="55"/>
      <c r="Z142" s="87"/>
      <c r="AA142" s="87"/>
      <c r="AB142" s="87"/>
      <c r="AC142" s="57"/>
    </row>
    <row r="143" spans="1:29" x14ac:dyDescent="0.25">
      <c r="A143" s="86"/>
      <c r="B143" s="58"/>
      <c r="C143" s="59"/>
      <c r="D143" s="60"/>
      <c r="E143" s="58"/>
      <c r="F143" s="59"/>
      <c r="G143" s="59"/>
      <c r="H143" s="59"/>
      <c r="I143" s="60"/>
      <c r="J143" s="58"/>
      <c r="K143" s="59"/>
      <c r="L143" s="59"/>
      <c r="M143" s="59"/>
      <c r="N143" s="60"/>
      <c r="O143" s="58"/>
      <c r="P143" s="59"/>
      <c r="Q143" s="59"/>
      <c r="R143" s="59"/>
      <c r="S143" s="60"/>
      <c r="T143" s="58"/>
      <c r="U143" s="59"/>
      <c r="V143" s="59"/>
      <c r="W143" s="59"/>
      <c r="X143" s="60"/>
      <c r="Y143" s="58"/>
      <c r="Z143" s="59"/>
      <c r="AA143" s="59"/>
      <c r="AB143" s="59"/>
      <c r="AC143" s="60"/>
    </row>
    <row r="144" spans="1:29" x14ac:dyDescent="0.25">
      <c r="A144" s="4" t="s">
        <v>10</v>
      </c>
      <c r="B144" s="62">
        <f>B138</f>
        <v>393300</v>
      </c>
      <c r="C144" s="63"/>
      <c r="D144" s="64"/>
      <c r="E144" s="62"/>
      <c r="F144" s="63"/>
      <c r="G144" s="63"/>
      <c r="H144" s="63"/>
      <c r="I144" s="64"/>
      <c r="J144" s="62">
        <f>J138</f>
        <v>396000</v>
      </c>
      <c r="K144" s="63"/>
      <c r="L144" s="63"/>
      <c r="M144" s="63"/>
      <c r="N144" s="64"/>
      <c r="O144" s="62"/>
      <c r="P144" s="63"/>
      <c r="Q144" s="63"/>
      <c r="R144" s="63"/>
      <c r="S144" s="64"/>
      <c r="T144" s="88">
        <f>398800 + 404000</f>
        <v>802800</v>
      </c>
      <c r="U144" s="89"/>
      <c r="V144" s="43"/>
      <c r="W144" s="89">
        <f>T141</f>
        <v>375500</v>
      </c>
      <c r="X144" s="90"/>
      <c r="Y144" s="88"/>
      <c r="Z144" s="89"/>
      <c r="AA144" s="89"/>
      <c r="AB144" s="89"/>
      <c r="AC144" s="90"/>
    </row>
    <row r="145" spans="1:29" ht="15" customHeight="1" x14ac:dyDescent="0.25">
      <c r="A145" s="84">
        <v>45229</v>
      </c>
      <c r="B145" s="52">
        <v>430000</v>
      </c>
      <c r="C145" s="53"/>
      <c r="D145" s="54"/>
      <c r="E145" s="52"/>
      <c r="F145" s="53"/>
      <c r="G145" s="53"/>
      <c r="H145" s="53"/>
      <c r="I145" s="54"/>
      <c r="J145" s="52">
        <v>387500</v>
      </c>
      <c r="K145" s="53"/>
      <c r="L145" s="53"/>
      <c r="M145" s="53"/>
      <c r="N145" s="54"/>
      <c r="O145" s="52"/>
      <c r="P145" s="53"/>
      <c r="Q145" s="53"/>
      <c r="R145" s="53"/>
      <c r="S145" s="54"/>
      <c r="T145" s="52" t="s">
        <v>144</v>
      </c>
      <c r="U145" s="53"/>
      <c r="V145" s="53"/>
      <c r="W145" s="53"/>
      <c r="X145" s="54"/>
      <c r="Y145" s="52"/>
      <c r="Z145" s="53"/>
      <c r="AA145" s="53"/>
      <c r="AB145" s="53"/>
      <c r="AC145" s="54"/>
    </row>
    <row r="146" spans="1:29" x14ac:dyDescent="0.25">
      <c r="A146" s="85"/>
      <c r="B146" s="55"/>
      <c r="C146" s="87"/>
      <c r="D146" s="57"/>
      <c r="E146" s="55"/>
      <c r="F146" s="87"/>
      <c r="G146" s="87"/>
      <c r="H146" s="87"/>
      <c r="I146" s="57"/>
      <c r="J146" s="55"/>
      <c r="K146" s="87"/>
      <c r="L146" s="87"/>
      <c r="M146" s="87"/>
      <c r="N146" s="57"/>
      <c r="O146" s="55"/>
      <c r="P146" s="87"/>
      <c r="Q146" s="87"/>
      <c r="R146" s="87"/>
      <c r="S146" s="57"/>
      <c r="T146" s="55"/>
      <c r="U146" s="87"/>
      <c r="V146" s="87"/>
      <c r="W146" s="87"/>
      <c r="X146" s="57"/>
      <c r="Y146" s="55"/>
      <c r="Z146" s="87"/>
      <c r="AA146" s="87"/>
      <c r="AB146" s="87"/>
      <c r="AC146" s="57"/>
    </row>
    <row r="147" spans="1:29" x14ac:dyDescent="0.25">
      <c r="A147" s="85"/>
      <c r="B147" s="55"/>
      <c r="C147" s="87"/>
      <c r="D147" s="57"/>
      <c r="E147" s="55"/>
      <c r="F147" s="87"/>
      <c r="G147" s="87"/>
      <c r="H147" s="87"/>
      <c r="I147" s="57"/>
      <c r="J147" s="55"/>
      <c r="K147" s="87"/>
      <c r="L147" s="87"/>
      <c r="M147" s="87"/>
      <c r="N147" s="57"/>
      <c r="O147" s="55"/>
      <c r="P147" s="87"/>
      <c r="Q147" s="87"/>
      <c r="R147" s="87"/>
      <c r="S147" s="57"/>
      <c r="T147" s="55"/>
      <c r="U147" s="87"/>
      <c r="V147" s="87"/>
      <c r="W147" s="87"/>
      <c r="X147" s="57"/>
      <c r="Y147" s="55"/>
      <c r="Z147" s="87"/>
      <c r="AA147" s="87"/>
      <c r="AB147" s="87"/>
      <c r="AC147" s="57"/>
    </row>
    <row r="148" spans="1:29" x14ac:dyDescent="0.25">
      <c r="A148" s="85"/>
      <c r="B148" s="55"/>
      <c r="C148" s="87"/>
      <c r="D148" s="57"/>
      <c r="E148" s="55"/>
      <c r="F148" s="87"/>
      <c r="G148" s="87"/>
      <c r="H148" s="87"/>
      <c r="I148" s="57"/>
      <c r="J148" s="55"/>
      <c r="K148" s="87"/>
      <c r="L148" s="87"/>
      <c r="M148" s="87"/>
      <c r="N148" s="57"/>
      <c r="O148" s="55"/>
      <c r="P148" s="87"/>
      <c r="Q148" s="87"/>
      <c r="R148" s="87"/>
      <c r="S148" s="57"/>
      <c r="T148" s="55">
        <v>366000</v>
      </c>
      <c r="U148" s="87"/>
      <c r="V148" s="87"/>
      <c r="W148" s="87"/>
      <c r="X148" s="57"/>
      <c r="Y148" s="55"/>
      <c r="Z148" s="87"/>
      <c r="AA148" s="87"/>
      <c r="AB148" s="87"/>
      <c r="AC148" s="57"/>
    </row>
    <row r="149" spans="1:29" x14ac:dyDescent="0.25">
      <c r="A149" s="85"/>
      <c r="B149" s="55"/>
      <c r="C149" s="87"/>
      <c r="D149" s="57"/>
      <c r="E149" s="55"/>
      <c r="F149" s="87"/>
      <c r="G149" s="87"/>
      <c r="H149" s="87"/>
      <c r="I149" s="57"/>
      <c r="J149" s="55"/>
      <c r="K149" s="87"/>
      <c r="L149" s="87"/>
      <c r="M149" s="87"/>
      <c r="N149" s="57"/>
      <c r="O149" s="55"/>
      <c r="P149" s="87"/>
      <c r="Q149" s="87"/>
      <c r="R149" s="87"/>
      <c r="S149" s="57"/>
      <c r="T149" s="55"/>
      <c r="U149" s="87"/>
      <c r="V149" s="87"/>
      <c r="W149" s="87"/>
      <c r="X149" s="57"/>
      <c r="Y149" s="55"/>
      <c r="Z149" s="87"/>
      <c r="AA149" s="87"/>
      <c r="AB149" s="87"/>
      <c r="AC149" s="57"/>
    </row>
    <row r="150" spans="1:29" x14ac:dyDescent="0.25">
      <c r="A150" s="86"/>
      <c r="B150" s="58"/>
      <c r="C150" s="59"/>
      <c r="D150" s="60"/>
      <c r="E150" s="58"/>
      <c r="F150" s="59"/>
      <c r="G150" s="59"/>
      <c r="H150" s="59"/>
      <c r="I150" s="60"/>
      <c r="J150" s="58"/>
      <c r="K150" s="59"/>
      <c r="L150" s="59"/>
      <c r="M150" s="59"/>
      <c r="N150" s="60"/>
      <c r="O150" s="58"/>
      <c r="P150" s="59"/>
      <c r="Q150" s="59"/>
      <c r="R150" s="59"/>
      <c r="S150" s="60"/>
      <c r="T150" s="58"/>
      <c r="U150" s="59"/>
      <c r="V150" s="59"/>
      <c r="W150" s="59"/>
      <c r="X150" s="60"/>
      <c r="Y150" s="58"/>
      <c r="Z150" s="59"/>
      <c r="AA150" s="59"/>
      <c r="AB150" s="59"/>
      <c r="AC150" s="60"/>
    </row>
    <row r="151" spans="1:29" x14ac:dyDescent="0.25">
      <c r="A151" s="4" t="s">
        <v>10</v>
      </c>
      <c r="B151" s="62">
        <f>B145</f>
        <v>430000</v>
      </c>
      <c r="C151" s="63"/>
      <c r="D151" s="64"/>
      <c r="E151" s="62"/>
      <c r="F151" s="63"/>
      <c r="G151" s="63"/>
      <c r="H151" s="63"/>
      <c r="I151" s="64"/>
      <c r="J151" s="62">
        <f>J145</f>
        <v>387500</v>
      </c>
      <c r="K151" s="63"/>
      <c r="L151" s="63"/>
      <c r="M151" s="63"/>
      <c r="N151" s="64"/>
      <c r="O151" s="62"/>
      <c r="P151" s="63"/>
      <c r="Q151" s="63"/>
      <c r="R151" s="63"/>
      <c r="S151" s="64"/>
      <c r="T151" s="88">
        <f>389000 + 405000</f>
        <v>794000</v>
      </c>
      <c r="U151" s="89"/>
      <c r="V151" s="43"/>
      <c r="W151" s="89">
        <f>T148</f>
        <v>366000</v>
      </c>
      <c r="X151" s="90"/>
      <c r="Y151" s="88"/>
      <c r="Z151" s="89"/>
      <c r="AA151" s="89"/>
      <c r="AB151" s="89"/>
      <c r="AC151" s="90"/>
    </row>
  </sheetData>
  <mergeCells count="247">
    <mergeCell ref="A145:A150"/>
    <mergeCell ref="B145:D150"/>
    <mergeCell ref="E145:I150"/>
    <mergeCell ref="J145:N150"/>
    <mergeCell ref="O145:S150"/>
    <mergeCell ref="Y145:AC150"/>
    <mergeCell ref="B151:D151"/>
    <mergeCell ref="E151:I151"/>
    <mergeCell ref="J151:N151"/>
    <mergeCell ref="O151:S151"/>
    <mergeCell ref="Y151:AC151"/>
    <mergeCell ref="T145:X147"/>
    <mergeCell ref="T148:X150"/>
    <mergeCell ref="T151:U151"/>
    <mergeCell ref="W151:X151"/>
    <mergeCell ref="A131:A136"/>
    <mergeCell ref="B131:D136"/>
    <mergeCell ref="E131:I136"/>
    <mergeCell ref="J131:N136"/>
    <mergeCell ref="O131:S136"/>
    <mergeCell ref="T131:X136"/>
    <mergeCell ref="Y131:AC136"/>
    <mergeCell ref="B137:D137"/>
    <mergeCell ref="E137:I137"/>
    <mergeCell ref="J137:N137"/>
    <mergeCell ref="O137:S137"/>
    <mergeCell ref="T137:X137"/>
    <mergeCell ref="Y137:AC137"/>
    <mergeCell ref="A124:A129"/>
    <mergeCell ref="B124:D129"/>
    <mergeCell ref="E124:I129"/>
    <mergeCell ref="J124:N129"/>
    <mergeCell ref="O124:S129"/>
    <mergeCell ref="Y124:AC129"/>
    <mergeCell ref="B130:D130"/>
    <mergeCell ref="E130:I130"/>
    <mergeCell ref="J130:N130"/>
    <mergeCell ref="O130:S130"/>
    <mergeCell ref="Y130:AC130"/>
    <mergeCell ref="T130:U130"/>
    <mergeCell ref="T124:X126"/>
    <mergeCell ref="T127:X129"/>
    <mergeCell ref="W130:X130"/>
    <mergeCell ref="A110:A115"/>
    <mergeCell ref="B110:D115"/>
    <mergeCell ref="E110:I115"/>
    <mergeCell ref="J110:N115"/>
    <mergeCell ref="O110:S115"/>
    <mergeCell ref="T110:X115"/>
    <mergeCell ref="Y110:AC115"/>
    <mergeCell ref="B116:D116"/>
    <mergeCell ref="E116:I116"/>
    <mergeCell ref="J116:N116"/>
    <mergeCell ref="O116:S116"/>
    <mergeCell ref="T116:X116"/>
    <mergeCell ref="Y116:AC116"/>
    <mergeCell ref="A96:A101"/>
    <mergeCell ref="B96:D101"/>
    <mergeCell ref="E96:I101"/>
    <mergeCell ref="J96:N101"/>
    <mergeCell ref="O96:S101"/>
    <mergeCell ref="T96:X101"/>
    <mergeCell ref="Y96:AC101"/>
    <mergeCell ref="B102:D102"/>
    <mergeCell ref="E102:I102"/>
    <mergeCell ref="J102:N102"/>
    <mergeCell ref="O102:S102"/>
    <mergeCell ref="T102:X102"/>
    <mergeCell ref="Y102:AC102"/>
    <mergeCell ref="T82:X87"/>
    <mergeCell ref="Y82:AC87"/>
    <mergeCell ref="B88:D88"/>
    <mergeCell ref="E88:I88"/>
    <mergeCell ref="J88:N88"/>
    <mergeCell ref="O88:S88"/>
    <mergeCell ref="T88:X88"/>
    <mergeCell ref="Y88:AC88"/>
    <mergeCell ref="A82:A87"/>
    <mergeCell ref="B82:D87"/>
    <mergeCell ref="E82:I87"/>
    <mergeCell ref="J82:N87"/>
    <mergeCell ref="O82:S87"/>
    <mergeCell ref="T75:X80"/>
    <mergeCell ref="Y75:AC80"/>
    <mergeCell ref="B81:D81"/>
    <mergeCell ref="E81:I81"/>
    <mergeCell ref="J81:N81"/>
    <mergeCell ref="O81:S81"/>
    <mergeCell ref="T81:X81"/>
    <mergeCell ref="Y81:AC81"/>
    <mergeCell ref="A75:A80"/>
    <mergeCell ref="B75:D80"/>
    <mergeCell ref="E75:I80"/>
    <mergeCell ref="J75:N80"/>
    <mergeCell ref="O75:S80"/>
    <mergeCell ref="J74:N74"/>
    <mergeCell ref="O74:S74"/>
    <mergeCell ref="T74:X74"/>
    <mergeCell ref="Y74:AC74"/>
    <mergeCell ref="A68:A73"/>
    <mergeCell ref="B68:D73"/>
    <mergeCell ref="E68:I73"/>
    <mergeCell ref="J68:N73"/>
    <mergeCell ref="O68:S73"/>
    <mergeCell ref="A54:A59"/>
    <mergeCell ref="B54:D59"/>
    <mergeCell ref="E54:I59"/>
    <mergeCell ref="J54:N59"/>
    <mergeCell ref="O54:S59"/>
    <mergeCell ref="T61:X66"/>
    <mergeCell ref="Y61:AC66"/>
    <mergeCell ref="B67:D67"/>
    <mergeCell ref="E67:I67"/>
    <mergeCell ref="J67:N67"/>
    <mergeCell ref="O67:S67"/>
    <mergeCell ref="T67:X67"/>
    <mergeCell ref="Y67:AC67"/>
    <mergeCell ref="A61:A66"/>
    <mergeCell ref="B61:D66"/>
    <mergeCell ref="E61:I66"/>
    <mergeCell ref="J61:N66"/>
    <mergeCell ref="O61:S66"/>
    <mergeCell ref="T40:X45"/>
    <mergeCell ref="Y40:AC45"/>
    <mergeCell ref="B46:D46"/>
    <mergeCell ref="E46:I46"/>
    <mergeCell ref="J46:N46"/>
    <mergeCell ref="O46:S46"/>
    <mergeCell ref="T46:X46"/>
    <mergeCell ref="Y46:AC46"/>
    <mergeCell ref="A40:A45"/>
    <mergeCell ref="B40:D45"/>
    <mergeCell ref="E40:I45"/>
    <mergeCell ref="J40:N45"/>
    <mergeCell ref="O40:S45"/>
    <mergeCell ref="B33:D38"/>
    <mergeCell ref="E33:I38"/>
    <mergeCell ref="J33:N38"/>
    <mergeCell ref="O33:S38"/>
    <mergeCell ref="T33:X38"/>
    <mergeCell ref="Y33:AC38"/>
    <mergeCell ref="B39:D39"/>
    <mergeCell ref="E39:I39"/>
    <mergeCell ref="J39:N39"/>
    <mergeCell ref="O39:S39"/>
    <mergeCell ref="T39:X39"/>
    <mergeCell ref="AK7:AK8"/>
    <mergeCell ref="A28:X29"/>
    <mergeCell ref="A30:A32"/>
    <mergeCell ref="B30:AC30"/>
    <mergeCell ref="B31:D31"/>
    <mergeCell ref="E31:I31"/>
    <mergeCell ref="J31:N31"/>
    <mergeCell ref="O31:S31"/>
    <mergeCell ref="T31:X31"/>
    <mergeCell ref="Y31:AC31"/>
    <mergeCell ref="A17:B17"/>
    <mergeCell ref="B32:AC32"/>
    <mergeCell ref="A89:A94"/>
    <mergeCell ref="B89:D94"/>
    <mergeCell ref="E89:I94"/>
    <mergeCell ref="J89:N94"/>
    <mergeCell ref="O89:S94"/>
    <mergeCell ref="T89:X94"/>
    <mergeCell ref="Y89:AC94"/>
    <mergeCell ref="A1:AJ6"/>
    <mergeCell ref="A7:A8"/>
    <mergeCell ref="B7:B8"/>
    <mergeCell ref="C7:C8"/>
    <mergeCell ref="D7:D8"/>
    <mergeCell ref="E7:E8"/>
    <mergeCell ref="F7:AI7"/>
    <mergeCell ref="AJ7:AJ8"/>
    <mergeCell ref="A47:A52"/>
    <mergeCell ref="B47:D52"/>
    <mergeCell ref="E47:I52"/>
    <mergeCell ref="J47:N52"/>
    <mergeCell ref="O47:S52"/>
    <mergeCell ref="T47:X52"/>
    <mergeCell ref="Y47:AC52"/>
    <mergeCell ref="Y39:AC39"/>
    <mergeCell ref="A33:A38"/>
    <mergeCell ref="B95:D95"/>
    <mergeCell ref="E95:I95"/>
    <mergeCell ref="J95:N95"/>
    <mergeCell ref="O95:S95"/>
    <mergeCell ref="T95:X95"/>
    <mergeCell ref="Y95:AC95"/>
    <mergeCell ref="B53:D53"/>
    <mergeCell ref="E53:I53"/>
    <mergeCell ref="J53:N53"/>
    <mergeCell ref="O53:S53"/>
    <mergeCell ref="T53:X53"/>
    <mergeCell ref="Y53:AC53"/>
    <mergeCell ref="T54:X59"/>
    <mergeCell ref="Y54:AC59"/>
    <mergeCell ref="B60:D60"/>
    <mergeCell ref="E60:I60"/>
    <mergeCell ref="J60:N60"/>
    <mergeCell ref="O60:S60"/>
    <mergeCell ref="T60:X60"/>
    <mergeCell ref="Y60:AC60"/>
    <mergeCell ref="T68:X73"/>
    <mergeCell ref="Y68:AC73"/>
    <mergeCell ref="B74:D74"/>
    <mergeCell ref="E74:I74"/>
    <mergeCell ref="A103:A108"/>
    <mergeCell ref="B103:D108"/>
    <mergeCell ref="E103:I108"/>
    <mergeCell ref="J103:N108"/>
    <mergeCell ref="O103:S108"/>
    <mergeCell ref="T103:X108"/>
    <mergeCell ref="Y103:AC108"/>
    <mergeCell ref="B109:D109"/>
    <mergeCell ref="E109:I109"/>
    <mergeCell ref="J109:N109"/>
    <mergeCell ref="O109:S109"/>
    <mergeCell ref="T109:X109"/>
    <mergeCell ref="Y109:AC109"/>
    <mergeCell ref="A117:A122"/>
    <mergeCell ref="B117:D122"/>
    <mergeCell ref="E117:I122"/>
    <mergeCell ref="J117:N122"/>
    <mergeCell ref="O117:S122"/>
    <mergeCell ref="T117:X122"/>
    <mergeCell ref="Y117:AC122"/>
    <mergeCell ref="B123:D123"/>
    <mergeCell ref="E123:I123"/>
    <mergeCell ref="J123:N123"/>
    <mergeCell ref="O123:S123"/>
    <mergeCell ref="T123:X123"/>
    <mergeCell ref="Y123:AC123"/>
    <mergeCell ref="A138:A143"/>
    <mergeCell ref="B138:D143"/>
    <mergeCell ref="E138:I143"/>
    <mergeCell ref="J138:N143"/>
    <mergeCell ref="O138:S143"/>
    <mergeCell ref="Y138:AC143"/>
    <mergeCell ref="B144:D144"/>
    <mergeCell ref="E144:I144"/>
    <mergeCell ref="J144:N144"/>
    <mergeCell ref="O144:S144"/>
    <mergeCell ref="Y144:AC144"/>
    <mergeCell ref="T138:X140"/>
    <mergeCell ref="T141:X143"/>
    <mergeCell ref="T144:U144"/>
    <mergeCell ref="W144:X144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51"/>
  <sheetViews>
    <sheetView tabSelected="1" zoomScale="85" zoomScaleNormal="85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K14" sqref="K14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9.42578125" customWidth="1"/>
    <col min="10" max="10" width="9.140625" customWidth="1"/>
    <col min="35" max="35" width="9" customWidth="1"/>
    <col min="36" max="36" width="16.85546875" customWidth="1"/>
    <col min="37" max="37" width="12" customWidth="1"/>
  </cols>
  <sheetData>
    <row r="1" spans="1:38" ht="15" customHeight="1" x14ac:dyDescent="0.25">
      <c r="A1" s="76" t="s">
        <v>29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</row>
    <row r="2" spans="1:38" ht="1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</row>
    <row r="3" spans="1:38" ht="15" customHeight="1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</row>
    <row r="4" spans="1:38" ht="15" customHeight="1" x14ac:dyDescent="0.2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2"/>
    </row>
    <row r="5" spans="1:38" ht="15" customHeight="1" x14ac:dyDescent="0.2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2"/>
    </row>
    <row r="6" spans="1:38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2"/>
    </row>
    <row r="7" spans="1:38" ht="15" customHeight="1" x14ac:dyDescent="0.25">
      <c r="A7" s="66" t="s">
        <v>6</v>
      </c>
      <c r="B7" s="66" t="s">
        <v>48</v>
      </c>
      <c r="C7" s="66" t="s">
        <v>47</v>
      </c>
      <c r="D7" s="66" t="s">
        <v>30</v>
      </c>
      <c r="E7" s="79" t="s">
        <v>73</v>
      </c>
      <c r="F7" s="80" t="s">
        <v>0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2"/>
      <c r="AJ7" s="66" t="s">
        <v>1</v>
      </c>
      <c r="AK7" s="66" t="s">
        <v>32</v>
      </c>
    </row>
    <row r="8" spans="1:38" x14ac:dyDescent="0.25">
      <c r="A8" s="67"/>
      <c r="B8" s="67"/>
      <c r="C8" s="67"/>
      <c r="D8" s="67"/>
      <c r="E8" s="79"/>
      <c r="F8" s="3">
        <v>45261</v>
      </c>
      <c r="G8" s="3">
        <v>45262</v>
      </c>
      <c r="H8" s="3">
        <v>45263</v>
      </c>
      <c r="I8" s="3">
        <v>45264</v>
      </c>
      <c r="J8" s="3">
        <v>45265</v>
      </c>
      <c r="K8" s="3">
        <v>45266</v>
      </c>
      <c r="L8" s="3">
        <v>45267</v>
      </c>
      <c r="M8" s="3">
        <v>45268</v>
      </c>
      <c r="N8" s="3">
        <v>45269</v>
      </c>
      <c r="O8" s="3">
        <v>45270</v>
      </c>
      <c r="P8" s="3">
        <v>45271</v>
      </c>
      <c r="Q8" s="3">
        <v>45272</v>
      </c>
      <c r="R8" s="3">
        <v>45273</v>
      </c>
      <c r="S8" s="3">
        <v>45274</v>
      </c>
      <c r="T8" s="3">
        <v>45275</v>
      </c>
      <c r="U8" s="3">
        <v>45276</v>
      </c>
      <c r="V8" s="3">
        <v>45277</v>
      </c>
      <c r="W8" s="3">
        <v>45278</v>
      </c>
      <c r="X8" s="3">
        <v>45279</v>
      </c>
      <c r="Y8" s="3">
        <v>45280</v>
      </c>
      <c r="Z8" s="3">
        <v>45281</v>
      </c>
      <c r="AA8" s="3">
        <v>45282</v>
      </c>
      <c r="AB8" s="3">
        <v>45283</v>
      </c>
      <c r="AC8" s="3">
        <v>45284</v>
      </c>
      <c r="AD8" s="3">
        <v>45285</v>
      </c>
      <c r="AE8" s="3">
        <v>45286</v>
      </c>
      <c r="AF8" s="3">
        <v>45287</v>
      </c>
      <c r="AG8" s="3">
        <v>45288</v>
      </c>
      <c r="AH8" s="3">
        <v>45289</v>
      </c>
      <c r="AI8" s="3">
        <v>45290</v>
      </c>
      <c r="AJ8" s="67"/>
      <c r="AK8" s="67"/>
    </row>
    <row r="9" spans="1:38" x14ac:dyDescent="0.25">
      <c r="A9" s="26">
        <v>0.127</v>
      </c>
      <c r="B9" s="48" t="s">
        <v>2</v>
      </c>
      <c r="C9" s="47">
        <v>20231101009</v>
      </c>
      <c r="D9" s="28">
        <v>500</v>
      </c>
      <c r="E9" s="25">
        <f>'11'!AK9</f>
        <v>-180.50857999999999</v>
      </c>
      <c r="F9" s="24">
        <f>B21*B39/1000</f>
        <v>52.5182</v>
      </c>
      <c r="G9" s="11"/>
      <c r="H9" s="8"/>
      <c r="I9" s="8">
        <f>B21*B46/1000</f>
        <v>45.305399999999999</v>
      </c>
      <c r="J9" s="8">
        <f>B21*B53/1000</f>
        <v>27.543879999999998</v>
      </c>
      <c r="K9" s="8">
        <f>B21*B60/1000</f>
        <v>12.137789999999999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14">
        <f>SUM(F9:AI9)</f>
        <v>137.50527</v>
      </c>
      <c r="AK9" s="30">
        <f>AJ9+E9</f>
        <v>-43.003309999999999</v>
      </c>
    </row>
    <row r="10" spans="1:38" x14ac:dyDescent="0.25">
      <c r="A10" s="26">
        <v>0.12</v>
      </c>
      <c r="B10" s="48" t="s">
        <v>3</v>
      </c>
      <c r="C10" s="15">
        <v>20231101008</v>
      </c>
      <c r="D10" s="29">
        <f>280 + 120</f>
        <v>400</v>
      </c>
      <c r="E10" s="25">
        <f>'11'!AK10</f>
        <v>-50.379619999999932</v>
      </c>
      <c r="F10" s="2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14">
        <f t="shared" ref="AJ10:AJ15" si="0">SUM(F10:AI10)</f>
        <v>0</v>
      </c>
      <c r="AK10" s="30">
        <f t="shared" ref="AK10:AK15" si="1">AJ10+E10</f>
        <v>-50.379619999999932</v>
      </c>
    </row>
    <row r="11" spans="1:38" x14ac:dyDescent="0.25">
      <c r="A11" s="26">
        <v>0.2</v>
      </c>
      <c r="B11" s="48" t="s">
        <v>4</v>
      </c>
      <c r="C11" s="15">
        <v>20231020001</v>
      </c>
      <c r="D11" s="23">
        <v>1200</v>
      </c>
      <c r="E11" s="25">
        <f>'11'!AK11</f>
        <v>114.91028000000028</v>
      </c>
      <c r="F11" s="25">
        <f>B23*J39/1000</f>
        <v>73.394999999999996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14">
        <f t="shared" si="0"/>
        <v>73.394999999999996</v>
      </c>
      <c r="AK11" s="30">
        <f t="shared" si="1"/>
        <v>188.30528000000027</v>
      </c>
    </row>
    <row r="12" spans="1:38" x14ac:dyDescent="0.25">
      <c r="A12" s="36">
        <v>0.16</v>
      </c>
      <c r="B12" s="37" t="s">
        <v>5</v>
      </c>
      <c r="C12" s="38">
        <v>20230926004</v>
      </c>
      <c r="D12" s="39">
        <v>300</v>
      </c>
      <c r="E12" s="25">
        <f>'11'!AK12</f>
        <v>-359.43</v>
      </c>
      <c r="F12" s="2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14">
        <f t="shared" si="0"/>
        <v>0</v>
      </c>
      <c r="AK12" s="30">
        <f t="shared" si="1"/>
        <v>-359.43</v>
      </c>
    </row>
    <row r="13" spans="1:38" x14ac:dyDescent="0.25">
      <c r="A13" s="27">
        <v>0.08</v>
      </c>
      <c r="B13" s="48" t="s">
        <v>31</v>
      </c>
      <c r="C13" s="15">
        <v>20230926005</v>
      </c>
      <c r="D13" s="29">
        <f>200 + 1800</f>
        <v>2000</v>
      </c>
      <c r="E13" s="25">
        <f>'11'!AK13</f>
        <v>-1007.28078</v>
      </c>
      <c r="F13" s="25">
        <f>B25*T39/1000</f>
        <v>35.026919999999997</v>
      </c>
      <c r="G13" s="8"/>
      <c r="H13" s="8"/>
      <c r="I13" s="8">
        <f>B25*W46/1000</f>
        <v>33.91836</v>
      </c>
      <c r="J13" s="8">
        <f>B25*T53/1000</f>
        <v>54.435659999999999</v>
      </c>
      <c r="K13" s="8">
        <f>B25*T60/1000</f>
        <v>51.869879999999995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14">
        <f t="shared" si="0"/>
        <v>175.25081999999998</v>
      </c>
      <c r="AK13" s="30">
        <f t="shared" si="1"/>
        <v>-832.02996000000007</v>
      </c>
    </row>
    <row r="14" spans="1:38" x14ac:dyDescent="0.25">
      <c r="A14" s="26">
        <v>0.16</v>
      </c>
      <c r="B14" s="48" t="s">
        <v>142</v>
      </c>
      <c r="C14" s="15">
        <v>20231123016</v>
      </c>
      <c r="D14" s="29">
        <v>50</v>
      </c>
      <c r="E14" s="25">
        <f>'11'!AK14</f>
        <v>-21.376000000000001</v>
      </c>
      <c r="F14" s="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8"/>
      <c r="AG14" s="15"/>
      <c r="AH14" s="15"/>
      <c r="AI14" s="15"/>
      <c r="AJ14" s="14">
        <f t="shared" si="0"/>
        <v>0</v>
      </c>
      <c r="AK14" s="30">
        <f t="shared" si="1"/>
        <v>-21.376000000000001</v>
      </c>
      <c r="AL14" s="44"/>
    </row>
    <row r="15" spans="1:38" s="1" customFormat="1" x14ac:dyDescent="0.25">
      <c r="A15" s="27">
        <v>0.08</v>
      </c>
      <c r="B15" s="48" t="s">
        <v>143</v>
      </c>
      <c r="C15" s="15">
        <v>20231123017</v>
      </c>
      <c r="D15" s="29">
        <v>60</v>
      </c>
      <c r="E15" s="30">
        <f>'11'!AK15</f>
        <v>-18.589920000000006</v>
      </c>
      <c r="F15" s="29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6"/>
      <c r="AG15" s="45"/>
      <c r="AH15" s="46"/>
      <c r="AI15" s="46"/>
      <c r="AJ15" s="14">
        <f t="shared" si="0"/>
        <v>0</v>
      </c>
      <c r="AK15" s="30">
        <f t="shared" si="1"/>
        <v>-18.589920000000006</v>
      </c>
      <c r="AL15" s="44"/>
    </row>
    <row r="17" spans="1:29" x14ac:dyDescent="0.25">
      <c r="A17" s="91" t="s">
        <v>119</v>
      </c>
      <c r="B17" s="91"/>
      <c r="C17" s="41">
        <f>SUM(F9:AI13)</f>
        <v>386.15108999999995</v>
      </c>
      <c r="D17" s="40" t="s">
        <v>120</v>
      </c>
    </row>
    <row r="20" spans="1:29" x14ac:dyDescent="0.25">
      <c r="A20" s="6" t="s">
        <v>9</v>
      </c>
      <c r="B20" s="6" t="s">
        <v>23</v>
      </c>
    </row>
    <row r="21" spans="1:29" x14ac:dyDescent="0.25">
      <c r="A21" s="18">
        <v>0.127</v>
      </c>
      <c r="B21" s="5">
        <v>0.11269999999999999</v>
      </c>
    </row>
    <row r="22" spans="1:29" x14ac:dyDescent="0.25">
      <c r="A22" s="18">
        <v>0.12</v>
      </c>
      <c r="B22" s="5">
        <v>0.10059999999999999</v>
      </c>
    </row>
    <row r="23" spans="1:29" x14ac:dyDescent="0.25">
      <c r="A23" s="18">
        <v>0.2</v>
      </c>
      <c r="B23" s="5">
        <v>0.27960000000000002</v>
      </c>
    </row>
    <row r="24" spans="1:29" x14ac:dyDescent="0.25">
      <c r="A24" s="18">
        <v>0.16</v>
      </c>
      <c r="B24" s="5">
        <v>0.1789</v>
      </c>
    </row>
    <row r="25" spans="1:29" x14ac:dyDescent="0.25">
      <c r="A25" s="18">
        <v>0.08</v>
      </c>
      <c r="B25" s="5">
        <v>4.4699999999999997E-2</v>
      </c>
    </row>
    <row r="26" spans="1:29" x14ac:dyDescent="0.25">
      <c r="A26" s="18">
        <v>0.18</v>
      </c>
      <c r="B26" s="5">
        <v>0.22639999999999999</v>
      </c>
    </row>
    <row r="27" spans="1:29" x14ac:dyDescent="0.25">
      <c r="A27" s="7"/>
      <c r="B27" s="7"/>
    </row>
    <row r="28" spans="1:29" x14ac:dyDescent="0.25">
      <c r="A28" s="73" t="s">
        <v>7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</row>
    <row r="29" spans="1:29" x14ac:dyDescent="0.25">
      <c r="A29" s="74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</row>
    <row r="30" spans="1:29" x14ac:dyDescent="0.25">
      <c r="A30" s="71" t="s">
        <v>8</v>
      </c>
      <c r="B30" s="71" t="s">
        <v>11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</row>
    <row r="31" spans="1:29" x14ac:dyDescent="0.25">
      <c r="A31" s="71"/>
      <c r="B31" s="72">
        <v>0.127</v>
      </c>
      <c r="C31" s="72"/>
      <c r="D31" s="72"/>
      <c r="E31" s="72">
        <v>0.12</v>
      </c>
      <c r="F31" s="72"/>
      <c r="G31" s="72"/>
      <c r="H31" s="72"/>
      <c r="I31" s="72"/>
      <c r="J31" s="72">
        <v>0.2</v>
      </c>
      <c r="K31" s="72"/>
      <c r="L31" s="72"/>
      <c r="M31" s="72"/>
      <c r="N31" s="72"/>
      <c r="O31" s="72">
        <v>0.16</v>
      </c>
      <c r="P31" s="72"/>
      <c r="Q31" s="72"/>
      <c r="R31" s="72"/>
      <c r="S31" s="72"/>
      <c r="T31" s="78">
        <v>0.08</v>
      </c>
      <c r="U31" s="78"/>
      <c r="V31" s="78"/>
      <c r="W31" s="78"/>
      <c r="X31" s="78"/>
      <c r="Y31" s="78">
        <v>0.18</v>
      </c>
      <c r="Z31" s="78"/>
      <c r="AA31" s="78"/>
      <c r="AB31" s="78"/>
      <c r="AC31" s="78"/>
    </row>
    <row r="32" spans="1:29" x14ac:dyDescent="0.25">
      <c r="A32" s="71"/>
      <c r="B32" s="71" t="s">
        <v>12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</row>
    <row r="33" spans="1:29" x14ac:dyDescent="0.25">
      <c r="A33" s="49">
        <v>45200</v>
      </c>
      <c r="B33" s="51">
        <v>466000</v>
      </c>
      <c r="C33" s="51"/>
      <c r="D33" s="51"/>
      <c r="E33" s="51"/>
      <c r="F33" s="51"/>
      <c r="G33" s="51"/>
      <c r="H33" s="51"/>
      <c r="I33" s="51"/>
      <c r="J33" s="51">
        <v>262500</v>
      </c>
      <c r="K33" s="51"/>
      <c r="L33" s="51"/>
      <c r="M33" s="51"/>
      <c r="N33" s="51"/>
      <c r="O33" s="51"/>
      <c r="P33" s="51"/>
      <c r="Q33" s="51"/>
      <c r="R33" s="51"/>
      <c r="S33" s="51"/>
      <c r="T33" s="51" t="s">
        <v>146</v>
      </c>
      <c r="U33" s="51"/>
      <c r="V33" s="51"/>
      <c r="W33" s="51"/>
      <c r="X33" s="51"/>
      <c r="Y33" s="51"/>
      <c r="Z33" s="51"/>
      <c r="AA33" s="51"/>
      <c r="AB33" s="51"/>
      <c r="AC33" s="51"/>
    </row>
    <row r="34" spans="1:29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</row>
    <row r="35" spans="1:29" x14ac:dyDescent="0.25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</row>
    <row r="36" spans="1:29" x14ac:dyDescent="0.25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</row>
    <row r="37" spans="1:29" x14ac:dyDescent="0.2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spans="1:29" x14ac:dyDescent="0.25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</row>
    <row r="39" spans="1:29" x14ac:dyDescent="0.25">
      <c r="A39" s="4" t="s">
        <v>10</v>
      </c>
      <c r="B39" s="62">
        <f>B33</f>
        <v>466000</v>
      </c>
      <c r="C39" s="63"/>
      <c r="D39" s="64"/>
      <c r="E39" s="62"/>
      <c r="F39" s="63"/>
      <c r="G39" s="63"/>
      <c r="H39" s="63"/>
      <c r="I39" s="64"/>
      <c r="J39" s="62">
        <f>J33</f>
        <v>262500</v>
      </c>
      <c r="K39" s="63"/>
      <c r="L39" s="63"/>
      <c r="M39" s="63"/>
      <c r="N39" s="64"/>
      <c r="O39" s="62"/>
      <c r="P39" s="63"/>
      <c r="Q39" s="63"/>
      <c r="R39" s="63"/>
      <c r="S39" s="64"/>
      <c r="T39" s="88">
        <f>432400 + 351200</f>
        <v>783600</v>
      </c>
      <c r="U39" s="89"/>
      <c r="V39" s="89"/>
      <c r="W39" s="89"/>
      <c r="X39" s="90"/>
      <c r="Y39" s="88"/>
      <c r="Z39" s="89"/>
      <c r="AA39" s="89"/>
      <c r="AB39" s="89"/>
      <c r="AC39" s="90"/>
    </row>
    <row r="40" spans="1:29" x14ac:dyDescent="0.25">
      <c r="A40" s="49">
        <v>45203</v>
      </c>
      <c r="B40" s="51">
        <v>402000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2">
        <v>366200</v>
      </c>
      <c r="U40" s="53"/>
      <c r="V40" s="53"/>
      <c r="W40" s="53"/>
      <c r="X40" s="54"/>
      <c r="Y40" s="51"/>
      <c r="Z40" s="51"/>
      <c r="AA40" s="51"/>
      <c r="AB40" s="51"/>
      <c r="AC40" s="51"/>
    </row>
    <row r="41" spans="1:29" x14ac:dyDescent="0.25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5"/>
      <c r="U41" s="87"/>
      <c r="V41" s="87"/>
      <c r="W41" s="87"/>
      <c r="X41" s="57"/>
      <c r="Y41" s="51"/>
      <c r="Z41" s="51"/>
      <c r="AA41" s="51"/>
      <c r="AB41" s="51"/>
      <c r="AC41" s="51"/>
    </row>
    <row r="42" spans="1:29" x14ac:dyDescent="0.25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5"/>
      <c r="U42" s="87"/>
      <c r="V42" s="87"/>
      <c r="W42" s="87"/>
      <c r="X42" s="57"/>
      <c r="Y42" s="51"/>
      <c r="Z42" s="51"/>
      <c r="AA42" s="51"/>
      <c r="AB42" s="51"/>
      <c r="AC42" s="51"/>
    </row>
    <row r="43" spans="1:29" x14ac:dyDescent="0.25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5" t="s">
        <v>147</v>
      </c>
      <c r="U43" s="87"/>
      <c r="V43" s="87"/>
      <c r="W43" s="87"/>
      <c r="X43" s="57"/>
      <c r="Y43" s="51"/>
      <c r="Z43" s="51"/>
      <c r="AA43" s="51"/>
      <c r="AB43" s="51"/>
      <c r="AC43" s="51"/>
    </row>
    <row r="44" spans="1:29" x14ac:dyDescent="0.25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5"/>
      <c r="U44" s="87"/>
      <c r="V44" s="87"/>
      <c r="W44" s="87"/>
      <c r="X44" s="57"/>
      <c r="Y44" s="51"/>
      <c r="Z44" s="51"/>
      <c r="AA44" s="51"/>
      <c r="AB44" s="51"/>
      <c r="AC44" s="51"/>
    </row>
    <row r="45" spans="1:29" x14ac:dyDescent="0.2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8"/>
      <c r="U45" s="59"/>
      <c r="V45" s="59"/>
      <c r="W45" s="59"/>
      <c r="X45" s="60"/>
      <c r="Y45" s="51"/>
      <c r="Z45" s="51"/>
      <c r="AA45" s="51"/>
      <c r="AB45" s="51"/>
      <c r="AC45" s="51"/>
    </row>
    <row r="46" spans="1:29" x14ac:dyDescent="0.25">
      <c r="A46" s="4" t="s">
        <v>10</v>
      </c>
      <c r="B46" s="62">
        <f>B40</f>
        <v>402000</v>
      </c>
      <c r="C46" s="63"/>
      <c r="D46" s="64"/>
      <c r="E46" s="62"/>
      <c r="F46" s="63"/>
      <c r="G46" s="63"/>
      <c r="H46" s="63"/>
      <c r="I46" s="64"/>
      <c r="J46" s="62"/>
      <c r="K46" s="63"/>
      <c r="L46" s="63"/>
      <c r="M46" s="63"/>
      <c r="N46" s="64"/>
      <c r="O46" s="62"/>
      <c r="P46" s="63"/>
      <c r="Q46" s="63"/>
      <c r="R46" s="63"/>
      <c r="S46" s="64"/>
      <c r="T46" s="88">
        <f>T40</f>
        <v>366200</v>
      </c>
      <c r="U46" s="89"/>
      <c r="V46" s="43"/>
      <c r="W46" s="89">
        <f>370800 + 388000</f>
        <v>758800</v>
      </c>
      <c r="X46" s="90"/>
      <c r="Y46" s="88"/>
      <c r="Z46" s="89"/>
      <c r="AA46" s="89"/>
      <c r="AB46" s="89"/>
      <c r="AC46" s="90"/>
    </row>
    <row r="47" spans="1:29" x14ac:dyDescent="0.25">
      <c r="A47" s="49">
        <v>45204</v>
      </c>
      <c r="B47" s="51">
        <v>244400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 t="s">
        <v>148</v>
      </c>
      <c r="U47" s="51"/>
      <c r="V47" s="51"/>
      <c r="W47" s="51"/>
      <c r="X47" s="51"/>
      <c r="Y47" s="51"/>
      <c r="Z47" s="51"/>
      <c r="AA47" s="51"/>
      <c r="AB47" s="51"/>
      <c r="AC47" s="51"/>
    </row>
    <row r="48" spans="1:29" x14ac:dyDescent="0.25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</row>
    <row r="49" spans="1:29" x14ac:dyDescent="0.25">
      <c r="A49" s="50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</row>
    <row r="50" spans="1:29" x14ac:dyDescent="0.25">
      <c r="A50" s="50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</row>
    <row r="51" spans="1:29" x14ac:dyDescent="0.25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</row>
    <row r="52" spans="1:29" x14ac:dyDescent="0.25">
      <c r="A52" s="50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</row>
    <row r="53" spans="1:29" x14ac:dyDescent="0.25">
      <c r="A53" s="4" t="s">
        <v>10</v>
      </c>
      <c r="B53" s="62">
        <f>B47</f>
        <v>244400</v>
      </c>
      <c r="C53" s="63"/>
      <c r="D53" s="64"/>
      <c r="E53" s="62"/>
      <c r="F53" s="63"/>
      <c r="G53" s="63"/>
      <c r="H53" s="63"/>
      <c r="I53" s="64"/>
      <c r="J53" s="62"/>
      <c r="K53" s="63"/>
      <c r="L53" s="63"/>
      <c r="M53" s="63"/>
      <c r="N53" s="64"/>
      <c r="O53" s="62"/>
      <c r="P53" s="63"/>
      <c r="Q53" s="63"/>
      <c r="R53" s="63"/>
      <c r="S53" s="64"/>
      <c r="T53" s="88">
        <f>348300 + 440600 + 428900</f>
        <v>1217800</v>
      </c>
      <c r="U53" s="89"/>
      <c r="V53" s="89"/>
      <c r="W53" s="89"/>
      <c r="X53" s="90"/>
      <c r="Y53" s="88"/>
      <c r="Z53" s="89"/>
      <c r="AA53" s="89"/>
      <c r="AB53" s="89"/>
      <c r="AC53" s="90"/>
    </row>
    <row r="54" spans="1:29" x14ac:dyDescent="0.25">
      <c r="A54" s="49">
        <v>45204</v>
      </c>
      <c r="B54" s="51">
        <v>107700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 t="s">
        <v>149</v>
      </c>
      <c r="U54" s="51"/>
      <c r="V54" s="51"/>
      <c r="W54" s="51"/>
      <c r="X54" s="51"/>
      <c r="Y54" s="51"/>
      <c r="Z54" s="51"/>
      <c r="AA54" s="51"/>
      <c r="AB54" s="51"/>
      <c r="AC54" s="51"/>
    </row>
    <row r="55" spans="1:29" x14ac:dyDescent="0.25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</row>
    <row r="56" spans="1:29" x14ac:dyDescent="0.25">
      <c r="A56" s="50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</row>
    <row r="57" spans="1:29" x14ac:dyDescent="0.25">
      <c r="A57" s="50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</row>
    <row r="58" spans="1:29" x14ac:dyDescent="0.25">
      <c r="A58" s="50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</row>
    <row r="59" spans="1:29" x14ac:dyDescent="0.25">
      <c r="A59" s="50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</row>
    <row r="60" spans="1:29" x14ac:dyDescent="0.25">
      <c r="A60" s="4" t="s">
        <v>10</v>
      </c>
      <c r="B60" s="62">
        <f>B54</f>
        <v>107700</v>
      </c>
      <c r="C60" s="63"/>
      <c r="D60" s="64"/>
      <c r="E60" s="62"/>
      <c r="F60" s="63"/>
      <c r="G60" s="63"/>
      <c r="H60" s="63"/>
      <c r="I60" s="64"/>
      <c r="J60" s="62"/>
      <c r="K60" s="63"/>
      <c r="L60" s="63"/>
      <c r="M60" s="63"/>
      <c r="N60" s="64"/>
      <c r="O60" s="62"/>
      <c r="P60" s="63"/>
      <c r="Q60" s="63"/>
      <c r="R60" s="63"/>
      <c r="S60" s="64"/>
      <c r="T60" s="88">
        <f>424200 + 404400 + 331800</f>
        <v>1160400</v>
      </c>
      <c r="U60" s="89"/>
      <c r="V60" s="89"/>
      <c r="W60" s="89"/>
      <c r="X60" s="90"/>
      <c r="Y60" s="88"/>
      <c r="Z60" s="89"/>
      <c r="AA60" s="89"/>
      <c r="AB60" s="89"/>
      <c r="AC60" s="90"/>
    </row>
    <row r="61" spans="1:29" x14ac:dyDescent="0.25">
      <c r="A61" s="49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</row>
    <row r="62" spans="1:29" x14ac:dyDescent="0.25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</row>
    <row r="63" spans="1:29" x14ac:dyDescent="0.25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spans="1:29" x14ac:dyDescent="0.25">
      <c r="A64" s="50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</row>
    <row r="65" spans="1:29" x14ac:dyDescent="0.25">
      <c r="A65" s="50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</row>
    <row r="66" spans="1:29" x14ac:dyDescent="0.25">
      <c r="A66" s="5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spans="1:29" x14ac:dyDescent="0.25">
      <c r="A67" s="4" t="s">
        <v>10</v>
      </c>
      <c r="B67" s="62"/>
      <c r="C67" s="63"/>
      <c r="D67" s="64"/>
      <c r="E67" s="62"/>
      <c r="F67" s="63"/>
      <c r="G67" s="63"/>
      <c r="H67" s="63"/>
      <c r="I67" s="64"/>
      <c r="J67" s="62"/>
      <c r="K67" s="63"/>
      <c r="L67" s="63"/>
      <c r="M67" s="63"/>
      <c r="N67" s="64"/>
      <c r="O67" s="62"/>
      <c r="P67" s="63"/>
      <c r="Q67" s="63"/>
      <c r="R67" s="63"/>
      <c r="S67" s="64"/>
      <c r="T67" s="88"/>
      <c r="U67" s="89"/>
      <c r="V67" s="89"/>
      <c r="W67" s="89"/>
      <c r="X67" s="90"/>
      <c r="Y67" s="88"/>
      <c r="Z67" s="89"/>
      <c r="AA67" s="89"/>
      <c r="AB67" s="89"/>
      <c r="AC67" s="90"/>
    </row>
    <row r="68" spans="1:29" x14ac:dyDescent="0.25">
      <c r="A68" s="49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</row>
    <row r="69" spans="1:29" x14ac:dyDescent="0.25">
      <c r="A69" s="50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</row>
    <row r="70" spans="1:29" x14ac:dyDescent="0.25">
      <c r="A70" s="50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</row>
    <row r="71" spans="1:29" x14ac:dyDescent="0.2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spans="1:29" x14ac:dyDescent="0.25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</row>
    <row r="73" spans="1:29" x14ac:dyDescent="0.25">
      <c r="A73" s="50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x14ac:dyDescent="0.25">
      <c r="A74" s="4" t="s">
        <v>10</v>
      </c>
      <c r="B74" s="62"/>
      <c r="C74" s="63"/>
      <c r="D74" s="64"/>
      <c r="E74" s="62"/>
      <c r="F74" s="63"/>
      <c r="G74" s="63"/>
      <c r="H74" s="63"/>
      <c r="I74" s="64"/>
      <c r="J74" s="62"/>
      <c r="K74" s="63"/>
      <c r="L74" s="63"/>
      <c r="M74" s="63"/>
      <c r="N74" s="64"/>
      <c r="O74" s="62"/>
      <c r="P74" s="63"/>
      <c r="Q74" s="63"/>
      <c r="R74" s="63"/>
      <c r="S74" s="64"/>
      <c r="T74" s="88"/>
      <c r="U74" s="89"/>
      <c r="V74" s="89"/>
      <c r="W74" s="89"/>
      <c r="X74" s="90"/>
      <c r="Y74" s="88"/>
      <c r="Z74" s="89"/>
      <c r="AA74" s="89"/>
      <c r="AB74" s="89"/>
      <c r="AC74" s="90"/>
    </row>
    <row r="75" spans="1:29" x14ac:dyDescent="0.25">
      <c r="A75" s="49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</row>
    <row r="76" spans="1:29" x14ac:dyDescent="0.25">
      <c r="A76" s="50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</row>
    <row r="77" spans="1:29" x14ac:dyDescent="0.25">
      <c r="A77" s="50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</row>
    <row r="78" spans="1:29" x14ac:dyDescent="0.25">
      <c r="A78" s="50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</row>
    <row r="79" spans="1:29" x14ac:dyDescent="0.25">
      <c r="A79" s="50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</row>
    <row r="80" spans="1:29" x14ac:dyDescent="0.25">
      <c r="A80" s="50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</row>
    <row r="81" spans="1:29" x14ac:dyDescent="0.25">
      <c r="A81" s="4" t="s">
        <v>10</v>
      </c>
      <c r="B81" s="62"/>
      <c r="C81" s="63"/>
      <c r="D81" s="64"/>
      <c r="E81" s="62"/>
      <c r="F81" s="63"/>
      <c r="G81" s="63"/>
      <c r="H81" s="63"/>
      <c r="I81" s="64"/>
      <c r="J81" s="62"/>
      <c r="K81" s="63"/>
      <c r="L81" s="63"/>
      <c r="M81" s="63"/>
      <c r="N81" s="64"/>
      <c r="O81" s="62"/>
      <c r="P81" s="63"/>
      <c r="Q81" s="63"/>
      <c r="R81" s="63"/>
      <c r="S81" s="64"/>
      <c r="T81" s="88"/>
      <c r="U81" s="89"/>
      <c r="V81" s="89"/>
      <c r="W81" s="89"/>
      <c r="X81" s="90"/>
      <c r="Y81" s="88"/>
      <c r="Z81" s="89"/>
      <c r="AA81" s="89"/>
      <c r="AB81" s="89"/>
      <c r="AC81" s="90"/>
    </row>
    <row r="82" spans="1:29" x14ac:dyDescent="0.25">
      <c r="A82" s="49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</row>
    <row r="83" spans="1:29" x14ac:dyDescent="0.25">
      <c r="A83" s="50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</row>
    <row r="84" spans="1:29" x14ac:dyDescent="0.25">
      <c r="A84" s="50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</row>
    <row r="85" spans="1:29" x14ac:dyDescent="0.25">
      <c r="A85" s="50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</row>
    <row r="86" spans="1:29" x14ac:dyDescent="0.25">
      <c r="A86" s="50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</row>
    <row r="87" spans="1:29" x14ac:dyDescent="0.25">
      <c r="A87" s="50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</row>
    <row r="88" spans="1:29" x14ac:dyDescent="0.25">
      <c r="A88" s="4" t="s">
        <v>10</v>
      </c>
      <c r="B88" s="62"/>
      <c r="C88" s="63"/>
      <c r="D88" s="64"/>
      <c r="E88" s="62"/>
      <c r="F88" s="63"/>
      <c r="G88" s="63"/>
      <c r="H88" s="63"/>
      <c r="I88" s="64"/>
      <c r="J88" s="62"/>
      <c r="K88" s="63"/>
      <c r="L88" s="63"/>
      <c r="M88" s="63"/>
      <c r="N88" s="64"/>
      <c r="O88" s="62"/>
      <c r="P88" s="63"/>
      <c r="Q88" s="63"/>
      <c r="R88" s="63"/>
      <c r="S88" s="64"/>
      <c r="T88" s="88"/>
      <c r="U88" s="89"/>
      <c r="V88" s="89"/>
      <c r="W88" s="89"/>
      <c r="X88" s="90"/>
      <c r="Y88" s="88"/>
      <c r="Z88" s="89"/>
      <c r="AA88" s="89"/>
      <c r="AB88" s="89"/>
      <c r="AC88" s="90"/>
    </row>
    <row r="89" spans="1:29" x14ac:dyDescent="0.25">
      <c r="A89" s="49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</row>
    <row r="90" spans="1:29" x14ac:dyDescent="0.25">
      <c r="A90" s="5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</row>
    <row r="91" spans="1:29" x14ac:dyDescent="0.25">
      <c r="A91" s="50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</row>
    <row r="92" spans="1:29" x14ac:dyDescent="0.25">
      <c r="A92" s="50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</row>
    <row r="93" spans="1:29" x14ac:dyDescent="0.25">
      <c r="A93" s="50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</row>
    <row r="94" spans="1:29" x14ac:dyDescent="0.25">
      <c r="A94" s="50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</row>
    <row r="95" spans="1:29" x14ac:dyDescent="0.25">
      <c r="A95" s="4" t="s">
        <v>10</v>
      </c>
      <c r="B95" s="62"/>
      <c r="C95" s="63"/>
      <c r="D95" s="64"/>
      <c r="E95" s="62"/>
      <c r="F95" s="63"/>
      <c r="G95" s="63"/>
      <c r="H95" s="63"/>
      <c r="I95" s="64"/>
      <c r="J95" s="62"/>
      <c r="K95" s="63"/>
      <c r="L95" s="63"/>
      <c r="M95" s="63"/>
      <c r="N95" s="64"/>
      <c r="O95" s="62"/>
      <c r="P95" s="63"/>
      <c r="Q95" s="63"/>
      <c r="R95" s="63"/>
      <c r="S95" s="64"/>
      <c r="T95" s="88"/>
      <c r="U95" s="89"/>
      <c r="V95" s="89"/>
      <c r="W95" s="89"/>
      <c r="X95" s="90"/>
      <c r="Y95" s="88"/>
      <c r="Z95" s="89"/>
      <c r="AA95" s="89"/>
      <c r="AB95" s="89"/>
      <c r="AC95" s="90"/>
    </row>
    <row r="96" spans="1:29" x14ac:dyDescent="0.25">
      <c r="A96" s="49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</row>
    <row r="97" spans="1:29" x14ac:dyDescent="0.25">
      <c r="A97" s="50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</row>
    <row r="98" spans="1:29" x14ac:dyDescent="0.25">
      <c r="A98" s="50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</row>
    <row r="99" spans="1:29" x14ac:dyDescent="0.25">
      <c r="A99" s="50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</row>
    <row r="100" spans="1:29" x14ac:dyDescent="0.25">
      <c r="A100" s="50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</row>
    <row r="101" spans="1:29" x14ac:dyDescent="0.25">
      <c r="A101" s="50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</row>
    <row r="102" spans="1:29" x14ac:dyDescent="0.25">
      <c r="A102" s="4" t="s">
        <v>10</v>
      </c>
      <c r="B102" s="62"/>
      <c r="C102" s="63"/>
      <c r="D102" s="64"/>
      <c r="E102" s="62"/>
      <c r="F102" s="63"/>
      <c r="G102" s="63"/>
      <c r="H102" s="63"/>
      <c r="I102" s="64"/>
      <c r="J102" s="62"/>
      <c r="K102" s="63"/>
      <c r="L102" s="63"/>
      <c r="M102" s="63"/>
      <c r="N102" s="64"/>
      <c r="O102" s="62"/>
      <c r="P102" s="63"/>
      <c r="Q102" s="63"/>
      <c r="R102" s="63"/>
      <c r="S102" s="64"/>
      <c r="T102" s="88"/>
      <c r="U102" s="89"/>
      <c r="V102" s="89"/>
      <c r="W102" s="89"/>
      <c r="X102" s="90"/>
      <c r="Y102" s="88"/>
      <c r="Z102" s="89"/>
      <c r="AA102" s="89"/>
      <c r="AB102" s="89"/>
      <c r="AC102" s="90"/>
    </row>
    <row r="103" spans="1:29" x14ac:dyDescent="0.25">
      <c r="A103" s="49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</row>
    <row r="104" spans="1:29" x14ac:dyDescent="0.25">
      <c r="A104" s="50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</row>
    <row r="105" spans="1:29" x14ac:dyDescent="0.25">
      <c r="A105" s="50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</row>
    <row r="106" spans="1:29" x14ac:dyDescent="0.25">
      <c r="A106" s="50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</row>
    <row r="107" spans="1:29" x14ac:dyDescent="0.25">
      <c r="A107" s="50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</row>
    <row r="108" spans="1:29" x14ac:dyDescent="0.25">
      <c r="A108" s="50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</row>
    <row r="109" spans="1:29" x14ac:dyDescent="0.25">
      <c r="A109" s="4" t="s">
        <v>10</v>
      </c>
      <c r="B109" s="62"/>
      <c r="C109" s="63"/>
      <c r="D109" s="64"/>
      <c r="E109" s="62"/>
      <c r="F109" s="63"/>
      <c r="G109" s="63"/>
      <c r="H109" s="63"/>
      <c r="I109" s="64"/>
      <c r="J109" s="62"/>
      <c r="K109" s="63"/>
      <c r="L109" s="63"/>
      <c r="M109" s="63"/>
      <c r="N109" s="64"/>
      <c r="O109" s="62"/>
      <c r="P109" s="63"/>
      <c r="Q109" s="63"/>
      <c r="R109" s="63"/>
      <c r="S109" s="64"/>
      <c r="T109" s="88"/>
      <c r="U109" s="89"/>
      <c r="V109" s="89"/>
      <c r="W109" s="89"/>
      <c r="X109" s="90"/>
      <c r="Y109" s="88"/>
      <c r="Z109" s="89"/>
      <c r="AA109" s="89"/>
      <c r="AB109" s="89"/>
      <c r="AC109" s="90"/>
    </row>
    <row r="110" spans="1:29" x14ac:dyDescent="0.25">
      <c r="A110" s="84"/>
      <c r="B110" s="52"/>
      <c r="C110" s="53"/>
      <c r="D110" s="54"/>
      <c r="E110" s="52"/>
      <c r="F110" s="53"/>
      <c r="G110" s="53"/>
      <c r="H110" s="53"/>
      <c r="I110" s="54"/>
      <c r="J110" s="52"/>
      <c r="K110" s="53"/>
      <c r="L110" s="53"/>
      <c r="M110" s="53"/>
      <c r="N110" s="54"/>
      <c r="O110" s="52"/>
      <c r="P110" s="53"/>
      <c r="Q110" s="53"/>
      <c r="R110" s="53"/>
      <c r="S110" s="54"/>
      <c r="T110" s="52"/>
      <c r="U110" s="53"/>
      <c r="V110" s="53"/>
      <c r="W110" s="53"/>
      <c r="X110" s="54"/>
      <c r="Y110" s="52"/>
      <c r="Z110" s="53"/>
      <c r="AA110" s="53"/>
      <c r="AB110" s="53"/>
      <c r="AC110" s="54"/>
    </row>
    <row r="111" spans="1:29" x14ac:dyDescent="0.25">
      <c r="A111" s="85"/>
      <c r="B111" s="55"/>
      <c r="C111" s="87"/>
      <c r="D111" s="57"/>
      <c r="E111" s="55"/>
      <c r="F111" s="87"/>
      <c r="G111" s="87"/>
      <c r="H111" s="87"/>
      <c r="I111" s="57"/>
      <c r="J111" s="55"/>
      <c r="K111" s="87"/>
      <c r="L111" s="87"/>
      <c r="M111" s="87"/>
      <c r="N111" s="57"/>
      <c r="O111" s="55"/>
      <c r="P111" s="87"/>
      <c r="Q111" s="87"/>
      <c r="R111" s="87"/>
      <c r="S111" s="57"/>
      <c r="T111" s="55"/>
      <c r="U111" s="87"/>
      <c r="V111" s="87"/>
      <c r="W111" s="87"/>
      <c r="X111" s="57"/>
      <c r="Y111" s="55"/>
      <c r="Z111" s="87"/>
      <c r="AA111" s="87"/>
      <c r="AB111" s="87"/>
      <c r="AC111" s="57"/>
    </row>
    <row r="112" spans="1:29" x14ac:dyDescent="0.25">
      <c r="A112" s="85"/>
      <c r="B112" s="55"/>
      <c r="C112" s="87"/>
      <c r="D112" s="57"/>
      <c r="E112" s="55"/>
      <c r="F112" s="87"/>
      <c r="G112" s="87"/>
      <c r="H112" s="87"/>
      <c r="I112" s="57"/>
      <c r="J112" s="55"/>
      <c r="K112" s="87"/>
      <c r="L112" s="87"/>
      <c r="M112" s="87"/>
      <c r="N112" s="57"/>
      <c r="O112" s="55"/>
      <c r="P112" s="87"/>
      <c r="Q112" s="87"/>
      <c r="R112" s="87"/>
      <c r="S112" s="57"/>
      <c r="T112" s="55"/>
      <c r="U112" s="87"/>
      <c r="V112" s="87"/>
      <c r="W112" s="87"/>
      <c r="X112" s="57"/>
      <c r="Y112" s="55"/>
      <c r="Z112" s="87"/>
      <c r="AA112" s="87"/>
      <c r="AB112" s="87"/>
      <c r="AC112" s="57"/>
    </row>
    <row r="113" spans="1:29" x14ac:dyDescent="0.25">
      <c r="A113" s="85"/>
      <c r="B113" s="55"/>
      <c r="C113" s="87"/>
      <c r="D113" s="57"/>
      <c r="E113" s="55"/>
      <c r="F113" s="87"/>
      <c r="G113" s="87"/>
      <c r="H113" s="87"/>
      <c r="I113" s="57"/>
      <c r="J113" s="55"/>
      <c r="K113" s="87"/>
      <c r="L113" s="87"/>
      <c r="M113" s="87"/>
      <c r="N113" s="57"/>
      <c r="O113" s="55"/>
      <c r="P113" s="87"/>
      <c r="Q113" s="87"/>
      <c r="R113" s="87"/>
      <c r="S113" s="57"/>
      <c r="T113" s="55"/>
      <c r="U113" s="87"/>
      <c r="V113" s="87"/>
      <c r="W113" s="87"/>
      <c r="X113" s="57"/>
      <c r="Y113" s="55"/>
      <c r="Z113" s="87"/>
      <c r="AA113" s="87"/>
      <c r="AB113" s="87"/>
      <c r="AC113" s="57"/>
    </row>
    <row r="114" spans="1:29" x14ac:dyDescent="0.25">
      <c r="A114" s="85"/>
      <c r="B114" s="55"/>
      <c r="C114" s="87"/>
      <c r="D114" s="57"/>
      <c r="E114" s="55"/>
      <c r="F114" s="87"/>
      <c r="G114" s="87"/>
      <c r="H114" s="87"/>
      <c r="I114" s="57"/>
      <c r="J114" s="55"/>
      <c r="K114" s="87"/>
      <c r="L114" s="87"/>
      <c r="M114" s="87"/>
      <c r="N114" s="57"/>
      <c r="O114" s="55"/>
      <c r="P114" s="87"/>
      <c r="Q114" s="87"/>
      <c r="R114" s="87"/>
      <c r="S114" s="57"/>
      <c r="T114" s="55"/>
      <c r="U114" s="87"/>
      <c r="V114" s="87"/>
      <c r="W114" s="87"/>
      <c r="X114" s="57"/>
      <c r="Y114" s="55"/>
      <c r="Z114" s="87"/>
      <c r="AA114" s="87"/>
      <c r="AB114" s="87"/>
      <c r="AC114" s="57"/>
    </row>
    <row r="115" spans="1:29" x14ac:dyDescent="0.25">
      <c r="A115" s="86"/>
      <c r="B115" s="58"/>
      <c r="C115" s="59"/>
      <c r="D115" s="60"/>
      <c r="E115" s="58"/>
      <c r="F115" s="59"/>
      <c r="G115" s="59"/>
      <c r="H115" s="59"/>
      <c r="I115" s="60"/>
      <c r="J115" s="58"/>
      <c r="K115" s="59"/>
      <c r="L115" s="59"/>
      <c r="M115" s="59"/>
      <c r="N115" s="60"/>
      <c r="O115" s="58"/>
      <c r="P115" s="59"/>
      <c r="Q115" s="59"/>
      <c r="R115" s="59"/>
      <c r="S115" s="60"/>
      <c r="T115" s="58"/>
      <c r="U115" s="59"/>
      <c r="V115" s="59"/>
      <c r="W115" s="59"/>
      <c r="X115" s="60"/>
      <c r="Y115" s="58"/>
      <c r="Z115" s="59"/>
      <c r="AA115" s="59"/>
      <c r="AB115" s="59"/>
      <c r="AC115" s="60"/>
    </row>
    <row r="116" spans="1:29" x14ac:dyDescent="0.25">
      <c r="A116" s="4" t="s">
        <v>10</v>
      </c>
      <c r="B116" s="62"/>
      <c r="C116" s="63"/>
      <c r="D116" s="64"/>
      <c r="E116" s="62"/>
      <c r="F116" s="63"/>
      <c r="G116" s="63"/>
      <c r="H116" s="63"/>
      <c r="I116" s="64"/>
      <c r="J116" s="62"/>
      <c r="K116" s="63"/>
      <c r="L116" s="63"/>
      <c r="M116" s="63"/>
      <c r="N116" s="64"/>
      <c r="O116" s="62"/>
      <c r="P116" s="63"/>
      <c r="Q116" s="63"/>
      <c r="R116" s="63"/>
      <c r="S116" s="64"/>
      <c r="T116" s="88"/>
      <c r="U116" s="89"/>
      <c r="V116" s="89"/>
      <c r="W116" s="89"/>
      <c r="X116" s="90"/>
      <c r="Y116" s="88"/>
      <c r="Z116" s="89"/>
      <c r="AA116" s="89"/>
      <c r="AB116" s="89"/>
      <c r="AC116" s="90"/>
    </row>
    <row r="117" spans="1:29" x14ac:dyDescent="0.25">
      <c r="A117" s="84"/>
      <c r="B117" s="52"/>
      <c r="C117" s="53"/>
      <c r="D117" s="54"/>
      <c r="E117" s="52"/>
      <c r="F117" s="53"/>
      <c r="G117" s="53"/>
      <c r="H117" s="53"/>
      <c r="I117" s="54"/>
      <c r="J117" s="52"/>
      <c r="K117" s="53"/>
      <c r="L117" s="53"/>
      <c r="M117" s="53"/>
      <c r="N117" s="54"/>
      <c r="O117" s="52"/>
      <c r="P117" s="53"/>
      <c r="Q117" s="53"/>
      <c r="R117" s="53"/>
      <c r="S117" s="54"/>
      <c r="T117" s="52"/>
      <c r="U117" s="53"/>
      <c r="V117" s="53"/>
      <c r="W117" s="53"/>
      <c r="X117" s="54"/>
      <c r="Y117" s="52"/>
      <c r="Z117" s="53"/>
      <c r="AA117" s="53"/>
      <c r="AB117" s="53"/>
      <c r="AC117" s="54"/>
    </row>
    <row r="118" spans="1:29" x14ac:dyDescent="0.25">
      <c r="A118" s="85"/>
      <c r="B118" s="55"/>
      <c r="C118" s="87"/>
      <c r="D118" s="57"/>
      <c r="E118" s="55"/>
      <c r="F118" s="87"/>
      <c r="G118" s="87"/>
      <c r="H118" s="87"/>
      <c r="I118" s="57"/>
      <c r="J118" s="55"/>
      <c r="K118" s="87"/>
      <c r="L118" s="87"/>
      <c r="M118" s="87"/>
      <c r="N118" s="57"/>
      <c r="O118" s="55"/>
      <c r="P118" s="87"/>
      <c r="Q118" s="87"/>
      <c r="R118" s="87"/>
      <c r="S118" s="57"/>
      <c r="T118" s="55"/>
      <c r="U118" s="87"/>
      <c r="V118" s="87"/>
      <c r="W118" s="87"/>
      <c r="X118" s="57"/>
      <c r="Y118" s="55"/>
      <c r="Z118" s="87"/>
      <c r="AA118" s="87"/>
      <c r="AB118" s="87"/>
      <c r="AC118" s="57"/>
    </row>
    <row r="119" spans="1:29" x14ac:dyDescent="0.25">
      <c r="A119" s="85"/>
      <c r="B119" s="55"/>
      <c r="C119" s="87"/>
      <c r="D119" s="57"/>
      <c r="E119" s="55"/>
      <c r="F119" s="87"/>
      <c r="G119" s="87"/>
      <c r="H119" s="87"/>
      <c r="I119" s="57"/>
      <c r="J119" s="55"/>
      <c r="K119" s="87"/>
      <c r="L119" s="87"/>
      <c r="M119" s="87"/>
      <c r="N119" s="57"/>
      <c r="O119" s="55"/>
      <c r="P119" s="87"/>
      <c r="Q119" s="87"/>
      <c r="R119" s="87"/>
      <c r="S119" s="57"/>
      <c r="T119" s="55"/>
      <c r="U119" s="87"/>
      <c r="V119" s="87"/>
      <c r="W119" s="87"/>
      <c r="X119" s="57"/>
      <c r="Y119" s="55"/>
      <c r="Z119" s="87"/>
      <c r="AA119" s="87"/>
      <c r="AB119" s="87"/>
      <c r="AC119" s="57"/>
    </row>
    <row r="120" spans="1:29" x14ac:dyDescent="0.25">
      <c r="A120" s="85"/>
      <c r="B120" s="55"/>
      <c r="C120" s="87"/>
      <c r="D120" s="57"/>
      <c r="E120" s="55"/>
      <c r="F120" s="87"/>
      <c r="G120" s="87"/>
      <c r="H120" s="87"/>
      <c r="I120" s="57"/>
      <c r="J120" s="55"/>
      <c r="K120" s="87"/>
      <c r="L120" s="87"/>
      <c r="M120" s="87"/>
      <c r="N120" s="57"/>
      <c r="O120" s="55"/>
      <c r="P120" s="87"/>
      <c r="Q120" s="87"/>
      <c r="R120" s="87"/>
      <c r="S120" s="57"/>
      <c r="T120" s="55"/>
      <c r="U120" s="87"/>
      <c r="V120" s="87"/>
      <c r="W120" s="87"/>
      <c r="X120" s="57"/>
      <c r="Y120" s="55"/>
      <c r="Z120" s="87"/>
      <c r="AA120" s="87"/>
      <c r="AB120" s="87"/>
      <c r="AC120" s="57"/>
    </row>
    <row r="121" spans="1:29" x14ac:dyDescent="0.25">
      <c r="A121" s="85"/>
      <c r="B121" s="55"/>
      <c r="C121" s="87"/>
      <c r="D121" s="57"/>
      <c r="E121" s="55"/>
      <c r="F121" s="87"/>
      <c r="G121" s="87"/>
      <c r="H121" s="87"/>
      <c r="I121" s="57"/>
      <c r="J121" s="55"/>
      <c r="K121" s="87"/>
      <c r="L121" s="87"/>
      <c r="M121" s="87"/>
      <c r="N121" s="57"/>
      <c r="O121" s="55"/>
      <c r="P121" s="87"/>
      <c r="Q121" s="87"/>
      <c r="R121" s="87"/>
      <c r="S121" s="57"/>
      <c r="T121" s="55"/>
      <c r="U121" s="87"/>
      <c r="V121" s="87"/>
      <c r="W121" s="87"/>
      <c r="X121" s="57"/>
      <c r="Y121" s="55"/>
      <c r="Z121" s="87"/>
      <c r="AA121" s="87"/>
      <c r="AB121" s="87"/>
      <c r="AC121" s="57"/>
    </row>
    <row r="122" spans="1:29" x14ac:dyDescent="0.25">
      <c r="A122" s="86"/>
      <c r="B122" s="58"/>
      <c r="C122" s="59"/>
      <c r="D122" s="60"/>
      <c r="E122" s="58"/>
      <c r="F122" s="59"/>
      <c r="G122" s="59"/>
      <c r="H122" s="59"/>
      <c r="I122" s="60"/>
      <c r="J122" s="58"/>
      <c r="K122" s="59"/>
      <c r="L122" s="59"/>
      <c r="M122" s="59"/>
      <c r="N122" s="60"/>
      <c r="O122" s="58"/>
      <c r="P122" s="59"/>
      <c r="Q122" s="59"/>
      <c r="R122" s="59"/>
      <c r="S122" s="60"/>
      <c r="T122" s="58"/>
      <c r="U122" s="59"/>
      <c r="V122" s="59"/>
      <c r="W122" s="59"/>
      <c r="X122" s="60"/>
      <c r="Y122" s="58"/>
      <c r="Z122" s="59"/>
      <c r="AA122" s="59"/>
      <c r="AB122" s="59"/>
      <c r="AC122" s="60"/>
    </row>
    <row r="123" spans="1:29" x14ac:dyDescent="0.25">
      <c r="A123" s="4" t="s">
        <v>10</v>
      </c>
      <c r="B123" s="62"/>
      <c r="C123" s="63"/>
      <c r="D123" s="64"/>
      <c r="E123" s="62"/>
      <c r="F123" s="63"/>
      <c r="G123" s="63"/>
      <c r="H123" s="63"/>
      <c r="I123" s="64"/>
      <c r="J123" s="62"/>
      <c r="K123" s="63"/>
      <c r="L123" s="63"/>
      <c r="M123" s="63"/>
      <c r="N123" s="64"/>
      <c r="O123" s="62"/>
      <c r="P123" s="63"/>
      <c r="Q123" s="63"/>
      <c r="R123" s="63"/>
      <c r="S123" s="64"/>
      <c r="T123" s="88"/>
      <c r="U123" s="89"/>
      <c r="V123" s="89"/>
      <c r="W123" s="89"/>
      <c r="X123" s="90"/>
      <c r="Y123" s="88"/>
      <c r="Z123" s="89"/>
      <c r="AA123" s="89"/>
      <c r="AB123" s="89"/>
      <c r="AC123" s="90"/>
    </row>
    <row r="124" spans="1:29" x14ac:dyDescent="0.25">
      <c r="A124" s="84"/>
      <c r="B124" s="52"/>
      <c r="C124" s="53"/>
      <c r="D124" s="54"/>
      <c r="E124" s="52"/>
      <c r="F124" s="53"/>
      <c r="G124" s="53"/>
      <c r="H124" s="53"/>
      <c r="I124" s="54"/>
      <c r="J124" s="52"/>
      <c r="K124" s="53"/>
      <c r="L124" s="53"/>
      <c r="M124" s="53"/>
      <c r="N124" s="54"/>
      <c r="O124" s="52"/>
      <c r="P124" s="53"/>
      <c r="Q124" s="53"/>
      <c r="R124" s="53"/>
      <c r="S124" s="54"/>
      <c r="T124" s="52"/>
      <c r="U124" s="53"/>
      <c r="V124" s="53"/>
      <c r="W124" s="53"/>
      <c r="X124" s="54"/>
      <c r="Y124" s="52"/>
      <c r="Z124" s="53"/>
      <c r="AA124" s="53"/>
      <c r="AB124" s="53"/>
      <c r="AC124" s="54"/>
    </row>
    <row r="125" spans="1:29" x14ac:dyDescent="0.25">
      <c r="A125" s="85"/>
      <c r="B125" s="55"/>
      <c r="C125" s="87"/>
      <c r="D125" s="57"/>
      <c r="E125" s="55"/>
      <c r="F125" s="87"/>
      <c r="G125" s="87"/>
      <c r="H125" s="87"/>
      <c r="I125" s="57"/>
      <c r="J125" s="55"/>
      <c r="K125" s="87"/>
      <c r="L125" s="87"/>
      <c r="M125" s="87"/>
      <c r="N125" s="57"/>
      <c r="O125" s="55"/>
      <c r="P125" s="87"/>
      <c r="Q125" s="87"/>
      <c r="R125" s="87"/>
      <c r="S125" s="57"/>
      <c r="T125" s="55"/>
      <c r="U125" s="87"/>
      <c r="V125" s="87"/>
      <c r="W125" s="87"/>
      <c r="X125" s="57"/>
      <c r="Y125" s="55"/>
      <c r="Z125" s="87"/>
      <c r="AA125" s="87"/>
      <c r="AB125" s="87"/>
      <c r="AC125" s="57"/>
    </row>
    <row r="126" spans="1:29" x14ac:dyDescent="0.25">
      <c r="A126" s="85"/>
      <c r="B126" s="55"/>
      <c r="C126" s="87"/>
      <c r="D126" s="57"/>
      <c r="E126" s="55"/>
      <c r="F126" s="87"/>
      <c r="G126" s="87"/>
      <c r="H126" s="87"/>
      <c r="I126" s="57"/>
      <c r="J126" s="55"/>
      <c r="K126" s="87"/>
      <c r="L126" s="87"/>
      <c r="M126" s="87"/>
      <c r="N126" s="57"/>
      <c r="O126" s="55"/>
      <c r="P126" s="87"/>
      <c r="Q126" s="87"/>
      <c r="R126" s="87"/>
      <c r="S126" s="57"/>
      <c r="T126" s="55"/>
      <c r="U126" s="87"/>
      <c r="V126" s="87"/>
      <c r="W126" s="87"/>
      <c r="X126" s="57"/>
      <c r="Y126" s="55"/>
      <c r="Z126" s="87"/>
      <c r="AA126" s="87"/>
      <c r="AB126" s="87"/>
      <c r="AC126" s="57"/>
    </row>
    <row r="127" spans="1:29" x14ac:dyDescent="0.25">
      <c r="A127" s="85"/>
      <c r="B127" s="55"/>
      <c r="C127" s="87"/>
      <c r="D127" s="57"/>
      <c r="E127" s="55"/>
      <c r="F127" s="87"/>
      <c r="G127" s="87"/>
      <c r="H127" s="87"/>
      <c r="I127" s="57"/>
      <c r="J127" s="55"/>
      <c r="K127" s="87"/>
      <c r="L127" s="87"/>
      <c r="M127" s="87"/>
      <c r="N127" s="57"/>
      <c r="O127" s="55"/>
      <c r="P127" s="87"/>
      <c r="Q127" s="87"/>
      <c r="R127" s="87"/>
      <c r="S127" s="57"/>
      <c r="T127" s="55"/>
      <c r="U127" s="87"/>
      <c r="V127" s="87"/>
      <c r="W127" s="87"/>
      <c r="X127" s="57"/>
      <c r="Y127" s="55"/>
      <c r="Z127" s="87"/>
      <c r="AA127" s="87"/>
      <c r="AB127" s="87"/>
      <c r="AC127" s="57"/>
    </row>
    <row r="128" spans="1:29" x14ac:dyDescent="0.25">
      <c r="A128" s="85"/>
      <c r="B128" s="55"/>
      <c r="C128" s="87"/>
      <c r="D128" s="57"/>
      <c r="E128" s="55"/>
      <c r="F128" s="87"/>
      <c r="G128" s="87"/>
      <c r="H128" s="87"/>
      <c r="I128" s="57"/>
      <c r="J128" s="55"/>
      <c r="K128" s="87"/>
      <c r="L128" s="87"/>
      <c r="M128" s="87"/>
      <c r="N128" s="57"/>
      <c r="O128" s="55"/>
      <c r="P128" s="87"/>
      <c r="Q128" s="87"/>
      <c r="R128" s="87"/>
      <c r="S128" s="57"/>
      <c r="T128" s="55"/>
      <c r="U128" s="87"/>
      <c r="V128" s="87"/>
      <c r="W128" s="87"/>
      <c r="X128" s="57"/>
      <c r="Y128" s="55"/>
      <c r="Z128" s="87"/>
      <c r="AA128" s="87"/>
      <c r="AB128" s="87"/>
      <c r="AC128" s="57"/>
    </row>
    <row r="129" spans="1:29" x14ac:dyDescent="0.25">
      <c r="A129" s="86"/>
      <c r="B129" s="58"/>
      <c r="C129" s="59"/>
      <c r="D129" s="60"/>
      <c r="E129" s="58"/>
      <c r="F129" s="59"/>
      <c r="G129" s="59"/>
      <c r="H129" s="59"/>
      <c r="I129" s="60"/>
      <c r="J129" s="58"/>
      <c r="K129" s="59"/>
      <c r="L129" s="59"/>
      <c r="M129" s="59"/>
      <c r="N129" s="60"/>
      <c r="O129" s="58"/>
      <c r="P129" s="59"/>
      <c r="Q129" s="59"/>
      <c r="R129" s="59"/>
      <c r="S129" s="60"/>
      <c r="T129" s="58"/>
      <c r="U129" s="59"/>
      <c r="V129" s="59"/>
      <c r="W129" s="59"/>
      <c r="X129" s="60"/>
      <c r="Y129" s="58"/>
      <c r="Z129" s="59"/>
      <c r="AA129" s="59"/>
      <c r="AB129" s="59"/>
      <c r="AC129" s="60"/>
    </row>
    <row r="130" spans="1:29" x14ac:dyDescent="0.25">
      <c r="A130" s="4" t="s">
        <v>10</v>
      </c>
      <c r="B130" s="62"/>
      <c r="C130" s="63"/>
      <c r="D130" s="64"/>
      <c r="E130" s="62"/>
      <c r="F130" s="63"/>
      <c r="G130" s="63"/>
      <c r="H130" s="63"/>
      <c r="I130" s="64"/>
      <c r="J130" s="62"/>
      <c r="K130" s="63"/>
      <c r="L130" s="63"/>
      <c r="M130" s="63"/>
      <c r="N130" s="64"/>
      <c r="O130" s="62"/>
      <c r="P130" s="63"/>
      <c r="Q130" s="63"/>
      <c r="R130" s="63"/>
      <c r="S130" s="64"/>
      <c r="T130" s="88"/>
      <c r="U130" s="89"/>
      <c r="V130" s="43"/>
      <c r="W130" s="89"/>
      <c r="X130" s="90"/>
      <c r="Y130" s="88"/>
      <c r="Z130" s="89"/>
      <c r="AA130" s="89"/>
      <c r="AB130" s="89"/>
      <c r="AC130" s="90"/>
    </row>
    <row r="131" spans="1:29" x14ac:dyDescent="0.25">
      <c r="A131" s="84"/>
      <c r="B131" s="52"/>
      <c r="C131" s="53"/>
      <c r="D131" s="54"/>
      <c r="E131" s="52"/>
      <c r="F131" s="53"/>
      <c r="G131" s="53"/>
      <c r="H131" s="53"/>
      <c r="I131" s="54"/>
      <c r="J131" s="52"/>
      <c r="K131" s="53"/>
      <c r="L131" s="53"/>
      <c r="M131" s="53"/>
      <c r="N131" s="54"/>
      <c r="O131" s="52"/>
      <c r="P131" s="53"/>
      <c r="Q131" s="53"/>
      <c r="R131" s="53"/>
      <c r="S131" s="54"/>
      <c r="T131" s="52"/>
      <c r="U131" s="53"/>
      <c r="V131" s="53"/>
      <c r="W131" s="53"/>
      <c r="X131" s="54"/>
      <c r="Y131" s="52"/>
      <c r="Z131" s="53"/>
      <c r="AA131" s="53"/>
      <c r="AB131" s="53"/>
      <c r="AC131" s="54"/>
    </row>
    <row r="132" spans="1:29" x14ac:dyDescent="0.25">
      <c r="A132" s="85"/>
      <c r="B132" s="55"/>
      <c r="C132" s="87"/>
      <c r="D132" s="57"/>
      <c r="E132" s="55"/>
      <c r="F132" s="87"/>
      <c r="G132" s="87"/>
      <c r="H132" s="87"/>
      <c r="I132" s="57"/>
      <c r="J132" s="55"/>
      <c r="K132" s="87"/>
      <c r="L132" s="87"/>
      <c r="M132" s="87"/>
      <c r="N132" s="57"/>
      <c r="O132" s="55"/>
      <c r="P132" s="87"/>
      <c r="Q132" s="87"/>
      <c r="R132" s="87"/>
      <c r="S132" s="57"/>
      <c r="T132" s="55"/>
      <c r="U132" s="87"/>
      <c r="V132" s="87"/>
      <c r="W132" s="87"/>
      <c r="X132" s="57"/>
      <c r="Y132" s="55"/>
      <c r="Z132" s="87"/>
      <c r="AA132" s="87"/>
      <c r="AB132" s="87"/>
      <c r="AC132" s="57"/>
    </row>
    <row r="133" spans="1:29" x14ac:dyDescent="0.25">
      <c r="A133" s="85"/>
      <c r="B133" s="55"/>
      <c r="C133" s="87"/>
      <c r="D133" s="57"/>
      <c r="E133" s="55"/>
      <c r="F133" s="87"/>
      <c r="G133" s="87"/>
      <c r="H133" s="87"/>
      <c r="I133" s="57"/>
      <c r="J133" s="55"/>
      <c r="K133" s="87"/>
      <c r="L133" s="87"/>
      <c r="M133" s="87"/>
      <c r="N133" s="57"/>
      <c r="O133" s="55"/>
      <c r="P133" s="87"/>
      <c r="Q133" s="87"/>
      <c r="R133" s="87"/>
      <c r="S133" s="57"/>
      <c r="T133" s="55"/>
      <c r="U133" s="87"/>
      <c r="V133" s="87"/>
      <c r="W133" s="87"/>
      <c r="X133" s="57"/>
      <c r="Y133" s="55"/>
      <c r="Z133" s="87"/>
      <c r="AA133" s="87"/>
      <c r="AB133" s="87"/>
      <c r="AC133" s="57"/>
    </row>
    <row r="134" spans="1:29" x14ac:dyDescent="0.25">
      <c r="A134" s="85"/>
      <c r="B134" s="55"/>
      <c r="C134" s="87"/>
      <c r="D134" s="57"/>
      <c r="E134" s="55"/>
      <c r="F134" s="87"/>
      <c r="G134" s="87"/>
      <c r="H134" s="87"/>
      <c r="I134" s="57"/>
      <c r="J134" s="55"/>
      <c r="K134" s="87"/>
      <c r="L134" s="87"/>
      <c r="M134" s="87"/>
      <c r="N134" s="57"/>
      <c r="O134" s="55"/>
      <c r="P134" s="87"/>
      <c r="Q134" s="87"/>
      <c r="R134" s="87"/>
      <c r="S134" s="57"/>
      <c r="T134" s="55"/>
      <c r="U134" s="87"/>
      <c r="V134" s="87"/>
      <c r="W134" s="87"/>
      <c r="X134" s="57"/>
      <c r="Y134" s="55"/>
      <c r="Z134" s="87"/>
      <c r="AA134" s="87"/>
      <c r="AB134" s="87"/>
      <c r="AC134" s="57"/>
    </row>
    <row r="135" spans="1:29" x14ac:dyDescent="0.25">
      <c r="A135" s="85"/>
      <c r="B135" s="55"/>
      <c r="C135" s="87"/>
      <c r="D135" s="57"/>
      <c r="E135" s="55"/>
      <c r="F135" s="87"/>
      <c r="G135" s="87"/>
      <c r="H135" s="87"/>
      <c r="I135" s="57"/>
      <c r="J135" s="55"/>
      <c r="K135" s="87"/>
      <c r="L135" s="87"/>
      <c r="M135" s="87"/>
      <c r="N135" s="57"/>
      <c r="O135" s="55"/>
      <c r="P135" s="87"/>
      <c r="Q135" s="87"/>
      <c r="R135" s="87"/>
      <c r="S135" s="57"/>
      <c r="T135" s="55"/>
      <c r="U135" s="87"/>
      <c r="V135" s="87"/>
      <c r="W135" s="87"/>
      <c r="X135" s="57"/>
      <c r="Y135" s="55"/>
      <c r="Z135" s="87"/>
      <c r="AA135" s="87"/>
      <c r="AB135" s="87"/>
      <c r="AC135" s="57"/>
    </row>
    <row r="136" spans="1:29" x14ac:dyDescent="0.25">
      <c r="A136" s="86"/>
      <c r="B136" s="58"/>
      <c r="C136" s="59"/>
      <c r="D136" s="60"/>
      <c r="E136" s="58"/>
      <c r="F136" s="59"/>
      <c r="G136" s="59"/>
      <c r="H136" s="59"/>
      <c r="I136" s="60"/>
      <c r="J136" s="58"/>
      <c r="K136" s="59"/>
      <c r="L136" s="59"/>
      <c r="M136" s="59"/>
      <c r="N136" s="60"/>
      <c r="O136" s="58"/>
      <c r="P136" s="59"/>
      <c r="Q136" s="59"/>
      <c r="R136" s="59"/>
      <c r="S136" s="60"/>
      <c r="T136" s="58"/>
      <c r="U136" s="59"/>
      <c r="V136" s="59"/>
      <c r="W136" s="59"/>
      <c r="X136" s="60"/>
      <c r="Y136" s="58"/>
      <c r="Z136" s="59"/>
      <c r="AA136" s="59"/>
      <c r="AB136" s="59"/>
      <c r="AC136" s="60"/>
    </row>
    <row r="137" spans="1:29" x14ac:dyDescent="0.25">
      <c r="A137" s="4" t="s">
        <v>10</v>
      </c>
      <c r="B137" s="62"/>
      <c r="C137" s="63"/>
      <c r="D137" s="64"/>
      <c r="E137" s="62"/>
      <c r="F137" s="63"/>
      <c r="G137" s="63"/>
      <c r="H137" s="63"/>
      <c r="I137" s="64"/>
      <c r="J137" s="62"/>
      <c r="K137" s="63"/>
      <c r="L137" s="63"/>
      <c r="M137" s="63"/>
      <c r="N137" s="64"/>
      <c r="O137" s="62"/>
      <c r="P137" s="63"/>
      <c r="Q137" s="63"/>
      <c r="R137" s="63"/>
      <c r="S137" s="64"/>
      <c r="T137" s="88"/>
      <c r="U137" s="89"/>
      <c r="V137" s="89"/>
      <c r="W137" s="89"/>
      <c r="X137" s="90"/>
      <c r="Y137" s="88"/>
      <c r="Z137" s="89"/>
      <c r="AA137" s="89"/>
      <c r="AB137" s="89"/>
      <c r="AC137" s="90"/>
    </row>
    <row r="138" spans="1:29" x14ac:dyDescent="0.25">
      <c r="A138" s="84"/>
      <c r="B138" s="52"/>
      <c r="C138" s="53"/>
      <c r="D138" s="54"/>
      <c r="E138" s="52"/>
      <c r="F138" s="53"/>
      <c r="G138" s="53"/>
      <c r="H138" s="53"/>
      <c r="I138" s="54"/>
      <c r="J138" s="52"/>
      <c r="K138" s="53"/>
      <c r="L138" s="53"/>
      <c r="M138" s="53"/>
      <c r="N138" s="54"/>
      <c r="O138" s="52"/>
      <c r="P138" s="53"/>
      <c r="Q138" s="53"/>
      <c r="R138" s="53"/>
      <c r="S138" s="54"/>
      <c r="T138" s="52"/>
      <c r="U138" s="53"/>
      <c r="V138" s="53"/>
      <c r="W138" s="53"/>
      <c r="X138" s="54"/>
      <c r="Y138" s="52"/>
      <c r="Z138" s="53"/>
      <c r="AA138" s="53"/>
      <c r="AB138" s="53"/>
      <c r="AC138" s="54"/>
    </row>
    <row r="139" spans="1:29" x14ac:dyDescent="0.25">
      <c r="A139" s="85"/>
      <c r="B139" s="55"/>
      <c r="C139" s="87"/>
      <c r="D139" s="57"/>
      <c r="E139" s="55"/>
      <c r="F139" s="87"/>
      <c r="G139" s="87"/>
      <c r="H139" s="87"/>
      <c r="I139" s="57"/>
      <c r="J139" s="55"/>
      <c r="K139" s="87"/>
      <c r="L139" s="87"/>
      <c r="M139" s="87"/>
      <c r="N139" s="57"/>
      <c r="O139" s="55"/>
      <c r="P139" s="87"/>
      <c r="Q139" s="87"/>
      <c r="R139" s="87"/>
      <c r="S139" s="57"/>
      <c r="T139" s="55"/>
      <c r="U139" s="87"/>
      <c r="V139" s="87"/>
      <c r="W139" s="87"/>
      <c r="X139" s="57"/>
      <c r="Y139" s="55"/>
      <c r="Z139" s="87"/>
      <c r="AA139" s="87"/>
      <c r="AB139" s="87"/>
      <c r="AC139" s="57"/>
    </row>
    <row r="140" spans="1:29" x14ac:dyDescent="0.25">
      <c r="A140" s="85"/>
      <c r="B140" s="55"/>
      <c r="C140" s="87"/>
      <c r="D140" s="57"/>
      <c r="E140" s="55"/>
      <c r="F140" s="87"/>
      <c r="G140" s="87"/>
      <c r="H140" s="87"/>
      <c r="I140" s="57"/>
      <c r="J140" s="55"/>
      <c r="K140" s="87"/>
      <c r="L140" s="87"/>
      <c r="M140" s="87"/>
      <c r="N140" s="57"/>
      <c r="O140" s="55"/>
      <c r="P140" s="87"/>
      <c r="Q140" s="87"/>
      <c r="R140" s="87"/>
      <c r="S140" s="57"/>
      <c r="T140" s="55"/>
      <c r="U140" s="87"/>
      <c r="V140" s="87"/>
      <c r="W140" s="87"/>
      <c r="X140" s="57"/>
      <c r="Y140" s="55"/>
      <c r="Z140" s="87"/>
      <c r="AA140" s="87"/>
      <c r="AB140" s="87"/>
      <c r="AC140" s="57"/>
    </row>
    <row r="141" spans="1:29" x14ac:dyDescent="0.25">
      <c r="A141" s="85"/>
      <c r="B141" s="55"/>
      <c r="C141" s="87"/>
      <c r="D141" s="57"/>
      <c r="E141" s="55"/>
      <c r="F141" s="87"/>
      <c r="G141" s="87"/>
      <c r="H141" s="87"/>
      <c r="I141" s="57"/>
      <c r="J141" s="55"/>
      <c r="K141" s="87"/>
      <c r="L141" s="87"/>
      <c r="M141" s="87"/>
      <c r="N141" s="57"/>
      <c r="O141" s="55"/>
      <c r="P141" s="87"/>
      <c r="Q141" s="87"/>
      <c r="R141" s="87"/>
      <c r="S141" s="57"/>
      <c r="T141" s="55"/>
      <c r="U141" s="87"/>
      <c r="V141" s="87"/>
      <c r="W141" s="87"/>
      <c r="X141" s="57"/>
      <c r="Y141" s="55"/>
      <c r="Z141" s="87"/>
      <c r="AA141" s="87"/>
      <c r="AB141" s="87"/>
      <c r="AC141" s="57"/>
    </row>
    <row r="142" spans="1:29" x14ac:dyDescent="0.25">
      <c r="A142" s="85"/>
      <c r="B142" s="55"/>
      <c r="C142" s="87"/>
      <c r="D142" s="57"/>
      <c r="E142" s="55"/>
      <c r="F142" s="87"/>
      <c r="G142" s="87"/>
      <c r="H142" s="87"/>
      <c r="I142" s="57"/>
      <c r="J142" s="55"/>
      <c r="K142" s="87"/>
      <c r="L142" s="87"/>
      <c r="M142" s="87"/>
      <c r="N142" s="57"/>
      <c r="O142" s="55"/>
      <c r="P142" s="87"/>
      <c r="Q142" s="87"/>
      <c r="R142" s="87"/>
      <c r="S142" s="57"/>
      <c r="T142" s="55"/>
      <c r="U142" s="87"/>
      <c r="V142" s="87"/>
      <c r="W142" s="87"/>
      <c r="X142" s="57"/>
      <c r="Y142" s="55"/>
      <c r="Z142" s="87"/>
      <c r="AA142" s="87"/>
      <c r="AB142" s="87"/>
      <c r="AC142" s="57"/>
    </row>
    <row r="143" spans="1:29" x14ac:dyDescent="0.25">
      <c r="A143" s="86"/>
      <c r="B143" s="58"/>
      <c r="C143" s="59"/>
      <c r="D143" s="60"/>
      <c r="E143" s="58"/>
      <c r="F143" s="59"/>
      <c r="G143" s="59"/>
      <c r="H143" s="59"/>
      <c r="I143" s="60"/>
      <c r="J143" s="58"/>
      <c r="K143" s="59"/>
      <c r="L143" s="59"/>
      <c r="M143" s="59"/>
      <c r="N143" s="60"/>
      <c r="O143" s="58"/>
      <c r="P143" s="59"/>
      <c r="Q143" s="59"/>
      <c r="R143" s="59"/>
      <c r="S143" s="60"/>
      <c r="T143" s="58"/>
      <c r="U143" s="59"/>
      <c r="V143" s="59"/>
      <c r="W143" s="59"/>
      <c r="X143" s="60"/>
      <c r="Y143" s="58"/>
      <c r="Z143" s="59"/>
      <c r="AA143" s="59"/>
      <c r="AB143" s="59"/>
      <c r="AC143" s="60"/>
    </row>
    <row r="144" spans="1:29" x14ac:dyDescent="0.25">
      <c r="A144" s="4" t="s">
        <v>10</v>
      </c>
      <c r="B144" s="62"/>
      <c r="C144" s="63"/>
      <c r="D144" s="64"/>
      <c r="E144" s="62"/>
      <c r="F144" s="63"/>
      <c r="G144" s="63"/>
      <c r="H144" s="63"/>
      <c r="I144" s="64"/>
      <c r="J144" s="62"/>
      <c r="K144" s="63"/>
      <c r="L144" s="63"/>
      <c r="M144" s="63"/>
      <c r="N144" s="64"/>
      <c r="O144" s="62"/>
      <c r="P144" s="63"/>
      <c r="Q144" s="63"/>
      <c r="R144" s="63"/>
      <c r="S144" s="64"/>
      <c r="T144" s="88"/>
      <c r="U144" s="89"/>
      <c r="V144" s="43"/>
      <c r="W144" s="89"/>
      <c r="X144" s="90"/>
      <c r="Y144" s="88"/>
      <c r="Z144" s="89"/>
      <c r="AA144" s="89"/>
      <c r="AB144" s="89"/>
      <c r="AC144" s="90"/>
    </row>
    <row r="145" spans="1:29" x14ac:dyDescent="0.25">
      <c r="A145" s="84"/>
      <c r="B145" s="52"/>
      <c r="C145" s="53"/>
      <c r="D145" s="54"/>
      <c r="E145" s="52"/>
      <c r="F145" s="53"/>
      <c r="G145" s="53"/>
      <c r="H145" s="53"/>
      <c r="I145" s="54"/>
      <c r="J145" s="52"/>
      <c r="K145" s="53"/>
      <c r="L145" s="53"/>
      <c r="M145" s="53"/>
      <c r="N145" s="54"/>
      <c r="O145" s="52"/>
      <c r="P145" s="53"/>
      <c r="Q145" s="53"/>
      <c r="R145" s="53"/>
      <c r="S145" s="54"/>
      <c r="T145" s="52"/>
      <c r="U145" s="53"/>
      <c r="V145" s="53"/>
      <c r="W145" s="53"/>
      <c r="X145" s="54"/>
      <c r="Y145" s="52"/>
      <c r="Z145" s="53"/>
      <c r="AA145" s="53"/>
      <c r="AB145" s="53"/>
      <c r="AC145" s="54"/>
    </row>
    <row r="146" spans="1:29" x14ac:dyDescent="0.25">
      <c r="A146" s="85"/>
      <c r="B146" s="55"/>
      <c r="C146" s="87"/>
      <c r="D146" s="57"/>
      <c r="E146" s="55"/>
      <c r="F146" s="87"/>
      <c r="G146" s="87"/>
      <c r="H146" s="87"/>
      <c r="I146" s="57"/>
      <c r="J146" s="55"/>
      <c r="K146" s="87"/>
      <c r="L146" s="87"/>
      <c r="M146" s="87"/>
      <c r="N146" s="57"/>
      <c r="O146" s="55"/>
      <c r="P146" s="87"/>
      <c r="Q146" s="87"/>
      <c r="R146" s="87"/>
      <c r="S146" s="57"/>
      <c r="T146" s="55"/>
      <c r="U146" s="87"/>
      <c r="V146" s="87"/>
      <c r="W146" s="87"/>
      <c r="X146" s="57"/>
      <c r="Y146" s="55"/>
      <c r="Z146" s="87"/>
      <c r="AA146" s="87"/>
      <c r="AB146" s="87"/>
      <c r="AC146" s="57"/>
    </row>
    <row r="147" spans="1:29" x14ac:dyDescent="0.25">
      <c r="A147" s="85"/>
      <c r="B147" s="55"/>
      <c r="C147" s="87"/>
      <c r="D147" s="57"/>
      <c r="E147" s="55"/>
      <c r="F147" s="87"/>
      <c r="G147" s="87"/>
      <c r="H147" s="87"/>
      <c r="I147" s="57"/>
      <c r="J147" s="55"/>
      <c r="K147" s="87"/>
      <c r="L147" s="87"/>
      <c r="M147" s="87"/>
      <c r="N147" s="57"/>
      <c r="O147" s="55"/>
      <c r="P147" s="87"/>
      <c r="Q147" s="87"/>
      <c r="R147" s="87"/>
      <c r="S147" s="57"/>
      <c r="T147" s="55"/>
      <c r="U147" s="87"/>
      <c r="V147" s="87"/>
      <c r="W147" s="87"/>
      <c r="X147" s="57"/>
      <c r="Y147" s="55"/>
      <c r="Z147" s="87"/>
      <c r="AA147" s="87"/>
      <c r="AB147" s="87"/>
      <c r="AC147" s="57"/>
    </row>
    <row r="148" spans="1:29" x14ac:dyDescent="0.25">
      <c r="A148" s="85"/>
      <c r="B148" s="55"/>
      <c r="C148" s="87"/>
      <c r="D148" s="57"/>
      <c r="E148" s="55"/>
      <c r="F148" s="87"/>
      <c r="G148" s="87"/>
      <c r="H148" s="87"/>
      <c r="I148" s="57"/>
      <c r="J148" s="55"/>
      <c r="K148" s="87"/>
      <c r="L148" s="87"/>
      <c r="M148" s="87"/>
      <c r="N148" s="57"/>
      <c r="O148" s="55"/>
      <c r="P148" s="87"/>
      <c r="Q148" s="87"/>
      <c r="R148" s="87"/>
      <c r="S148" s="57"/>
      <c r="T148" s="55"/>
      <c r="U148" s="87"/>
      <c r="V148" s="87"/>
      <c r="W148" s="87"/>
      <c r="X148" s="57"/>
      <c r="Y148" s="55"/>
      <c r="Z148" s="87"/>
      <c r="AA148" s="87"/>
      <c r="AB148" s="87"/>
      <c r="AC148" s="57"/>
    </row>
    <row r="149" spans="1:29" x14ac:dyDescent="0.25">
      <c r="A149" s="85"/>
      <c r="B149" s="55"/>
      <c r="C149" s="87"/>
      <c r="D149" s="57"/>
      <c r="E149" s="55"/>
      <c r="F149" s="87"/>
      <c r="G149" s="87"/>
      <c r="H149" s="87"/>
      <c r="I149" s="57"/>
      <c r="J149" s="55"/>
      <c r="K149" s="87"/>
      <c r="L149" s="87"/>
      <c r="M149" s="87"/>
      <c r="N149" s="57"/>
      <c r="O149" s="55"/>
      <c r="P149" s="87"/>
      <c r="Q149" s="87"/>
      <c r="R149" s="87"/>
      <c r="S149" s="57"/>
      <c r="T149" s="55"/>
      <c r="U149" s="87"/>
      <c r="V149" s="87"/>
      <c r="W149" s="87"/>
      <c r="X149" s="57"/>
      <c r="Y149" s="55"/>
      <c r="Z149" s="87"/>
      <c r="AA149" s="87"/>
      <c r="AB149" s="87"/>
      <c r="AC149" s="57"/>
    </row>
    <row r="150" spans="1:29" x14ac:dyDescent="0.25">
      <c r="A150" s="86"/>
      <c r="B150" s="58"/>
      <c r="C150" s="59"/>
      <c r="D150" s="60"/>
      <c r="E150" s="58"/>
      <c r="F150" s="59"/>
      <c r="G150" s="59"/>
      <c r="H150" s="59"/>
      <c r="I150" s="60"/>
      <c r="J150" s="58"/>
      <c r="K150" s="59"/>
      <c r="L150" s="59"/>
      <c r="M150" s="59"/>
      <c r="N150" s="60"/>
      <c r="O150" s="58"/>
      <c r="P150" s="59"/>
      <c r="Q150" s="59"/>
      <c r="R150" s="59"/>
      <c r="S150" s="60"/>
      <c r="T150" s="58"/>
      <c r="U150" s="59"/>
      <c r="V150" s="59"/>
      <c r="W150" s="59"/>
      <c r="X150" s="60"/>
      <c r="Y150" s="58"/>
      <c r="Z150" s="59"/>
      <c r="AA150" s="59"/>
      <c r="AB150" s="59"/>
      <c r="AC150" s="60"/>
    </row>
    <row r="151" spans="1:29" x14ac:dyDescent="0.25">
      <c r="A151" s="4" t="s">
        <v>10</v>
      </c>
      <c r="B151" s="62"/>
      <c r="C151" s="63"/>
      <c r="D151" s="64"/>
      <c r="E151" s="62"/>
      <c r="F151" s="63"/>
      <c r="G151" s="63"/>
      <c r="H151" s="63"/>
      <c r="I151" s="64"/>
      <c r="J151" s="62"/>
      <c r="K151" s="63"/>
      <c r="L151" s="63"/>
      <c r="M151" s="63"/>
      <c r="N151" s="64"/>
      <c r="O151" s="62"/>
      <c r="P151" s="63"/>
      <c r="Q151" s="63"/>
      <c r="R151" s="63"/>
      <c r="S151" s="64"/>
      <c r="T151" s="88"/>
      <c r="U151" s="89"/>
      <c r="V151" s="43"/>
      <c r="W151" s="89"/>
      <c r="X151" s="90"/>
      <c r="Y151" s="88"/>
      <c r="Z151" s="89"/>
      <c r="AA151" s="89"/>
      <c r="AB151" s="89"/>
      <c r="AC151" s="90"/>
    </row>
  </sheetData>
  <mergeCells count="249">
    <mergeCell ref="A1:AJ6"/>
    <mergeCell ref="A7:A8"/>
    <mergeCell ref="B7:B8"/>
    <mergeCell ref="C7:C8"/>
    <mergeCell ref="D7:D8"/>
    <mergeCell ref="E7:E8"/>
    <mergeCell ref="F7:AI7"/>
    <mergeCell ref="AJ7:AJ8"/>
    <mergeCell ref="AK7:AK8"/>
    <mergeCell ref="A17:B17"/>
    <mergeCell ref="A28:X29"/>
    <mergeCell ref="A30:A32"/>
    <mergeCell ref="B30:AC30"/>
    <mergeCell ref="B31:D31"/>
    <mergeCell ref="E31:I31"/>
    <mergeCell ref="J31:N31"/>
    <mergeCell ref="O31:S31"/>
    <mergeCell ref="T31:X31"/>
    <mergeCell ref="B39:D39"/>
    <mergeCell ref="E39:I39"/>
    <mergeCell ref="J39:N39"/>
    <mergeCell ref="O39:S39"/>
    <mergeCell ref="T39:X39"/>
    <mergeCell ref="Y39:AC39"/>
    <mergeCell ref="Y31:AC31"/>
    <mergeCell ref="B32:AC32"/>
    <mergeCell ref="A33:A38"/>
    <mergeCell ref="B33:D38"/>
    <mergeCell ref="E33:I38"/>
    <mergeCell ref="J33:N38"/>
    <mergeCell ref="O33:S38"/>
    <mergeCell ref="T33:X38"/>
    <mergeCell ref="Y33:AC38"/>
    <mergeCell ref="Y40:AC45"/>
    <mergeCell ref="B46:D46"/>
    <mergeCell ref="E46:I46"/>
    <mergeCell ref="J46:N46"/>
    <mergeCell ref="O46:S46"/>
    <mergeCell ref="Y46:AC46"/>
    <mergeCell ref="T40:X42"/>
    <mergeCell ref="A40:A45"/>
    <mergeCell ref="B40:D45"/>
    <mergeCell ref="E40:I45"/>
    <mergeCell ref="J40:N45"/>
    <mergeCell ref="O40:S45"/>
    <mergeCell ref="T43:X45"/>
    <mergeCell ref="Y47:AC52"/>
    <mergeCell ref="B53:D53"/>
    <mergeCell ref="E53:I53"/>
    <mergeCell ref="J53:N53"/>
    <mergeCell ref="O53:S53"/>
    <mergeCell ref="T53:X53"/>
    <mergeCell ref="Y53:AC53"/>
    <mergeCell ref="A47:A52"/>
    <mergeCell ref="B47:D52"/>
    <mergeCell ref="E47:I52"/>
    <mergeCell ref="J47:N52"/>
    <mergeCell ref="O47:S52"/>
    <mergeCell ref="T47:X52"/>
    <mergeCell ref="Y54:AC59"/>
    <mergeCell ref="B60:D60"/>
    <mergeCell ref="E60:I60"/>
    <mergeCell ref="J60:N60"/>
    <mergeCell ref="O60:S60"/>
    <mergeCell ref="T60:X60"/>
    <mergeCell ref="Y60:AC60"/>
    <mergeCell ref="A54:A59"/>
    <mergeCell ref="B54:D59"/>
    <mergeCell ref="E54:I59"/>
    <mergeCell ref="J54:N59"/>
    <mergeCell ref="O54:S59"/>
    <mergeCell ref="T54:X59"/>
    <mergeCell ref="Y61:AC66"/>
    <mergeCell ref="B67:D67"/>
    <mergeCell ref="E67:I67"/>
    <mergeCell ref="J67:N67"/>
    <mergeCell ref="O67:S67"/>
    <mergeCell ref="T67:X67"/>
    <mergeCell ref="Y67:AC67"/>
    <mergeCell ref="A61:A66"/>
    <mergeCell ref="B61:D66"/>
    <mergeCell ref="E61:I66"/>
    <mergeCell ref="J61:N66"/>
    <mergeCell ref="O61:S66"/>
    <mergeCell ref="T61:X66"/>
    <mergeCell ref="Y68:AC73"/>
    <mergeCell ref="B74:D74"/>
    <mergeCell ref="E74:I74"/>
    <mergeCell ref="J74:N74"/>
    <mergeCell ref="O74:S74"/>
    <mergeCell ref="T74:X74"/>
    <mergeCell ref="Y74:AC74"/>
    <mergeCell ref="A68:A73"/>
    <mergeCell ref="B68:D73"/>
    <mergeCell ref="E68:I73"/>
    <mergeCell ref="J68:N73"/>
    <mergeCell ref="O68:S73"/>
    <mergeCell ref="T68:X73"/>
    <mergeCell ref="Y75:AC80"/>
    <mergeCell ref="B81:D81"/>
    <mergeCell ref="E81:I81"/>
    <mergeCell ref="J81:N81"/>
    <mergeCell ref="O81:S81"/>
    <mergeCell ref="T81:X81"/>
    <mergeCell ref="Y81:AC81"/>
    <mergeCell ref="A75:A80"/>
    <mergeCell ref="B75:D80"/>
    <mergeCell ref="E75:I80"/>
    <mergeCell ref="J75:N80"/>
    <mergeCell ref="O75:S80"/>
    <mergeCell ref="T75:X80"/>
    <mergeCell ref="Y82:AC87"/>
    <mergeCell ref="B88:D88"/>
    <mergeCell ref="E88:I88"/>
    <mergeCell ref="J88:N88"/>
    <mergeCell ref="O88:S88"/>
    <mergeCell ref="T88:X88"/>
    <mergeCell ref="Y88:AC88"/>
    <mergeCell ref="A82:A87"/>
    <mergeCell ref="B82:D87"/>
    <mergeCell ref="E82:I87"/>
    <mergeCell ref="J82:N87"/>
    <mergeCell ref="O82:S87"/>
    <mergeCell ref="T82:X87"/>
    <mergeCell ref="Y89:AC94"/>
    <mergeCell ref="B95:D95"/>
    <mergeCell ref="E95:I95"/>
    <mergeCell ref="J95:N95"/>
    <mergeCell ref="O95:S95"/>
    <mergeCell ref="T95:X95"/>
    <mergeCell ref="Y95:AC95"/>
    <mergeCell ref="A89:A94"/>
    <mergeCell ref="B89:D94"/>
    <mergeCell ref="E89:I94"/>
    <mergeCell ref="J89:N94"/>
    <mergeCell ref="O89:S94"/>
    <mergeCell ref="T89:X94"/>
    <mergeCell ref="Y96:AC101"/>
    <mergeCell ref="B102:D102"/>
    <mergeCell ref="E102:I102"/>
    <mergeCell ref="J102:N102"/>
    <mergeCell ref="O102:S102"/>
    <mergeCell ref="T102:X102"/>
    <mergeCell ref="Y102:AC102"/>
    <mergeCell ref="A96:A101"/>
    <mergeCell ref="B96:D101"/>
    <mergeCell ref="E96:I101"/>
    <mergeCell ref="J96:N101"/>
    <mergeCell ref="O96:S101"/>
    <mergeCell ref="T96:X101"/>
    <mergeCell ref="Y103:AC108"/>
    <mergeCell ref="B109:D109"/>
    <mergeCell ref="E109:I109"/>
    <mergeCell ref="J109:N109"/>
    <mergeCell ref="O109:S109"/>
    <mergeCell ref="T109:X109"/>
    <mergeCell ref="Y109:AC109"/>
    <mergeCell ref="A103:A108"/>
    <mergeCell ref="B103:D108"/>
    <mergeCell ref="E103:I108"/>
    <mergeCell ref="J103:N108"/>
    <mergeCell ref="O103:S108"/>
    <mergeCell ref="T103:X108"/>
    <mergeCell ref="Y123:AC123"/>
    <mergeCell ref="A117:A122"/>
    <mergeCell ref="B117:D122"/>
    <mergeCell ref="E117:I122"/>
    <mergeCell ref="J117:N122"/>
    <mergeCell ref="O117:S122"/>
    <mergeCell ref="T117:X122"/>
    <mergeCell ref="Y110:AC115"/>
    <mergeCell ref="B116:D116"/>
    <mergeCell ref="E116:I116"/>
    <mergeCell ref="J116:N116"/>
    <mergeCell ref="O116:S116"/>
    <mergeCell ref="T116:X116"/>
    <mergeCell ref="Y116:AC116"/>
    <mergeCell ref="A110:A115"/>
    <mergeCell ref="B110:D115"/>
    <mergeCell ref="E110:I115"/>
    <mergeCell ref="J110:N115"/>
    <mergeCell ref="O110:S115"/>
    <mergeCell ref="T110:X115"/>
    <mergeCell ref="A131:A136"/>
    <mergeCell ref="B131:D136"/>
    <mergeCell ref="E131:I136"/>
    <mergeCell ref="J131:N136"/>
    <mergeCell ref="O131:S136"/>
    <mergeCell ref="T131:X136"/>
    <mergeCell ref="Y124:AC129"/>
    <mergeCell ref="T127:X129"/>
    <mergeCell ref="B130:D130"/>
    <mergeCell ref="E130:I130"/>
    <mergeCell ref="J130:N130"/>
    <mergeCell ref="O130:S130"/>
    <mergeCell ref="T130:U130"/>
    <mergeCell ref="W130:X130"/>
    <mergeCell ref="Y130:AC130"/>
    <mergeCell ref="A124:A129"/>
    <mergeCell ref="B124:D129"/>
    <mergeCell ref="E124:I129"/>
    <mergeCell ref="J124:N129"/>
    <mergeCell ref="O124:S129"/>
    <mergeCell ref="T124:X126"/>
    <mergeCell ref="A145:A150"/>
    <mergeCell ref="B145:D150"/>
    <mergeCell ref="E145:I150"/>
    <mergeCell ref="J145:N150"/>
    <mergeCell ref="O145:S150"/>
    <mergeCell ref="T145:X147"/>
    <mergeCell ref="Y138:AC143"/>
    <mergeCell ref="T141:X143"/>
    <mergeCell ref="B144:D144"/>
    <mergeCell ref="E144:I144"/>
    <mergeCell ref="J144:N144"/>
    <mergeCell ref="O144:S144"/>
    <mergeCell ref="T144:U144"/>
    <mergeCell ref="W144:X144"/>
    <mergeCell ref="Y144:AC144"/>
    <mergeCell ref="A138:A143"/>
    <mergeCell ref="B138:D143"/>
    <mergeCell ref="E138:I143"/>
    <mergeCell ref="J138:N143"/>
    <mergeCell ref="O138:S143"/>
    <mergeCell ref="T138:X140"/>
    <mergeCell ref="T46:U46"/>
    <mergeCell ref="W46:X46"/>
    <mergeCell ref="Y145:AC150"/>
    <mergeCell ref="T148:X150"/>
    <mergeCell ref="B151:D151"/>
    <mergeCell ref="E151:I151"/>
    <mergeCell ref="J151:N151"/>
    <mergeCell ref="O151:S151"/>
    <mergeCell ref="T151:U151"/>
    <mergeCell ref="W151:X151"/>
    <mergeCell ref="Y151:AC151"/>
    <mergeCell ref="Y131:AC136"/>
    <mergeCell ref="B137:D137"/>
    <mergeCell ref="E137:I137"/>
    <mergeCell ref="J137:N137"/>
    <mergeCell ref="O137:S137"/>
    <mergeCell ref="T137:X137"/>
    <mergeCell ref="Y137:AC137"/>
    <mergeCell ref="Y117:AC122"/>
    <mergeCell ref="B123:D123"/>
    <mergeCell ref="E123:I123"/>
    <mergeCell ref="J123:N123"/>
    <mergeCell ref="O123:S123"/>
    <mergeCell ref="T123:X12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08</vt:lpstr>
      <vt:lpstr>09</vt:lpstr>
      <vt:lpstr>10</vt:lpstr>
      <vt:lpstr>11</vt:lpstr>
      <vt:lpstr>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2023-12-07T04:12:10Z</dcterms:modified>
</cp:coreProperties>
</file>